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<sst xmlns="http://schemas.openxmlformats.org/spreadsheetml/2006/main" count="112320" uniqueCount="18689">
  <si>
    <t>Hyperlinked Case #</t>
  </si>
  <si>
    <t>Primary Funding Code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</si>
  <si>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</si>
  <si>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</si>
  <si>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</si>
  <si>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</si>
  <si>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</si>
  <si>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</si>
  <si>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</si>
  <si>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</si>
  <si>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</si>
  <si>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</si>
  <si>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</si>
  <si>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 xml:space="preserve">Housing Income Verification Method </t>
  </si>
  <si>
    <t xml:space="preserve">PA Case Number </t>
  </si>
  <si>
    <t>Gen Case Index Number</t>
  </si>
  <si>
    <t>Housing Type Of Case</t>
  </si>
  <si>
    <t>Housing Level of Service</t>
  </si>
  <si>
    <t>Close Reason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</si>
  <si>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</si>
  <si>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</si>
  <si>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</si>
  <si>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</si>
  <si>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</si>
  <si>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</si>
  <si>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</si>
  <si>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</si>
  <si>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</si>
  <si>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</si>
  <si>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</si>
  <si>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</si>
  <si>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</si>
  <si>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</si>
  <si>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</si>
  <si>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Date of DHCI Form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</si>
  <si>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</si>
  <si>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</si>
  <si>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</si>
  <si>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</si>
  <si>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</si>
  <si>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</si>
  <si>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</si>
  <si>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</si>
  <si>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</si>
  <si>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</si>
  <si>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</si>
  <si>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</si>
  <si>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</si>
  <si>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</si>
  <si>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</si>
  <si>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3018 Tenant Rights Coalition (TRC)</t>
  </si>
  <si>
    <t>3011 TRC FJC Initiative</t>
  </si>
  <si>
    <t>Cappellini, Bianca</t>
  </si>
  <si>
    <t>Lam, Kevin</t>
  </si>
  <si>
    <t>James, Lelia</t>
  </si>
  <si>
    <t>Hernandez, Elizabeth</t>
  </si>
  <si>
    <t>Mui, Ernie</t>
  </si>
  <si>
    <t>Chen, Eugene</t>
  </si>
  <si>
    <t>Succop, Steven</t>
  </si>
  <si>
    <t>Gonzalez, Atenedoro</t>
  </si>
  <si>
    <t>Salas, Emma</t>
  </si>
  <si>
    <t>Corsaro, Veronica</t>
  </si>
  <si>
    <t>Watson, Michael</t>
  </si>
  <si>
    <t>Ma, Chiansan</t>
  </si>
  <si>
    <t>Kelly, Kitanya</t>
  </si>
  <si>
    <t>Frizell, Catherine</t>
  </si>
  <si>
    <t>Rubin, Jenn</t>
  </si>
  <si>
    <t>Patel, Roopal</t>
  </si>
  <si>
    <t>Porcelli, Ronald</t>
  </si>
  <si>
    <t>Ross, Jasmine</t>
  </si>
  <si>
    <t>Viets, Whitney</t>
  </si>
  <si>
    <t>Puleo Jr, Michael</t>
  </si>
  <si>
    <t>Latterner, Matt</t>
  </si>
  <si>
    <t>Jacobs, Alex</t>
  </si>
  <si>
    <t>Feliz, Oswald</t>
  </si>
  <si>
    <t>Restrepo-Serrano, Francois</t>
  </si>
  <si>
    <t>Carrasco, Yazmin</t>
  </si>
  <si>
    <t>Fuller-Bennett, Reuben</t>
  </si>
  <si>
    <t>Golden, Tashanna</t>
  </si>
  <si>
    <t>Costa, Stephanie</t>
  </si>
  <si>
    <t>Montoute, John</t>
  </si>
  <si>
    <t>Rosen, David</t>
  </si>
  <si>
    <t>Patel, Mona</t>
  </si>
  <si>
    <t>Braudy, Erica</t>
  </si>
  <si>
    <t>Cepeda, Jeanette</t>
  </si>
  <si>
    <t>Namuche, Raquel</t>
  </si>
  <si>
    <t>Caldwell-Kuru, Hazel</t>
  </si>
  <si>
    <t>Navarro, Norey</t>
  </si>
  <si>
    <t>DeLong, Sarah</t>
  </si>
  <si>
    <t>Pozo, Caridad</t>
  </si>
  <si>
    <t>Hong, Connie</t>
  </si>
  <si>
    <t>Mottley, Darlene</t>
  </si>
  <si>
    <t>Freeman, Daniel</t>
  </si>
  <si>
    <t>Santos, Marisol</t>
  </si>
  <si>
    <t>Vega, Rita</t>
  </si>
  <si>
    <t>Pettit, Stephanie</t>
  </si>
  <si>
    <t>Pepe, Lailah</t>
  </si>
  <si>
    <t>Briggs, John</t>
  </si>
  <si>
    <t>Rookwood, Shardae</t>
  </si>
  <si>
    <t>Lee, Thomas</t>
  </si>
  <si>
    <t>Honan, Thomas</t>
  </si>
  <si>
    <t>Heller, Steven</t>
  </si>
  <si>
    <t>Robinson, Sally</t>
  </si>
  <si>
    <t>Wong, Humbert</t>
  </si>
  <si>
    <t>Granfield, Rachel</t>
  </si>
  <si>
    <t>Schafler, Eliza</t>
  </si>
  <si>
    <t>Kellogg, Martha</t>
  </si>
  <si>
    <t>Crisona, Kathryn</t>
  </si>
  <si>
    <t>Saywack, Priam</t>
  </si>
  <si>
    <t>Rave, Helen</t>
  </si>
  <si>
    <t>Johnson, Chantal</t>
  </si>
  <si>
    <t>Lowery, Liam</t>
  </si>
  <si>
    <t>Fuentes, Maria</t>
  </si>
  <si>
    <t>Shah, Ami</t>
  </si>
  <si>
    <t>De Silva, Natasia</t>
  </si>
  <si>
    <t>Betances, Gabriella</t>
  </si>
  <si>
    <t>Delgadillo, Omar</t>
  </si>
  <si>
    <t>Maltezos, Alexander</t>
  </si>
  <si>
    <t>Ocana, Johanna</t>
  </si>
  <si>
    <t>McCormick, James</t>
  </si>
  <si>
    <t>McCowen, Tamella</t>
  </si>
  <si>
    <t>Katnani, Samar</t>
  </si>
  <si>
    <t>Norton, Carolyn</t>
  </si>
  <si>
    <t>Fischman, Jean</t>
  </si>
  <si>
    <t>Cowen, Lindsay</t>
  </si>
  <si>
    <t>Schiff, Logan</t>
  </si>
  <si>
    <t>Taylor, Mark</t>
  </si>
  <si>
    <t>Hecht-Felella, Laura</t>
  </si>
  <si>
    <t>Vale, Yvonne</t>
  </si>
  <si>
    <t>Xie, Vivian</t>
  </si>
  <si>
    <t>Marchena, Ivan</t>
  </si>
  <si>
    <t>Mendia-Yadaicela, Michelle</t>
  </si>
  <si>
    <t>Goncharov-Cruickshnk, Natalie</t>
  </si>
  <si>
    <t>Roman, Melissa</t>
  </si>
  <si>
    <t>Almanzar, Milagros</t>
  </si>
  <si>
    <t>Farrell, Emily</t>
  </si>
  <si>
    <t>Kramer, Kramer</t>
  </si>
  <si>
    <t>Galai, Sagiv</t>
  </si>
  <si>
    <t>Burns, Erin</t>
  </si>
  <si>
    <t>Labossiere, Samantha</t>
  </si>
  <si>
    <t>Hammond, Robert</t>
  </si>
  <si>
    <t>Diaz, Lino</t>
  </si>
  <si>
    <t>Ukegbu, Ezi</t>
  </si>
  <si>
    <t>Bailey, Michael</t>
  </si>
  <si>
    <t>Morgan, Zuri</t>
  </si>
  <si>
    <t>Reardon, Elizabeth</t>
  </si>
  <si>
    <t>Castro, Cristina</t>
  </si>
  <si>
    <t>Almanzar, Yocari</t>
  </si>
  <si>
    <t>Henriquez, Luis</t>
  </si>
  <si>
    <t>Tadepalli, Ashwin</t>
  </si>
  <si>
    <t>Gathing, Vance</t>
  </si>
  <si>
    <t>Hoque, Shatti</t>
  </si>
  <si>
    <t>Hao, Lindsay</t>
  </si>
  <si>
    <t>Ijaz, Kulsoom</t>
  </si>
  <si>
    <t>Evers, Erin</t>
  </si>
  <si>
    <t>DeStefano, Jessica</t>
  </si>
  <si>
    <t>Catuira, Rochelle</t>
  </si>
  <si>
    <t>He, Ricky</t>
  </si>
  <si>
    <t>Belhomme, Wilesca</t>
  </si>
  <si>
    <t>McHugh Mills, Maura</t>
  </si>
  <si>
    <t>Luo, Amy</t>
  </si>
  <si>
    <t>Spencer, Eleanor</t>
  </si>
  <si>
    <t>Barrett, Samantha</t>
  </si>
  <si>
    <t>Open</t>
  </si>
  <si>
    <t>Closed</t>
  </si>
  <si>
    <t>02/27/2019</t>
  </si>
  <si>
    <t>08/15/2018</t>
  </si>
  <si>
    <t>10/09/2018</t>
  </si>
  <si>
    <t>06/25/2018</t>
  </si>
  <si>
    <t>07/31/2018</t>
  </si>
  <si>
    <t>02/05/2019</t>
  </si>
  <si>
    <t>05/07/2019</t>
  </si>
  <si>
    <t>11/16/2018</t>
  </si>
  <si>
    <t>09/04/2018</t>
  </si>
  <si>
    <t>12/19/2018</t>
  </si>
  <si>
    <t>07/24/2018</t>
  </si>
  <si>
    <t>12/07/2018</t>
  </si>
  <si>
    <t>03/25/2019</t>
  </si>
  <si>
    <t>11/30/2018</t>
  </si>
  <si>
    <t>06/10/2019</t>
  </si>
  <si>
    <t>08/09/2018</t>
  </si>
  <si>
    <t>02/22/2019</t>
  </si>
  <si>
    <t>01/30/2019</t>
  </si>
  <si>
    <t>04/08/2019</t>
  </si>
  <si>
    <t>07/23/2018</t>
  </si>
  <si>
    <t>07/16/2018</t>
  </si>
  <si>
    <t>04/17/2019</t>
  </si>
  <si>
    <t>11/08/2018</t>
  </si>
  <si>
    <t>05/21/2019</t>
  </si>
  <si>
    <t>03/13/2019</t>
  </si>
  <si>
    <t>02/26/2019</t>
  </si>
  <si>
    <t>05/15/2019</t>
  </si>
  <si>
    <t>12/04/2018</t>
  </si>
  <si>
    <t>04/26/2019</t>
  </si>
  <si>
    <t>09/11/2018</t>
  </si>
  <si>
    <t>03/22/2019</t>
  </si>
  <si>
    <t>11/13/2018</t>
  </si>
  <si>
    <t>08/20/2018</t>
  </si>
  <si>
    <t>04/11/2019</t>
  </si>
  <si>
    <t>03/12/2019</t>
  </si>
  <si>
    <t>10/03/2018</t>
  </si>
  <si>
    <t>07/03/2018</t>
  </si>
  <si>
    <t>01/04/2019</t>
  </si>
  <si>
    <t>04/18/2019</t>
  </si>
  <si>
    <t>09/20/2018</t>
  </si>
  <si>
    <t>12/24/2018</t>
  </si>
  <si>
    <t>05/31/2019</t>
  </si>
  <si>
    <t>08/13/2018</t>
  </si>
  <si>
    <t>02/13/2019</t>
  </si>
  <si>
    <t>09/14/2018</t>
  </si>
  <si>
    <t>02/11/2019</t>
  </si>
  <si>
    <t>09/26/2018</t>
  </si>
  <si>
    <t>04/16/2019</t>
  </si>
  <si>
    <t>04/23/2019</t>
  </si>
  <si>
    <t>01/02/2019</t>
  </si>
  <si>
    <t>07/27/2018</t>
  </si>
  <si>
    <t>07/30/2018</t>
  </si>
  <si>
    <t>04/09/2019</t>
  </si>
  <si>
    <t>10/31/2018</t>
  </si>
  <si>
    <t>04/22/2019</t>
  </si>
  <si>
    <t>04/29/2019</t>
  </si>
  <si>
    <t>02/20/2019</t>
  </si>
  <si>
    <t>06/26/2019</t>
  </si>
  <si>
    <t>12/12/2018</t>
  </si>
  <si>
    <t>11/29/2018</t>
  </si>
  <si>
    <t>08/21/2018</t>
  </si>
  <si>
    <t>05/03/2019</t>
  </si>
  <si>
    <t>09/28/2018</t>
  </si>
  <si>
    <t>08/08/2018</t>
  </si>
  <si>
    <t>09/18/2018</t>
  </si>
  <si>
    <t>05/16/2019</t>
  </si>
  <si>
    <t>12/11/2018</t>
  </si>
  <si>
    <t>08/29/2018</t>
  </si>
  <si>
    <t>06/20/2017</t>
  </si>
  <si>
    <t>06/26/2017</t>
  </si>
  <si>
    <t>04/10/2019</t>
  </si>
  <si>
    <t>01/25/2019</t>
  </si>
  <si>
    <t>01/24/2019</t>
  </si>
  <si>
    <t>10/22/2018</t>
  </si>
  <si>
    <t>04/25/2019</t>
  </si>
  <si>
    <t>04/02/2019</t>
  </si>
  <si>
    <t>07/10/2018</t>
  </si>
  <si>
    <t>09/19/2018</t>
  </si>
  <si>
    <t>12/18/2018</t>
  </si>
  <si>
    <t>08/24/2018</t>
  </si>
  <si>
    <t>10/16/2018</t>
  </si>
  <si>
    <t>12/10/2018</t>
  </si>
  <si>
    <t>10/18/2018</t>
  </si>
  <si>
    <t>02/08/2019</t>
  </si>
  <si>
    <t>05/30/2019</t>
  </si>
  <si>
    <t>10/01/2018</t>
  </si>
  <si>
    <t>08/06/2018</t>
  </si>
  <si>
    <t>11/01/2018</t>
  </si>
  <si>
    <t>03/04/2019</t>
  </si>
  <si>
    <t>03/18/2019</t>
  </si>
  <si>
    <t>03/28/2019</t>
  </si>
  <si>
    <t>03/05/2019</t>
  </si>
  <si>
    <t>10/02/2018</t>
  </si>
  <si>
    <t>03/26/2019</t>
  </si>
  <si>
    <t>06/15/2018</t>
  </si>
  <si>
    <t>07/18/2018</t>
  </si>
  <si>
    <t>10/15/2018</t>
  </si>
  <si>
    <t>09/17/2018</t>
  </si>
  <si>
    <t>02/19/2019</t>
  </si>
  <si>
    <t>08/23/2018</t>
  </si>
  <si>
    <t>02/15/2019</t>
  </si>
  <si>
    <t>03/01/2019</t>
  </si>
  <si>
    <t>01/03/2019</t>
  </si>
  <si>
    <t>06/13/2019</t>
  </si>
  <si>
    <t>04/19/2019</t>
  </si>
  <si>
    <t>12/13/2018</t>
  </si>
  <si>
    <t>01/10/2019</t>
  </si>
  <si>
    <t>05/24/2019</t>
  </si>
  <si>
    <t>12/05/2018</t>
  </si>
  <si>
    <t>03/21/2019</t>
  </si>
  <si>
    <t>05/01/2019</t>
  </si>
  <si>
    <t>11/17/2016</t>
  </si>
  <si>
    <t>01/28/2019</t>
  </si>
  <si>
    <t>10/19/2018</t>
  </si>
  <si>
    <t>10/26/2018</t>
  </si>
  <si>
    <t>06/27/2018</t>
  </si>
  <si>
    <t>11/19/2018</t>
  </si>
  <si>
    <t>01/29/2018</t>
  </si>
  <si>
    <t>04/01/2019</t>
  </si>
  <si>
    <t>09/05/2018</t>
  </si>
  <si>
    <t>01/22/2019</t>
  </si>
  <si>
    <t>03/06/2019</t>
  </si>
  <si>
    <t>07/12/2018</t>
  </si>
  <si>
    <t>11/09/2018</t>
  </si>
  <si>
    <t>07/03/2019</t>
  </si>
  <si>
    <t>05/29/2019</t>
  </si>
  <si>
    <t>05/13/2019</t>
  </si>
  <si>
    <t>09/13/2018</t>
  </si>
  <si>
    <t>04/30/2019</t>
  </si>
  <si>
    <t>02/21/2019</t>
  </si>
  <si>
    <t>04/03/2019</t>
  </si>
  <si>
    <t>11/20/2018</t>
  </si>
  <si>
    <t>12/21/2018</t>
  </si>
  <si>
    <t>10/04/2018</t>
  </si>
  <si>
    <t>01/23/2019</t>
  </si>
  <si>
    <t>07/05/2018</t>
  </si>
  <si>
    <t>03/14/2019</t>
  </si>
  <si>
    <t>01/18/2019</t>
  </si>
  <si>
    <t>04/05/2019</t>
  </si>
  <si>
    <t>12/28/2018</t>
  </si>
  <si>
    <t>08/03/2018</t>
  </si>
  <si>
    <t>12/14/2018</t>
  </si>
  <si>
    <t>01/08/2019</t>
  </si>
  <si>
    <t>10/05/2018</t>
  </si>
  <si>
    <t>11/07/2018</t>
  </si>
  <si>
    <t>03/19/2019</t>
  </si>
  <si>
    <t>10/17/2018</t>
  </si>
  <si>
    <t>09/24/2018</t>
  </si>
  <si>
    <t>01/29/2019</t>
  </si>
  <si>
    <t>08/07/2018</t>
  </si>
  <si>
    <t>11/15/2018</t>
  </si>
  <si>
    <t>02/28/2019</t>
  </si>
  <si>
    <t>03/08/2019</t>
  </si>
  <si>
    <t>10/10/2018</t>
  </si>
  <si>
    <t>01/07/2019</t>
  </si>
  <si>
    <t>02/01/2019</t>
  </si>
  <si>
    <t>08/16/2018</t>
  </si>
  <si>
    <t>05/02/2019</t>
  </si>
  <si>
    <t>08/14/2018</t>
  </si>
  <si>
    <t>02/25/2019</t>
  </si>
  <si>
    <t>07/08/2019</t>
  </si>
  <si>
    <t>03/29/2019</t>
  </si>
  <si>
    <t>04/15/2019</t>
  </si>
  <si>
    <t>05/23/2019</t>
  </si>
  <si>
    <t>10/29/2018</t>
  </si>
  <si>
    <t>12/27/2018</t>
  </si>
  <si>
    <t>11/28/2018</t>
  </si>
  <si>
    <t>01/14/2019</t>
  </si>
  <si>
    <t>06/27/2019</t>
  </si>
  <si>
    <t>06/07/2019</t>
  </si>
  <si>
    <t>10/24/2018</t>
  </si>
  <si>
    <t>02/04/2019</t>
  </si>
  <si>
    <t>06/19/2019</t>
  </si>
  <si>
    <t>02/14/2019</t>
  </si>
  <si>
    <t>04/04/2019</t>
  </si>
  <si>
    <t>10/12/2018</t>
  </si>
  <si>
    <t>12/26/2018</t>
  </si>
  <si>
    <t>10/30/2018</t>
  </si>
  <si>
    <t>09/25/2018</t>
  </si>
  <si>
    <t>09/12/2018</t>
  </si>
  <si>
    <t>11/26/2018</t>
  </si>
  <si>
    <t>07/10/2019</t>
  </si>
  <si>
    <t>01/09/2019</t>
  </si>
  <si>
    <t>09/27/2018</t>
  </si>
  <si>
    <t>09/06/2018</t>
  </si>
  <si>
    <t>03/15/2019</t>
  </si>
  <si>
    <t>08/30/2018</t>
  </si>
  <si>
    <t>08/01/2018</t>
  </si>
  <si>
    <t>01/31/2019</t>
  </si>
  <si>
    <t>06/25/2019</t>
  </si>
  <si>
    <t>01/23/2018</t>
  </si>
  <si>
    <t>10/23/2018</t>
  </si>
  <si>
    <t>05/28/2019</t>
  </si>
  <si>
    <t>09/07/2018</t>
  </si>
  <si>
    <t>12/31/2018</t>
  </si>
  <si>
    <t>09/10/2018</t>
  </si>
  <si>
    <t>06/14/2019</t>
  </si>
  <si>
    <t>08/31/2018</t>
  </si>
  <si>
    <t>07/02/2018</t>
  </si>
  <si>
    <t>05/22/2019</t>
  </si>
  <si>
    <t>04/12/2019</t>
  </si>
  <si>
    <t>06/13/2018</t>
  </si>
  <si>
    <t>01/15/2019</t>
  </si>
  <si>
    <t>03/12/2018</t>
  </si>
  <si>
    <t>05/14/2019</t>
  </si>
  <si>
    <t>08/02/2018</t>
  </si>
  <si>
    <t>12/03/2018</t>
  </si>
  <si>
    <t>09/21/2018</t>
  </si>
  <si>
    <t>12/06/2018</t>
  </si>
  <si>
    <t>06/20/2018</t>
  </si>
  <si>
    <t>12/17/2018</t>
  </si>
  <si>
    <t>12/20/2018</t>
  </si>
  <si>
    <t>11/02/2018</t>
  </si>
  <si>
    <t>07/17/2018</t>
  </si>
  <si>
    <t>06/18/2019</t>
  </si>
  <si>
    <t>07/06/2018</t>
  </si>
  <si>
    <t>02/07/2019</t>
  </si>
  <si>
    <t>10/25/2018</t>
  </si>
  <si>
    <t>11/27/2018</t>
  </si>
  <si>
    <t>03/11/2019</t>
  </si>
  <si>
    <t>04/24/2019</t>
  </si>
  <si>
    <t>02/09/2019</t>
  </si>
  <si>
    <t>07/13/2018</t>
  </si>
  <si>
    <t>07/05/2019</t>
  </si>
  <si>
    <t>06/06/2019</t>
  </si>
  <si>
    <t>05/17/2019</t>
  </si>
  <si>
    <t>12/29/2018</t>
  </si>
  <si>
    <t>06/17/2019</t>
  </si>
  <si>
    <t>07/01/2019</t>
  </si>
  <si>
    <t>01/01/2019</t>
  </si>
  <si>
    <t>01/11/2019</t>
  </si>
  <si>
    <t>07/02/2019</t>
  </si>
  <si>
    <t>07/12/2019</t>
  </si>
  <si>
    <t>06/29/2019</t>
  </si>
  <si>
    <t>07/09/2019</t>
  </si>
  <si>
    <t>06/20/2019</t>
  </si>
  <si>
    <t>06/21/2019</t>
  </si>
  <si>
    <t>10/20/2018</t>
  </si>
  <si>
    <t>06/12/2019</t>
  </si>
  <si>
    <t>06/04/2019</t>
  </si>
  <si>
    <t>06/28/2019</t>
  </si>
  <si>
    <t>03/07/2019</t>
  </si>
  <si>
    <t>11/05/2018</t>
  </si>
  <si>
    <t>08/27/2018</t>
  </si>
  <si>
    <t>05/09/2019</t>
  </si>
  <si>
    <t>Nakkisha</t>
  </si>
  <si>
    <t>Mayerlin</t>
  </si>
  <si>
    <t>Damaris</t>
  </si>
  <si>
    <t>Dilenia</t>
  </si>
  <si>
    <t>Leanna</t>
  </si>
  <si>
    <t>Anthony</t>
  </si>
  <si>
    <t>Rafaela</t>
  </si>
  <si>
    <t>Merlyn</t>
  </si>
  <si>
    <t>Moyosore</t>
  </si>
  <si>
    <t>Jacqueline</t>
  </si>
  <si>
    <t>Elizabeth</t>
  </si>
  <si>
    <t>Yadira</t>
  </si>
  <si>
    <t>Emmanuel</t>
  </si>
  <si>
    <t>Marcia</t>
  </si>
  <si>
    <t>Yovanni</t>
  </si>
  <si>
    <t>Melius</t>
  </si>
  <si>
    <t>Yines</t>
  </si>
  <si>
    <t>Maria</t>
  </si>
  <si>
    <t>Kenneth</t>
  </si>
  <si>
    <t>Cynthia</t>
  </si>
  <si>
    <t>Glenys</t>
  </si>
  <si>
    <t>Annette</t>
  </si>
  <si>
    <t>Eliseo</t>
  </si>
  <si>
    <t>Blaise</t>
  </si>
  <si>
    <t>Regina</t>
  </si>
  <si>
    <t>Todd</t>
  </si>
  <si>
    <t>Crystal</t>
  </si>
  <si>
    <t>Lilybeth</t>
  </si>
  <si>
    <t>Ana</t>
  </si>
  <si>
    <t>Leah</t>
  </si>
  <si>
    <t>Ayanna</t>
  </si>
  <si>
    <t>Lina</t>
  </si>
  <si>
    <t>Jennifer</t>
  </si>
  <si>
    <t>Nikeya</t>
  </si>
  <si>
    <t>Mariah</t>
  </si>
  <si>
    <t>Fidelis</t>
  </si>
  <si>
    <t>Maximiliano</t>
  </si>
  <si>
    <t>Jeanne</t>
  </si>
  <si>
    <t>Tania</t>
  </si>
  <si>
    <t>India</t>
  </si>
  <si>
    <t>Johanna</t>
  </si>
  <si>
    <t>Stephanie</t>
  </si>
  <si>
    <t>Althea</t>
  </si>
  <si>
    <t>Dawn</t>
  </si>
  <si>
    <t>Alicia</t>
  </si>
  <si>
    <t>Cardel</t>
  </si>
  <si>
    <t>Diana</t>
  </si>
  <si>
    <t>Peter</t>
  </si>
  <si>
    <t>Jorge</t>
  </si>
  <si>
    <t>Thembeni</t>
  </si>
  <si>
    <t>Patricia</t>
  </si>
  <si>
    <t>Robin</t>
  </si>
  <si>
    <t>Melissa</t>
  </si>
  <si>
    <t>Marie</t>
  </si>
  <si>
    <t>Rolando</t>
  </si>
  <si>
    <t>Domingo</t>
  </si>
  <si>
    <t>Heeadai</t>
  </si>
  <si>
    <t>Kafaba</t>
  </si>
  <si>
    <t>Sabrina</t>
  </si>
  <si>
    <t>Sharon</t>
  </si>
  <si>
    <t>Tiffany</t>
  </si>
  <si>
    <t>Suehaydee</t>
  </si>
  <si>
    <t>Angelita</t>
  </si>
  <si>
    <t>Angela</t>
  </si>
  <si>
    <t>Dulce</t>
  </si>
  <si>
    <t>Jenny</t>
  </si>
  <si>
    <t>Devin</t>
  </si>
  <si>
    <t>Kiesha</t>
  </si>
  <si>
    <t>Ciara</t>
  </si>
  <si>
    <t>Jasmine</t>
  </si>
  <si>
    <t>Michel'le</t>
  </si>
  <si>
    <t>June</t>
  </si>
  <si>
    <t>Shonniece</t>
  </si>
  <si>
    <t>Tracy</t>
  </si>
  <si>
    <t>Christina</t>
  </si>
  <si>
    <t>Adila</t>
  </si>
  <si>
    <t>Prakash</t>
  </si>
  <si>
    <t>Felix</t>
  </si>
  <si>
    <t>Jacquelin</t>
  </si>
  <si>
    <t>Sherete</t>
  </si>
  <si>
    <t>AYDA</t>
  </si>
  <si>
    <t>Shannon</t>
  </si>
  <si>
    <t>Anita</t>
  </si>
  <si>
    <t>Latoya</t>
  </si>
  <si>
    <t>Paulina</t>
  </si>
  <si>
    <t>Delphine</t>
  </si>
  <si>
    <t>Yulenny</t>
  </si>
  <si>
    <t>Zelda</t>
  </si>
  <si>
    <t>Evan</t>
  </si>
  <si>
    <t>Lucille</t>
  </si>
  <si>
    <t>Deline</t>
  </si>
  <si>
    <t>Dipsy</t>
  </si>
  <si>
    <t>Josephine</t>
  </si>
  <si>
    <t>Escarlet</t>
  </si>
  <si>
    <t>Vaide</t>
  </si>
  <si>
    <t>Loletta</t>
  </si>
  <si>
    <t>Shiaisha</t>
  </si>
  <si>
    <t>Helen</t>
  </si>
  <si>
    <t>Michael</t>
  </si>
  <si>
    <t>Hanirka</t>
  </si>
  <si>
    <t>Mary</t>
  </si>
  <si>
    <t>Juana</t>
  </si>
  <si>
    <t>Ramedeo</t>
  </si>
  <si>
    <t>Beverly</t>
  </si>
  <si>
    <t>Taffi</t>
  </si>
  <si>
    <t>Angelique</t>
  </si>
  <si>
    <t>Nicole</t>
  </si>
  <si>
    <t>Tekera</t>
  </si>
  <si>
    <t>Mecca</t>
  </si>
  <si>
    <t>Momy</t>
  </si>
  <si>
    <t>Martha</t>
  </si>
  <si>
    <t>Juan</t>
  </si>
  <si>
    <t>Maribel</t>
  </si>
  <si>
    <t>Vandella</t>
  </si>
  <si>
    <t>Eduardo</t>
  </si>
  <si>
    <t>Walter</t>
  </si>
  <si>
    <t>Sonia</t>
  </si>
  <si>
    <t>Rahtisha</t>
  </si>
  <si>
    <t>Yahaira</t>
  </si>
  <si>
    <t>Aida</t>
  </si>
  <si>
    <t>John</t>
  </si>
  <si>
    <t>Rudolph</t>
  </si>
  <si>
    <t>Lourdes</t>
  </si>
  <si>
    <t>Theresa</t>
  </si>
  <si>
    <t>Belgica</t>
  </si>
  <si>
    <t>Mohammed</t>
  </si>
  <si>
    <t>Charley</t>
  </si>
  <si>
    <t>Holly</t>
  </si>
  <si>
    <t>Saintiane</t>
  </si>
  <si>
    <t>Myrna</t>
  </si>
  <si>
    <t>Akhtar</t>
  </si>
  <si>
    <t>Karyn</t>
  </si>
  <si>
    <t>Alexis</t>
  </si>
  <si>
    <t>Ena</t>
  </si>
  <si>
    <t>Jose</t>
  </si>
  <si>
    <t>Ahmed</t>
  </si>
  <si>
    <t>Kevin</t>
  </si>
  <si>
    <t>Ramona</t>
  </si>
  <si>
    <t>Ninoska</t>
  </si>
  <si>
    <t>Maha</t>
  </si>
  <si>
    <t>Ana Maria</t>
  </si>
  <si>
    <t>Shunelle</t>
  </si>
  <si>
    <t>Solomon</t>
  </si>
  <si>
    <t>Angel</t>
  </si>
  <si>
    <t>Estheury</t>
  </si>
  <si>
    <t>Leonardo</t>
  </si>
  <si>
    <t>Waleska</t>
  </si>
  <si>
    <t>Gloribel</t>
  </si>
  <si>
    <t>Alexander</t>
  </si>
  <si>
    <t>Leston</t>
  </si>
  <si>
    <t>Jennifer Cruz</t>
  </si>
  <si>
    <t>Turna</t>
  </si>
  <si>
    <t>Doris</t>
  </si>
  <si>
    <t>Brenda</t>
  </si>
  <si>
    <t>Earline</t>
  </si>
  <si>
    <t>Alyssa</t>
  </si>
  <si>
    <t>Nikima</t>
  </si>
  <si>
    <t>Michelle</t>
  </si>
  <si>
    <t>Paula</t>
  </si>
  <si>
    <t>Yeimy</t>
  </si>
  <si>
    <t>Laverne</t>
  </si>
  <si>
    <t>Noemi</t>
  </si>
  <si>
    <t>Danny</t>
  </si>
  <si>
    <t>Karen</t>
  </si>
  <si>
    <t>Madeline</t>
  </si>
  <si>
    <t>Loveena</t>
  </si>
  <si>
    <t>Tamika</t>
  </si>
  <si>
    <t>Thashana</t>
  </si>
  <si>
    <t>Leslie</t>
  </si>
  <si>
    <t>Faith</t>
  </si>
  <si>
    <t>Josmely</t>
  </si>
  <si>
    <t>Natoya</t>
  </si>
  <si>
    <t>Amanda</t>
  </si>
  <si>
    <t>Lillian</t>
  </si>
  <si>
    <t>Mattie</t>
  </si>
  <si>
    <t>Frank</t>
  </si>
  <si>
    <t>Jaquclin</t>
  </si>
  <si>
    <t>Ousmane</t>
  </si>
  <si>
    <t>Andrea</t>
  </si>
  <si>
    <t>Keygee</t>
  </si>
  <si>
    <t>Zorina</t>
  </si>
  <si>
    <t>Tara</t>
  </si>
  <si>
    <t>Suzan</t>
  </si>
  <si>
    <t>Jnea</t>
  </si>
  <si>
    <t>Dilcia</t>
  </si>
  <si>
    <t>Monica</t>
  </si>
  <si>
    <t>Mialynn</t>
  </si>
  <si>
    <t>Leevora</t>
  </si>
  <si>
    <t>Shani</t>
  </si>
  <si>
    <t>Juceyna</t>
  </si>
  <si>
    <t>Anat</t>
  </si>
  <si>
    <t>Genesis</t>
  </si>
  <si>
    <t>Asmahan</t>
  </si>
  <si>
    <t>Wakina</t>
  </si>
  <si>
    <t>Linda</t>
  </si>
  <si>
    <t>Carlos</t>
  </si>
  <si>
    <t>Epifania</t>
  </si>
  <si>
    <t>Lloyd</t>
  </si>
  <si>
    <t>Danielle</t>
  </si>
  <si>
    <t>Diamond</t>
  </si>
  <si>
    <t>Mariame</t>
  </si>
  <si>
    <t>Dianne</t>
  </si>
  <si>
    <t>Angelica</t>
  </si>
  <si>
    <t>Baryse</t>
  </si>
  <si>
    <t>Daniel</t>
  </si>
  <si>
    <t>Mariam</t>
  </si>
  <si>
    <t>Shavonia</t>
  </si>
  <si>
    <t>Erinson</t>
  </si>
  <si>
    <t>Adil</t>
  </si>
  <si>
    <t>Nila</t>
  </si>
  <si>
    <t>Blanca</t>
  </si>
  <si>
    <t>Marquette</t>
  </si>
  <si>
    <t>Judy</t>
  </si>
  <si>
    <t>Ghislaine</t>
  </si>
  <si>
    <t>Fatima</t>
  </si>
  <si>
    <t>Naika</t>
  </si>
  <si>
    <t>Babacar</t>
  </si>
  <si>
    <t>Shaka</t>
  </si>
  <si>
    <t>Jaime</t>
  </si>
  <si>
    <t>Kiana</t>
  </si>
  <si>
    <t>Didgeral</t>
  </si>
  <si>
    <t>Edwina</t>
  </si>
  <si>
    <t>Darlyne</t>
  </si>
  <si>
    <t>Saturina</t>
  </si>
  <si>
    <t>Ray</t>
  </si>
  <si>
    <t>Shoumei</t>
  </si>
  <si>
    <t>Nathaniel</t>
  </si>
  <si>
    <t>Charlene</t>
  </si>
  <si>
    <t>Ebony</t>
  </si>
  <si>
    <t>Serrina</t>
  </si>
  <si>
    <t>Adriana</t>
  </si>
  <si>
    <t>Ariana</t>
  </si>
  <si>
    <t>Sirajul</t>
  </si>
  <si>
    <t>Isabel</t>
  </si>
  <si>
    <t>Shakena</t>
  </si>
  <si>
    <t>Francisca</t>
  </si>
  <si>
    <t>Josefina</t>
  </si>
  <si>
    <t>Courtney</t>
  </si>
  <si>
    <t>Starsheema</t>
  </si>
  <si>
    <t>Evelyn</t>
  </si>
  <si>
    <t>Maritza</t>
  </si>
  <si>
    <t>Carol</t>
  </si>
  <si>
    <t>Britney</t>
  </si>
  <si>
    <t>Davonae</t>
  </si>
  <si>
    <t>Wardell</t>
  </si>
  <si>
    <t>Desery</t>
  </si>
  <si>
    <t>Hannan</t>
  </si>
  <si>
    <t>Francy</t>
  </si>
  <si>
    <t>Veronica</t>
  </si>
  <si>
    <t>Taneisha</t>
  </si>
  <si>
    <t>Jessica</t>
  </si>
  <si>
    <t>Jaytee</t>
  </si>
  <si>
    <t>Yesenia</t>
  </si>
  <si>
    <t>JENNIFER</t>
  </si>
  <si>
    <t>Keriesa</t>
  </si>
  <si>
    <t>Adela</t>
  </si>
  <si>
    <t>Magdalena</t>
  </si>
  <si>
    <t>Madina</t>
  </si>
  <si>
    <t>Sandra</t>
  </si>
  <si>
    <t>Ian</t>
  </si>
  <si>
    <t>Norma</t>
  </si>
  <si>
    <t>Sharmance</t>
  </si>
  <si>
    <t>Felicia</t>
  </si>
  <si>
    <t>Cherry-Ann</t>
  </si>
  <si>
    <t>Ada</t>
  </si>
  <si>
    <t>Ida</t>
  </si>
  <si>
    <t>Destiny</t>
  </si>
  <si>
    <t>Natasha</t>
  </si>
  <si>
    <t>Anastacia</t>
  </si>
  <si>
    <t>Lawfibiah</t>
  </si>
  <si>
    <t>Mayra</t>
  </si>
  <si>
    <t>Dolores</t>
  </si>
  <si>
    <t>April</t>
  </si>
  <si>
    <t>Gail</t>
  </si>
  <si>
    <t>Sherry</t>
  </si>
  <si>
    <t>Rosa</t>
  </si>
  <si>
    <t>Eric</t>
  </si>
  <si>
    <t>David</t>
  </si>
  <si>
    <t>Miasia</t>
  </si>
  <si>
    <t>Luis</t>
  </si>
  <si>
    <t>Larry</t>
  </si>
  <si>
    <t>Glomari</t>
  </si>
  <si>
    <t>Berlin</t>
  </si>
  <si>
    <t>Teshawna</t>
  </si>
  <si>
    <t>Charmaine</t>
  </si>
  <si>
    <t>Nancy</t>
  </si>
  <si>
    <t>Delia</t>
  </si>
  <si>
    <t>Lyudmila</t>
  </si>
  <si>
    <t>Nayrobi</t>
  </si>
  <si>
    <t>Elio</t>
  </si>
  <si>
    <t>Winell</t>
  </si>
  <si>
    <t>Lorna</t>
  </si>
  <si>
    <t>Dorothy</t>
  </si>
  <si>
    <t>Elbia</t>
  </si>
  <si>
    <t>Dagoberto</t>
  </si>
  <si>
    <t>Moresia</t>
  </si>
  <si>
    <t>Cecila</t>
  </si>
  <si>
    <t>Masue</t>
  </si>
  <si>
    <t>Erika</t>
  </si>
  <si>
    <t>Yoely</t>
  </si>
  <si>
    <t>Tasha</t>
  </si>
  <si>
    <t>Neila</t>
  </si>
  <si>
    <t>Md</t>
  </si>
  <si>
    <t>Ryanna</t>
  </si>
  <si>
    <t>Annie</t>
  </si>
  <si>
    <t>Kingsley</t>
  </si>
  <si>
    <t>Konah</t>
  </si>
  <si>
    <t>Admir</t>
  </si>
  <si>
    <t>Adolfo</t>
  </si>
  <si>
    <t>Celia</t>
  </si>
  <si>
    <t>Barbara</t>
  </si>
  <si>
    <t>Carlena</t>
  </si>
  <si>
    <t>Jemma</t>
  </si>
  <si>
    <t>Sebastian</t>
  </si>
  <si>
    <t>Carmen</t>
  </si>
  <si>
    <t>Suimara</t>
  </si>
  <si>
    <t>Silvia</t>
  </si>
  <si>
    <t>Maxima</t>
  </si>
  <si>
    <t>Antonio</t>
  </si>
  <si>
    <t>Mariangely</t>
  </si>
  <si>
    <t>Fania</t>
  </si>
  <si>
    <t>Dalia</t>
  </si>
  <si>
    <t>Wanda</t>
  </si>
  <si>
    <t>Sylvia</t>
  </si>
  <si>
    <t>Adrian</t>
  </si>
  <si>
    <t>Shawnie</t>
  </si>
  <si>
    <t>Lenore</t>
  </si>
  <si>
    <t>Wendy</t>
  </si>
  <si>
    <t>Alisha</t>
  </si>
  <si>
    <t>Nelly</t>
  </si>
  <si>
    <t>Nilo</t>
  </si>
  <si>
    <t>Pedro</t>
  </si>
  <si>
    <t>Vianny</t>
  </si>
  <si>
    <t>Glenda</t>
  </si>
  <si>
    <t>Tchaikvosky</t>
  </si>
  <si>
    <t>Wen Ke</t>
  </si>
  <si>
    <t>Teresa</t>
  </si>
  <si>
    <t>MD</t>
  </si>
  <si>
    <t>Saleh</t>
  </si>
  <si>
    <t>Taniesha</t>
  </si>
  <si>
    <t>Mariatou</t>
  </si>
  <si>
    <t>Shorok</t>
  </si>
  <si>
    <t>Socorro</t>
  </si>
  <si>
    <t>Kelmi</t>
  </si>
  <si>
    <t>Nadya</t>
  </si>
  <si>
    <t>Sheila</t>
  </si>
  <si>
    <t>Penelope</t>
  </si>
  <si>
    <t>Eileen</t>
  </si>
  <si>
    <t>Luz</t>
  </si>
  <si>
    <t>Gemma</t>
  </si>
  <si>
    <t>Rushane</t>
  </si>
  <si>
    <t>Gema</t>
  </si>
  <si>
    <t>Charlotte</t>
  </si>
  <si>
    <t>Ronald</t>
  </si>
  <si>
    <t>Sian</t>
  </si>
  <si>
    <t>Sirilo</t>
  </si>
  <si>
    <t>Yanelys</t>
  </si>
  <si>
    <t>Francis</t>
  </si>
  <si>
    <t>Roldan</t>
  </si>
  <si>
    <t>Fernandez</t>
  </si>
  <si>
    <t>Sanchez</t>
  </si>
  <si>
    <t>Beltrain</t>
  </si>
  <si>
    <t>Morris</t>
  </si>
  <si>
    <t>Lopez De Hernandez</t>
  </si>
  <si>
    <t>Brache</t>
  </si>
  <si>
    <t>Omolayo</t>
  </si>
  <si>
    <t>Veras</t>
  </si>
  <si>
    <t>Nazario</t>
  </si>
  <si>
    <t>Caban</t>
  </si>
  <si>
    <t>Teye-Okofo</t>
  </si>
  <si>
    <t>Rodriguez</t>
  </si>
  <si>
    <t>Gil</t>
  </si>
  <si>
    <t>Michel</t>
  </si>
  <si>
    <t>Baez</t>
  </si>
  <si>
    <t>Vargas</t>
  </si>
  <si>
    <t>Curmon</t>
  </si>
  <si>
    <t>Leed</t>
  </si>
  <si>
    <t>Silverio</t>
  </si>
  <si>
    <t>Reece</t>
  </si>
  <si>
    <t>Oller</t>
  </si>
  <si>
    <t>Guerin</t>
  </si>
  <si>
    <t>Osei-Oferi</t>
  </si>
  <si>
    <t>Cannon</t>
  </si>
  <si>
    <t>Villa-Ruiz</t>
  </si>
  <si>
    <t>Estavez</t>
  </si>
  <si>
    <t>Arce</t>
  </si>
  <si>
    <t>Abreu Negron</t>
  </si>
  <si>
    <t>Cummings</t>
  </si>
  <si>
    <t>Serrata</t>
  </si>
  <si>
    <t>Zeno</t>
  </si>
  <si>
    <t>Hartridge</t>
  </si>
  <si>
    <t>Esquerdo</t>
  </si>
  <si>
    <t>Terris</t>
  </si>
  <si>
    <t>Morales</t>
  </si>
  <si>
    <t>Hovey</t>
  </si>
  <si>
    <t>Dematos</t>
  </si>
  <si>
    <t>Hernandez</t>
  </si>
  <si>
    <t>Campbell</t>
  </si>
  <si>
    <t>Jimenez</t>
  </si>
  <si>
    <t>Nappa</t>
  </si>
  <si>
    <t>Torres</t>
  </si>
  <si>
    <t>Clarke</t>
  </si>
  <si>
    <t>Carter</t>
  </si>
  <si>
    <t>Paulino</t>
  </si>
  <si>
    <t>Gordon</t>
  </si>
  <si>
    <t>Henry</t>
  </si>
  <si>
    <t>Blackman</t>
  </si>
  <si>
    <t>Merlo</t>
  </si>
  <si>
    <t>Lora</t>
  </si>
  <si>
    <t>Buthelezi</t>
  </si>
  <si>
    <t>Darby</t>
  </si>
  <si>
    <t>Blyden</t>
  </si>
  <si>
    <t>Acevedo</t>
  </si>
  <si>
    <t>Vilsaint</t>
  </si>
  <si>
    <t>Grullon</t>
  </si>
  <si>
    <t>Valdez</t>
  </si>
  <si>
    <t>Rambudhan</t>
  </si>
  <si>
    <t>Gadaou</t>
  </si>
  <si>
    <t>Milden</t>
  </si>
  <si>
    <t>Hannibal</t>
  </si>
  <si>
    <t>Morrison</t>
  </si>
  <si>
    <t>Penalo</t>
  </si>
  <si>
    <t>Albert</t>
  </si>
  <si>
    <t>Soto</t>
  </si>
  <si>
    <t>Espinal</t>
  </si>
  <si>
    <t>Diaz</t>
  </si>
  <si>
    <t>Fleming</t>
  </si>
  <si>
    <t>Cromwell</t>
  </si>
  <si>
    <t>Detres</t>
  </si>
  <si>
    <t>Pratt</t>
  </si>
  <si>
    <t>Gonzalez</t>
  </si>
  <si>
    <t>Peals</t>
  </si>
  <si>
    <t>Adams</t>
  </si>
  <si>
    <t>Garcia</t>
  </si>
  <si>
    <t>Baker</t>
  </si>
  <si>
    <t>Brannigan</t>
  </si>
  <si>
    <t>Harry</t>
  </si>
  <si>
    <t>Ginel</t>
  </si>
  <si>
    <t>Vasquez</t>
  </si>
  <si>
    <t>Collins</t>
  </si>
  <si>
    <t>Chambers</t>
  </si>
  <si>
    <t>MAYANCELA</t>
  </si>
  <si>
    <t>Best</t>
  </si>
  <si>
    <t>Young</t>
  </si>
  <si>
    <t>Cardoba</t>
  </si>
  <si>
    <t>Reyes</t>
  </si>
  <si>
    <t>Santos</t>
  </si>
  <si>
    <t>Asiedu</t>
  </si>
  <si>
    <t>Guilaouogui</t>
  </si>
  <si>
    <t>Gomez</t>
  </si>
  <si>
    <t>Bovian</t>
  </si>
  <si>
    <t>Bolden</t>
  </si>
  <si>
    <t>Oliver</t>
  </si>
  <si>
    <t>Delgado-Rolon</t>
  </si>
  <si>
    <t>Ramirez</t>
  </si>
  <si>
    <t>Batista</t>
  </si>
  <si>
    <t>Husenovski</t>
  </si>
  <si>
    <t>Saunders</t>
  </si>
  <si>
    <t>Lewis</t>
  </si>
  <si>
    <t>Adu</t>
  </si>
  <si>
    <t>Martinez</t>
  </si>
  <si>
    <t>Segura</t>
  </si>
  <si>
    <t>Marshall</t>
  </si>
  <si>
    <t>Colon</t>
  </si>
  <si>
    <t>Samaroo</t>
  </si>
  <si>
    <t>Price</t>
  </si>
  <si>
    <t>Blake</t>
  </si>
  <si>
    <t>Jones</t>
  </si>
  <si>
    <t>Orta</t>
  </si>
  <si>
    <t>Fredericks</t>
  </si>
  <si>
    <t>Jamison</t>
  </si>
  <si>
    <t>Ndiaye</t>
  </si>
  <si>
    <t>Guillen</t>
  </si>
  <si>
    <t>Maldonado</t>
  </si>
  <si>
    <t>Nuesi</t>
  </si>
  <si>
    <t>Luciano</t>
  </si>
  <si>
    <t>May</t>
  </si>
  <si>
    <t>Dudley</t>
  </si>
  <si>
    <t>Nunez</t>
  </si>
  <si>
    <t>Cortez</t>
  </si>
  <si>
    <t>Smith</t>
  </si>
  <si>
    <t>Raines</t>
  </si>
  <si>
    <t>Davis</t>
  </si>
  <si>
    <t>Abreu</t>
  </si>
  <si>
    <t>Dirubba</t>
  </si>
  <si>
    <t>Munroe</t>
  </si>
  <si>
    <t>Figueroa</t>
  </si>
  <si>
    <t>White</t>
  </si>
  <si>
    <t>Hydara</t>
  </si>
  <si>
    <t>Anetor</t>
  </si>
  <si>
    <t>Molyneaux</t>
  </si>
  <si>
    <t>Charles-Perrin</t>
  </si>
  <si>
    <t>Mohammad</t>
  </si>
  <si>
    <t>Quarto</t>
  </si>
  <si>
    <t>Mullings</t>
  </si>
  <si>
    <t>Gado</t>
  </si>
  <si>
    <t>Glenn</t>
  </si>
  <si>
    <t>Taveras</t>
  </si>
  <si>
    <t>Del Rosario</t>
  </si>
  <si>
    <t>Williams</t>
  </si>
  <si>
    <t>Mekki</t>
  </si>
  <si>
    <t>Cabrera</t>
  </si>
  <si>
    <t>King</t>
  </si>
  <si>
    <t>Ali</t>
  </si>
  <si>
    <t>Rivera</t>
  </si>
  <si>
    <t>Ventura</t>
  </si>
  <si>
    <t>Calix</t>
  </si>
  <si>
    <t>Hopson</t>
  </si>
  <si>
    <t>Castillo</t>
  </si>
  <si>
    <t>Phillips</t>
  </si>
  <si>
    <t>Cupid</t>
  </si>
  <si>
    <t>Medina</t>
  </si>
  <si>
    <t>Almaguer</t>
  </si>
  <si>
    <t>Sarit</t>
  </si>
  <si>
    <t>Leyba</t>
  </si>
  <si>
    <t>Concepcion</t>
  </si>
  <si>
    <t>Deare</t>
  </si>
  <si>
    <t>Renkas</t>
  </si>
  <si>
    <t>Easton</t>
  </si>
  <si>
    <t>Campos</t>
  </si>
  <si>
    <t>Odum</t>
  </si>
  <si>
    <t>Alvarado</t>
  </si>
  <si>
    <t>Vidal</t>
  </si>
  <si>
    <t>Lockward</t>
  </si>
  <si>
    <t>Casiano</t>
  </si>
  <si>
    <t>Joyner</t>
  </si>
  <si>
    <t>Jacobs</t>
  </si>
  <si>
    <t>Sidney</t>
  </si>
  <si>
    <t>Shaw</t>
  </si>
  <si>
    <t>Cabral</t>
  </si>
  <si>
    <t>Seabrooks</t>
  </si>
  <si>
    <t>Moore</t>
  </si>
  <si>
    <t>Peppaceno</t>
  </si>
  <si>
    <t>Vega</t>
  </si>
  <si>
    <t>Monegro</t>
  </si>
  <si>
    <t>Brown</t>
  </si>
  <si>
    <t>Cruz</t>
  </si>
  <si>
    <t>Diatta</t>
  </si>
  <si>
    <t>Pastrana</t>
  </si>
  <si>
    <t>Nichtburg</t>
  </si>
  <si>
    <t>Ramnarine</t>
  </si>
  <si>
    <t>Porter</t>
  </si>
  <si>
    <t>Valerio</t>
  </si>
  <si>
    <t>Mendez</t>
  </si>
  <si>
    <t>Blondet</t>
  </si>
  <si>
    <t>Covert</t>
  </si>
  <si>
    <t>Woods</t>
  </si>
  <si>
    <t>Pineda</t>
  </si>
  <si>
    <t>Prater</t>
  </si>
  <si>
    <t>Ortiz</t>
  </si>
  <si>
    <t>Zapata</t>
  </si>
  <si>
    <t>Deshields</t>
  </si>
  <si>
    <t>Hinton</t>
  </si>
  <si>
    <t>Pena</t>
  </si>
  <si>
    <t>Meerbaum</t>
  </si>
  <si>
    <t>Ramos</t>
  </si>
  <si>
    <t>Hussein</t>
  </si>
  <si>
    <t>Ward</t>
  </si>
  <si>
    <t>Maniscalco</t>
  </si>
  <si>
    <t>Aybar</t>
  </si>
  <si>
    <t>Dunn</t>
  </si>
  <si>
    <t>Crenshaw</t>
  </si>
  <si>
    <t>Diane</t>
  </si>
  <si>
    <t>Boucaud</t>
  </si>
  <si>
    <t>Caraballo</t>
  </si>
  <si>
    <t>Barnes</t>
  </si>
  <si>
    <t>Sidibe</t>
  </si>
  <si>
    <t>De la Cruz</t>
  </si>
  <si>
    <t>Irizzary</t>
  </si>
  <si>
    <t>Harrison</t>
  </si>
  <si>
    <t>Salce</t>
  </si>
  <si>
    <t>Flores</t>
  </si>
  <si>
    <t>Bascom</t>
  </si>
  <si>
    <t>Ramales</t>
  </si>
  <si>
    <t>Kennedy</t>
  </si>
  <si>
    <t>Garcia Collado</t>
  </si>
  <si>
    <t>Magloire</t>
  </si>
  <si>
    <t>Marroquin</t>
  </si>
  <si>
    <t>Vielot</t>
  </si>
  <si>
    <t>Thiam</t>
  </si>
  <si>
    <t>Tyler</t>
  </si>
  <si>
    <t>Durden</t>
  </si>
  <si>
    <t>Saylor</t>
  </si>
  <si>
    <t>Rosado</t>
  </si>
  <si>
    <t>Chrisme</t>
  </si>
  <si>
    <t>Navarro</t>
  </si>
  <si>
    <t>Elvy</t>
  </si>
  <si>
    <t>Kerney</t>
  </si>
  <si>
    <t>De Leon</t>
  </si>
  <si>
    <t>Griffin</t>
  </si>
  <si>
    <t>Thompson</t>
  </si>
  <si>
    <t>Montalvo</t>
  </si>
  <si>
    <t>Thomas</t>
  </si>
  <si>
    <t>Castro</t>
  </si>
  <si>
    <t>Hoque</t>
  </si>
  <si>
    <t>Carvajal</t>
  </si>
  <si>
    <t>Tejada</t>
  </si>
  <si>
    <t>Jenkins</t>
  </si>
  <si>
    <t>Wilson</t>
  </si>
  <si>
    <t>Cisneros</t>
  </si>
  <si>
    <t>McCarthy</t>
  </si>
  <si>
    <t>Willson</t>
  </si>
  <si>
    <t>Natoli</t>
  </si>
  <si>
    <t>Maxey</t>
  </si>
  <si>
    <t>Richbourgh</t>
  </si>
  <si>
    <t>Hibbert</t>
  </si>
  <si>
    <t>Johnson</t>
  </si>
  <si>
    <t>Bailey</t>
  </si>
  <si>
    <t>Cain</t>
  </si>
  <si>
    <t>Saeed</t>
  </si>
  <si>
    <t>Lopez</t>
  </si>
  <si>
    <t>Orozco-Osorio</t>
  </si>
  <si>
    <t>Richards</t>
  </si>
  <si>
    <t>Mcgowan</t>
  </si>
  <si>
    <t>Arias</t>
  </si>
  <si>
    <t>Muller-Cowan</t>
  </si>
  <si>
    <t>Spurgeon</t>
  </si>
  <si>
    <t>Rainey</t>
  </si>
  <si>
    <t>Berrios</t>
  </si>
  <si>
    <t>ULLOA</t>
  </si>
  <si>
    <t>Willocle</t>
  </si>
  <si>
    <t>Moronta</t>
  </si>
  <si>
    <t>Minena</t>
  </si>
  <si>
    <t>Canciello</t>
  </si>
  <si>
    <t>Goff</t>
  </si>
  <si>
    <t>Miner</t>
  </si>
  <si>
    <t>Praylow</t>
  </si>
  <si>
    <t>Coromilas</t>
  </si>
  <si>
    <t>Mayers</t>
  </si>
  <si>
    <t>Collazo</t>
  </si>
  <si>
    <t>Otero</t>
  </si>
  <si>
    <t>Sheftall</t>
  </si>
  <si>
    <t>Baptiste</t>
  </si>
  <si>
    <t>Almonte</t>
  </si>
  <si>
    <t>Snyder</t>
  </si>
  <si>
    <t>Reina</t>
  </si>
  <si>
    <t>Aguiar</t>
  </si>
  <si>
    <t>Tatun</t>
  </si>
  <si>
    <t>Perez</t>
  </si>
  <si>
    <t>Murray</t>
  </si>
  <si>
    <t>Rocha</t>
  </si>
  <si>
    <t>House</t>
  </si>
  <si>
    <t>Cruz Vidal</t>
  </si>
  <si>
    <t>Mieses</t>
  </si>
  <si>
    <t>Banks</t>
  </si>
  <si>
    <t>Graham</t>
  </si>
  <si>
    <t>Akilov</t>
  </si>
  <si>
    <t>Varela M</t>
  </si>
  <si>
    <t>Page</t>
  </si>
  <si>
    <t>Mims</t>
  </si>
  <si>
    <t>Genao</t>
  </si>
  <si>
    <t>Browne-James</t>
  </si>
  <si>
    <t>Kromah</t>
  </si>
  <si>
    <t>Breeland</t>
  </si>
  <si>
    <t>Fuentes</t>
  </si>
  <si>
    <t>McQueen</t>
  </si>
  <si>
    <t>Numan</t>
  </si>
  <si>
    <t>McDowell-Butts</t>
  </si>
  <si>
    <t>Taylor Toulson</t>
  </si>
  <si>
    <t>Abuchi</t>
  </si>
  <si>
    <t>Gbarlea</t>
  </si>
  <si>
    <t>Rasic</t>
  </si>
  <si>
    <t>Garcia-Pichardo</t>
  </si>
  <si>
    <t>Checo</t>
  </si>
  <si>
    <t>De La Cruz</t>
  </si>
  <si>
    <t>Cartagena</t>
  </si>
  <si>
    <t>Sosa</t>
  </si>
  <si>
    <t>Tineo</t>
  </si>
  <si>
    <t>Corporan</t>
  </si>
  <si>
    <t>Monserrate</t>
  </si>
  <si>
    <t>Colon-Sierra</t>
  </si>
  <si>
    <t>Mojica</t>
  </si>
  <si>
    <t>Carmona</t>
  </si>
  <si>
    <t>Steele</t>
  </si>
  <si>
    <t>Tull</t>
  </si>
  <si>
    <t>Mercedes</t>
  </si>
  <si>
    <t>Ortega</t>
  </si>
  <si>
    <t>de Aza</t>
  </si>
  <si>
    <t>Carbonell</t>
  </si>
  <si>
    <t>Bermeo</t>
  </si>
  <si>
    <t>Lin</t>
  </si>
  <si>
    <t>Abbadi</t>
  </si>
  <si>
    <t>Martin</t>
  </si>
  <si>
    <t>Diallo</t>
  </si>
  <si>
    <t>UZZAMAN</t>
  </si>
  <si>
    <t>Albakooli</t>
  </si>
  <si>
    <t>Tejada Guzman</t>
  </si>
  <si>
    <t>Huggins</t>
  </si>
  <si>
    <t>Suarez</t>
  </si>
  <si>
    <t>Young-Mark</t>
  </si>
  <si>
    <t>Palmer</t>
  </si>
  <si>
    <t>Romero Castro</t>
  </si>
  <si>
    <t>Sultana</t>
  </si>
  <si>
    <t>Bastieu</t>
  </si>
  <si>
    <t>Trotman</t>
  </si>
  <si>
    <t>Taylor</t>
  </si>
  <si>
    <t>Reinoso</t>
  </si>
  <si>
    <t>1926 Crotona Pkwy</t>
  </si>
  <si>
    <t>22907 56th Ave</t>
  </si>
  <si>
    <t>119 Vermilyea Ave</t>
  </si>
  <si>
    <t>485 Herzl St</t>
  </si>
  <si>
    <t>2237 Dix Ave</t>
  </si>
  <si>
    <t>1777 Grand Concourse</t>
  </si>
  <si>
    <t>1230 woodycrest Ave</t>
  </si>
  <si>
    <t>215 E 164th St</t>
  </si>
  <si>
    <t>2543 Beach Channel Dr</t>
  </si>
  <si>
    <t>38 6th Ave</t>
  </si>
  <si>
    <t>232 Stuyvesant Ave</t>
  </si>
  <si>
    <t>1220 Shakespeare Ave</t>
  </si>
  <si>
    <t>210 Sherman Ave</t>
  </si>
  <si>
    <t>3784 10th Ave</t>
  </si>
  <si>
    <t>21 Saint Pauls Ct</t>
  </si>
  <si>
    <t>68 Buffalo Ave</t>
  </si>
  <si>
    <t>1854 7th Ave</t>
  </si>
  <si>
    <t>65 Seaman Ave</t>
  </si>
  <si>
    <t>1355 New York Ave</t>
  </si>
  <si>
    <t>1525 Nelson Ave</t>
  </si>
  <si>
    <t>244 Richmond Ter</t>
  </si>
  <si>
    <t>35 E 106th St</t>
  </si>
  <si>
    <t>120 Beach 26th St</t>
  </si>
  <si>
    <t>26 Ebbitts St</t>
  </si>
  <si>
    <t>2111 Southern Blvd</t>
  </si>
  <si>
    <t>955 Cauldwell Ave</t>
  </si>
  <si>
    <t>1990 Lexington Ave</t>
  </si>
  <si>
    <t>1700 Hoe Avenue</t>
  </si>
  <si>
    <t>354 E 54th St</t>
  </si>
  <si>
    <t>1515 Selwyn Ave</t>
  </si>
  <si>
    <t>40 Richman Plz</t>
  </si>
  <si>
    <t>908 Thomas S Boyland St</t>
  </si>
  <si>
    <t>148 Corson Ave</t>
  </si>
  <si>
    <t>662 Halsey St</t>
  </si>
  <si>
    <t>195 Benziger Ave</t>
  </si>
  <si>
    <t>790 Grand Concourse</t>
  </si>
  <si>
    <t>1295 Grand Concourse</t>
  </si>
  <si>
    <t>216 Rockaway Ave</t>
  </si>
  <si>
    <t>424 W 48th St</t>
  </si>
  <si>
    <t>55 Austin Pl</t>
  </si>
  <si>
    <t>219 Hamilton Ave</t>
  </si>
  <si>
    <t>1545 Saint Marks Ave</t>
  </si>
  <si>
    <t>3542 Holland Ave</t>
  </si>
  <si>
    <t>50 E 196th St</t>
  </si>
  <si>
    <t>398 Crescent St</t>
  </si>
  <si>
    <t>2215 Newkirk Ave</t>
  </si>
  <si>
    <t>55 Raritan Ave</t>
  </si>
  <si>
    <t>40 Thayer St</t>
  </si>
  <si>
    <t>725 Riverside Dr</t>
  </si>
  <si>
    <t>2518 Seagirt Ave</t>
  </si>
  <si>
    <t>2217 8th Ave</t>
  </si>
  <si>
    <t>100 W 163rd St</t>
  </si>
  <si>
    <t>2511 Newkirk Ave</t>
  </si>
  <si>
    <t>19 Vermilyea Ave</t>
  </si>
  <si>
    <t>100 Arden St</t>
  </si>
  <si>
    <t>11536 125th St</t>
  </si>
  <si>
    <t>631 E 220th St</t>
  </si>
  <si>
    <t>133 Beach 56th Pl</t>
  </si>
  <si>
    <t>125 Mount Hope Pl</t>
  </si>
  <si>
    <t>141 Park Hill Ave</t>
  </si>
  <si>
    <t>1505 Grand Concourse</t>
  </si>
  <si>
    <t>145 W Kingsbridge Rd</t>
  </si>
  <si>
    <t>87 Post Ave</t>
  </si>
  <si>
    <t>1336 Saint Marks Ave</t>
  </si>
  <si>
    <t>1705 Zerega Ave</t>
  </si>
  <si>
    <t>524 W 173rd St</t>
  </si>
  <si>
    <t>1652 Park Ave</t>
  </si>
  <si>
    <t>1964 1st Ave</t>
  </si>
  <si>
    <t>185 Park Hill Ave</t>
  </si>
  <si>
    <t>1590 Madison Ave</t>
  </si>
  <si>
    <t>260 Howard Ave</t>
  </si>
  <si>
    <t>509 W 176th St</t>
  </si>
  <si>
    <t>237 Clove Rd</t>
  </si>
  <si>
    <t>255 E.138 Street</t>
  </si>
  <si>
    <t>71 Thompson St</t>
  </si>
  <si>
    <t>2845 University Ave</t>
  </si>
  <si>
    <t>185 Saint Marks Pl</t>
  </si>
  <si>
    <t>285 Bainbridge St</t>
  </si>
  <si>
    <t>1004 Hegeman Ave</t>
  </si>
  <si>
    <t>78 Rome Ave</t>
  </si>
  <si>
    <t>1595 Madison Ave</t>
  </si>
  <si>
    <t>10721 Jamaica Ave</t>
  </si>
  <si>
    <t>176 Westervelt Ave</t>
  </si>
  <si>
    <t>155a Beach 27th St</t>
  </si>
  <si>
    <t>2229 Dix Ave</t>
  </si>
  <si>
    <t>1410 New Haven Ave</t>
  </si>
  <si>
    <t>1212 Grand Concourse</t>
  </si>
  <si>
    <t>800 E 180th St</t>
  </si>
  <si>
    <t>1457 Leland Ave</t>
  </si>
  <si>
    <t>115 Atkins Ave</t>
  </si>
  <si>
    <t>1700 Crotona Park E</t>
  </si>
  <si>
    <t>388 Richmond Ter</t>
  </si>
  <si>
    <t>127 E 107th St</t>
  </si>
  <si>
    <t>146 Beach 59th St</t>
  </si>
  <si>
    <t>567 W 186th St</t>
  </si>
  <si>
    <t>58 Lewis Ave</t>
  </si>
  <si>
    <t>685e E 243rd St</t>
  </si>
  <si>
    <t>1075 Nelson Ave</t>
  </si>
  <si>
    <t>30 Ebbitts St</t>
  </si>
  <si>
    <t>17 Tryon Ave</t>
  </si>
  <si>
    <t>60 Thayer St</t>
  </si>
  <si>
    <t>1215 Grand Concourse</t>
  </si>
  <si>
    <t>18501 Hilburn Ave</t>
  </si>
  <si>
    <t>55 Bowen St</t>
  </si>
  <si>
    <t>1011 Nameoke St</t>
  </si>
  <si>
    <t>51 E 129th St</t>
  </si>
  <si>
    <t>5409 Almeda Ave</t>
  </si>
  <si>
    <t>1035 Anderson Ave</t>
  </si>
  <si>
    <t>2313 Strauss St</t>
  </si>
  <si>
    <t>5025 Broadway</t>
  </si>
  <si>
    <t>99 Pine St</t>
  </si>
  <si>
    <t>1549 Townsend Ave</t>
  </si>
  <si>
    <t>2353 Pacific St</t>
  </si>
  <si>
    <t>854 Myrtle Ave</t>
  </si>
  <si>
    <t>990 Anderson Ave</t>
  </si>
  <si>
    <t>3920 205th St</t>
  </si>
  <si>
    <t>3757 Barnes Ave</t>
  </si>
  <si>
    <t>249 Beach 15th St</t>
  </si>
  <si>
    <t>248 Bainbridge st</t>
  </si>
  <si>
    <t>611 Linwood St</t>
  </si>
  <si>
    <t>99 Marble Hill Ave</t>
  </si>
  <si>
    <t>1180 Anderson Ave</t>
  </si>
  <si>
    <t>16212 95th St</t>
  </si>
  <si>
    <t>50 Linden Blvd</t>
  </si>
  <si>
    <t>1535 Undercliff Ave</t>
  </si>
  <si>
    <t>413 Jersey St</t>
  </si>
  <si>
    <t>700 W 175th St</t>
  </si>
  <si>
    <t>1111 Gerard Ave</t>
  </si>
  <si>
    <t>2080 1st Ave</t>
  </si>
  <si>
    <t>110 Highland Pl</t>
  </si>
  <si>
    <t>600 E 178th St</t>
  </si>
  <si>
    <t>1953 Sedgwick Ave</t>
  </si>
  <si>
    <t>737 Liberty Ave</t>
  </si>
  <si>
    <t>31 Jackson Ave</t>
  </si>
  <si>
    <t>1521 Sheridan Ave</t>
  </si>
  <si>
    <t>315 Pulaski St</t>
  </si>
  <si>
    <t>260 Audubon Ave</t>
  </si>
  <si>
    <t>117 Sherman Ave</t>
  </si>
  <si>
    <t>50 W 139th St</t>
  </si>
  <si>
    <t>3215 34th St</t>
  </si>
  <si>
    <t>3920 Broadway</t>
  </si>
  <si>
    <t>1350 Park Pl</t>
  </si>
  <si>
    <t>37 Bradford st</t>
  </si>
  <si>
    <t>2009 Marmion Ave</t>
  </si>
  <si>
    <t>3502 Hull Ave</t>
  </si>
  <si>
    <t>2734 Claflin Ave</t>
  </si>
  <si>
    <t>140 Vermilyea Ave</t>
  </si>
  <si>
    <t>1062 Elton St</t>
  </si>
  <si>
    <t>437 Wyona St</t>
  </si>
  <si>
    <t>1756 Park Pl</t>
  </si>
  <si>
    <t>3133 90th St</t>
  </si>
  <si>
    <t>1140 Woodycrest Ave</t>
  </si>
  <si>
    <t>466 Marcy Ave</t>
  </si>
  <si>
    <t>2001 Morris Ave</t>
  </si>
  <si>
    <t>4001 10th St</t>
  </si>
  <si>
    <t>765 Stanley Ave</t>
  </si>
  <si>
    <t>141 Hendricks Ave</t>
  </si>
  <si>
    <t>171 E 96th St</t>
  </si>
  <si>
    <t>101 W 106th St</t>
  </si>
  <si>
    <t>161 Boerum St</t>
  </si>
  <si>
    <t>1615 Saint Johns Pl</t>
  </si>
  <si>
    <t>8417 Glenwood Rd</t>
  </si>
  <si>
    <t>415 E 16th St</t>
  </si>
  <si>
    <t>765 Lincoln Ave</t>
  </si>
  <si>
    <t>509 W 212th St</t>
  </si>
  <si>
    <t>803 E 182nd St</t>
  </si>
  <si>
    <t>241 E 120th St</t>
  </si>
  <si>
    <t>25353 149th Ave</t>
  </si>
  <si>
    <t>382 Beach 25th St</t>
  </si>
  <si>
    <t>90 Downing St</t>
  </si>
  <si>
    <t>109 Laurel Ave</t>
  </si>
  <si>
    <t>250 E 105th St</t>
  </si>
  <si>
    <t>349 Rockaway Pkwy</t>
  </si>
  <si>
    <t>35 Cheryl Ave</t>
  </si>
  <si>
    <t>439 Castleton Ave</t>
  </si>
  <si>
    <t>1330 Intervale Ave</t>
  </si>
  <si>
    <t>680 Schenck Ave</t>
  </si>
  <si>
    <t>1485 Macombs Rd</t>
  </si>
  <si>
    <t>151 Holden Blvd</t>
  </si>
  <si>
    <t>113 Victory Blvd</t>
  </si>
  <si>
    <t>9112 175th St</t>
  </si>
  <si>
    <t>5707 Shore Front Pkwy</t>
  </si>
  <si>
    <t>3930 3rd ave</t>
  </si>
  <si>
    <t>399 Kosciuszko St</t>
  </si>
  <si>
    <t>1715 Longfellow Ave</t>
  </si>
  <si>
    <t>220 Osgood Ave</t>
  </si>
  <si>
    <t>1415 Mott Ave</t>
  </si>
  <si>
    <t>154 E 175th St</t>
  </si>
  <si>
    <t>396 Saratoga Ave</t>
  </si>
  <si>
    <t>139 Father Capodanno Blvd</t>
  </si>
  <si>
    <t>159 Tysen St</t>
  </si>
  <si>
    <t>300 10th St</t>
  </si>
  <si>
    <t>2701 Grand Concourse</t>
  </si>
  <si>
    <t>8380 118th St</t>
  </si>
  <si>
    <t>3856 10th Ave</t>
  </si>
  <si>
    <t>525 Hegeman Ave</t>
  </si>
  <si>
    <t>16 Vanderbilt Ave</t>
  </si>
  <si>
    <t>252 Sherman ave</t>
  </si>
  <si>
    <t>157 Vermilyea Ave</t>
  </si>
  <si>
    <t>11644 217th St</t>
  </si>
  <si>
    <t>14 Macfarland Ave</t>
  </si>
  <si>
    <t>101 W 165th St</t>
  </si>
  <si>
    <t>1457 Ogden Ave</t>
  </si>
  <si>
    <t>208 Montauk Ave</t>
  </si>
  <si>
    <t>167 Beach 60th St</t>
  </si>
  <si>
    <t>1415 Bristow St</t>
  </si>
  <si>
    <t>212 W Kingsbridge Rd</t>
  </si>
  <si>
    <t>1315 Merriam Ave</t>
  </si>
  <si>
    <t>562 W 190th St</t>
  </si>
  <si>
    <t>3726 65th St</t>
  </si>
  <si>
    <t>14725 88th Ave</t>
  </si>
  <si>
    <t>655 W 160th St</t>
  </si>
  <si>
    <t>110 Post Ave</t>
  </si>
  <si>
    <t>355 Marion St</t>
  </si>
  <si>
    <t>531 W 145th St</t>
  </si>
  <si>
    <t>540 W 157th St</t>
  </si>
  <si>
    <t>279 Halsey St</t>
  </si>
  <si>
    <t>89-95 Seaman Avenue</t>
  </si>
  <si>
    <t>19715 91st Rd</t>
  </si>
  <si>
    <t>331 Etna Street</t>
  </si>
  <si>
    <t>855 E 19th St</t>
  </si>
  <si>
    <t>1208 Franklin Ave</t>
  </si>
  <si>
    <t>547 W 160th St</t>
  </si>
  <si>
    <t>1595 Park Pl</t>
  </si>
  <si>
    <t>3106 Lewmay Rd</t>
  </si>
  <si>
    <t>5715 Shore Front Pkwy</t>
  </si>
  <si>
    <t>390 E 153rd St</t>
  </si>
  <si>
    <t>103 Barbey st</t>
  </si>
  <si>
    <t>8 Rutland Rd</t>
  </si>
  <si>
    <t>1162 Sheridan Ave</t>
  </si>
  <si>
    <t>92 Crystal St</t>
  </si>
  <si>
    <t>225 Park Hill Ave</t>
  </si>
  <si>
    <t>10825 Jamaica Ave</t>
  </si>
  <si>
    <t>601 E 163rd St</t>
  </si>
  <si>
    <t>1327 Southern Blvd</t>
  </si>
  <si>
    <t>4308 40th St</t>
  </si>
  <si>
    <t>25 Henderson Ave</t>
  </si>
  <si>
    <t>2078 Creston Ave</t>
  </si>
  <si>
    <t>2308 Mott Ave</t>
  </si>
  <si>
    <t>132 Scribner Ave</t>
  </si>
  <si>
    <t>1954 1st Ave</t>
  </si>
  <si>
    <t>1454 Grand Concourse</t>
  </si>
  <si>
    <t>2999 8th Ave</t>
  </si>
  <si>
    <t>410 Beach 54th St</t>
  </si>
  <si>
    <t>902 Drew St</t>
  </si>
  <si>
    <t>8821 Vanderweer Street</t>
  </si>
  <si>
    <t>1192 Ocean Ave</t>
  </si>
  <si>
    <t>106 Gerry St</t>
  </si>
  <si>
    <t>1325 Pennsylvania Ave</t>
  </si>
  <si>
    <t>3056 30th St</t>
  </si>
  <si>
    <t>1201 Univ Ave</t>
  </si>
  <si>
    <t>129 Westend Ave</t>
  </si>
  <si>
    <t>722 Van Siclen Ave</t>
  </si>
  <si>
    <t>2298 Richmond Ter</t>
  </si>
  <si>
    <t>28 Saint Marys Ave</t>
  </si>
  <si>
    <t>26 Post Ave</t>
  </si>
  <si>
    <t>132 Ralph Ave</t>
  </si>
  <si>
    <t>600 Van Siclen Ave</t>
  </si>
  <si>
    <t>112 W 144th St</t>
  </si>
  <si>
    <t>1505 Macombs Rd</t>
  </si>
  <si>
    <t>90 Thomas S Boyland St</t>
  </si>
  <si>
    <t>734 Crescent St</t>
  </si>
  <si>
    <t>1051 Anderson Ave</t>
  </si>
  <si>
    <t>4535 Park Ave</t>
  </si>
  <si>
    <t>109 W 111th St</t>
  </si>
  <si>
    <t>309 E 110th St</t>
  </si>
  <si>
    <t>2600 Creston Ave</t>
  </si>
  <si>
    <t>516 Main St</t>
  </si>
  <si>
    <t>185 E 92nd St</t>
  </si>
  <si>
    <t>881 Cauldwell Ave</t>
  </si>
  <si>
    <t>1520 Leland Ave</t>
  </si>
  <si>
    <t>217 Hamilton Ave</t>
  </si>
  <si>
    <t>135 W Kingsbridge Rd</t>
  </si>
  <si>
    <t>1460 Sterling Pl</t>
  </si>
  <si>
    <t>2049 Seagirt Blvd</t>
  </si>
  <si>
    <t>9325 Fort Hamilton Pkwy</t>
  </si>
  <si>
    <t>323 Rose Ave</t>
  </si>
  <si>
    <t>300 E 163rd St</t>
  </si>
  <si>
    <t>232 Schenectady Ave</t>
  </si>
  <si>
    <t>30 Richman Plz</t>
  </si>
  <si>
    <t>411 Beach 54th St</t>
  </si>
  <si>
    <t>1065 Jerome Ave</t>
  </si>
  <si>
    <t>12102 Sutphin Blvd</t>
  </si>
  <si>
    <t>568 Cleveland St</t>
  </si>
  <si>
    <t>115 Hamilton Pl</t>
  </si>
  <si>
    <t>826 E 16th St</t>
  </si>
  <si>
    <t>606 W 191st St</t>
  </si>
  <si>
    <t>46 Sullivan St</t>
  </si>
  <si>
    <t>3441 42nd St</t>
  </si>
  <si>
    <t>6536 99th St</t>
  </si>
  <si>
    <t>75 E 116th St</t>
  </si>
  <si>
    <t>19r Fairway Ave</t>
  </si>
  <si>
    <t>201 Hale Ave</t>
  </si>
  <si>
    <t>511 Bradford St</t>
  </si>
  <si>
    <t>658 Ashford St</t>
  </si>
  <si>
    <t>47 Montauk Ave</t>
  </si>
  <si>
    <t>341 E 19th St</t>
  </si>
  <si>
    <t>12 E 116th St</t>
  </si>
  <si>
    <t>20812 39th Ave</t>
  </si>
  <si>
    <t>1580 Thieriot Ave</t>
  </si>
  <si>
    <t>1082 Gerard Ave</t>
  </si>
  <si>
    <t>462 E 115th St</t>
  </si>
  <si>
    <t>1938 Bronxdale Ave</t>
  </si>
  <si>
    <t>113 Sherman Ave</t>
  </si>
  <si>
    <t>117 Sherman Avenue</t>
  </si>
  <si>
    <t>757 Pine St</t>
  </si>
  <si>
    <t>1054 Walton Ave</t>
  </si>
  <si>
    <t>1775 Weeks Ave</t>
  </si>
  <si>
    <t>16 Elliot Pl</t>
  </si>
  <si>
    <t>355 E 187th St</t>
  </si>
  <si>
    <t>580 Van Duzer St</t>
  </si>
  <si>
    <t>12001 142nd St</t>
  </si>
  <si>
    <t>3731 Crescent St</t>
  </si>
  <si>
    <t>327 Franklin Ave</t>
  </si>
  <si>
    <t>595 E 170th St</t>
  </si>
  <si>
    <t>18805 Linden Blvd</t>
  </si>
  <si>
    <t>350 Vanderbilt Ave</t>
  </si>
  <si>
    <t>174 E 85th St</t>
  </si>
  <si>
    <t>114 E 104th St</t>
  </si>
  <si>
    <t>574 W 176th St</t>
  </si>
  <si>
    <t>28 Montgomery Ave</t>
  </si>
  <si>
    <t>555 Bradford St</t>
  </si>
  <si>
    <t>4 Hardy St</t>
  </si>
  <si>
    <t>830 Elton Ave</t>
  </si>
  <si>
    <t>1509 Eastern Pkwy</t>
  </si>
  <si>
    <t>2195 Grand Concourse</t>
  </si>
  <si>
    <t>1995 Morris Ave</t>
  </si>
  <si>
    <t>1940 Andrews Ave S</t>
  </si>
  <si>
    <t>31 Leonard St</t>
  </si>
  <si>
    <t>2120 Grand Ave</t>
  </si>
  <si>
    <t>851 E 163rd St</t>
  </si>
  <si>
    <t>602 44th St</t>
  </si>
  <si>
    <t>739 Coster St</t>
  </si>
  <si>
    <t>5731 Waldron St</t>
  </si>
  <si>
    <t>159 Bay 34th St</t>
  </si>
  <si>
    <t>888 Grand Concourse</t>
  </si>
  <si>
    <t>9319 205th St</t>
  </si>
  <si>
    <t>982 Fox St</t>
  </si>
  <si>
    <t>1023 Rutland Rd</t>
  </si>
  <si>
    <t>75 Thayer St</t>
  </si>
  <si>
    <t>1425 Wythe Pl</t>
  </si>
  <si>
    <t>220 W 167th St</t>
  </si>
  <si>
    <t>610 W 180th St</t>
  </si>
  <si>
    <t>135 Chrystie St</t>
  </si>
  <si>
    <t>101 Sherman Avenue</t>
  </si>
  <si>
    <t>1223 white plains rd</t>
  </si>
  <si>
    <t>277 Rockaway Pkwy</t>
  </si>
  <si>
    <t>1350 University Ave</t>
  </si>
  <si>
    <t>1060 Sheridan Ave</t>
  </si>
  <si>
    <t>1250 Grand Concourse</t>
  </si>
  <si>
    <t>469 Ridgewood Ave</t>
  </si>
  <si>
    <t>311 E 193rd St</t>
  </si>
  <si>
    <t>500 W 30th Street</t>
  </si>
  <si>
    <t>558 W 164th St</t>
  </si>
  <si>
    <t>15 E Clarke Pl</t>
  </si>
  <si>
    <t>18417 140th Ave</t>
  </si>
  <si>
    <t>2765 Atlantic Ave</t>
  </si>
  <si>
    <t>2505 Bedford Ave</t>
  </si>
  <si>
    <t>164 Steuben St</t>
  </si>
  <si>
    <t>158 E 110th St</t>
  </si>
  <si>
    <t>9728 57th Ave</t>
  </si>
  <si>
    <t>15110 35th Ave</t>
  </si>
  <si>
    <t>11421 208th St</t>
  </si>
  <si>
    <t>2260 Strauss St</t>
  </si>
  <si>
    <t>13 E 124th St</t>
  </si>
  <si>
    <t>1075 Nelson Ave 6B</t>
  </si>
  <si>
    <t>1515 Macombs Rd</t>
  </si>
  <si>
    <t>Apt.5L</t>
  </si>
  <si>
    <t>3E</t>
  </si>
  <si>
    <t>Apt 2R</t>
  </si>
  <si>
    <t>1A</t>
  </si>
  <si>
    <t>3J</t>
  </si>
  <si>
    <t>10M</t>
  </si>
  <si>
    <t>2 Room 2A</t>
  </si>
  <si>
    <t>6EN</t>
  </si>
  <si>
    <t>3G</t>
  </si>
  <si>
    <t>14C</t>
  </si>
  <si>
    <t>1B</t>
  </si>
  <si>
    <t>9B</t>
  </si>
  <si>
    <t>3A</t>
  </si>
  <si>
    <t>1C</t>
  </si>
  <si>
    <t>3B</t>
  </si>
  <si>
    <t>5A</t>
  </si>
  <si>
    <t>4D</t>
  </si>
  <si>
    <t>A</t>
  </si>
  <si>
    <t>s10</t>
  </si>
  <si>
    <t>5W</t>
  </si>
  <si>
    <t>16 H</t>
  </si>
  <si>
    <t>3N</t>
  </si>
  <si>
    <t>15 J</t>
  </si>
  <si>
    <t>6B</t>
  </si>
  <si>
    <t>3H</t>
  </si>
  <si>
    <t>38J</t>
  </si>
  <si>
    <t>1 B</t>
  </si>
  <si>
    <t>2R</t>
  </si>
  <si>
    <t>1H</t>
  </si>
  <si>
    <t>5N</t>
  </si>
  <si>
    <t>6C</t>
  </si>
  <si>
    <t>17G</t>
  </si>
  <si>
    <t>4A</t>
  </si>
  <si>
    <t>5C</t>
  </si>
  <si>
    <t>2A</t>
  </si>
  <si>
    <t>1R</t>
  </si>
  <si>
    <t>2C</t>
  </si>
  <si>
    <t>3R</t>
  </si>
  <si>
    <t>F2</t>
  </si>
  <si>
    <t>2nd floor</t>
  </si>
  <si>
    <t>C16</t>
  </si>
  <si>
    <t>11B</t>
  </si>
  <si>
    <t>apt #2</t>
  </si>
  <si>
    <t>5D</t>
  </si>
  <si>
    <t>C7</t>
  </si>
  <si>
    <t>4E</t>
  </si>
  <si>
    <t>3C</t>
  </si>
  <si>
    <t>1st fl</t>
  </si>
  <si>
    <t>4C</t>
  </si>
  <si>
    <t>7C</t>
  </si>
  <si>
    <t>#2</t>
  </si>
  <si>
    <t>2B</t>
  </si>
  <si>
    <t>5Y</t>
  </si>
  <si>
    <t>3U</t>
  </si>
  <si>
    <t>7B</t>
  </si>
  <si>
    <t>11H</t>
  </si>
  <si>
    <t>3AN</t>
  </si>
  <si>
    <t>C3</t>
  </si>
  <si>
    <t>14B</t>
  </si>
  <si>
    <t>10G</t>
  </si>
  <si>
    <t>3D</t>
  </si>
  <si>
    <t>1 Rear</t>
  </si>
  <si>
    <t>L501</t>
  </si>
  <si>
    <t>8M</t>
  </si>
  <si>
    <t>5E</t>
  </si>
  <si>
    <t>1F</t>
  </si>
  <si>
    <t>6A</t>
  </si>
  <si>
    <t>5F</t>
  </si>
  <si>
    <t>2nd Floor</t>
  </si>
  <si>
    <t>1L</t>
  </si>
  <si>
    <t>3F</t>
  </si>
  <si>
    <t>5T</t>
  </si>
  <si>
    <t>9F</t>
  </si>
  <si>
    <t>1st door</t>
  </si>
  <si>
    <t>5H</t>
  </si>
  <si>
    <t>Basement</t>
  </si>
  <si>
    <t>4G</t>
  </si>
  <si>
    <t>6G</t>
  </si>
  <si>
    <t>#3B</t>
  </si>
  <si>
    <t>1st Floor</t>
  </si>
  <si>
    <t>6L</t>
  </si>
  <si>
    <t>R411</t>
  </si>
  <si>
    <t>2nd FL</t>
  </si>
  <si>
    <t>2 floor</t>
  </si>
  <si>
    <t>2H</t>
  </si>
  <si>
    <t>5-J</t>
  </si>
  <si>
    <t>5G</t>
  </si>
  <si>
    <t>Private House</t>
  </si>
  <si>
    <t>2F</t>
  </si>
  <si>
    <t>G31</t>
  </si>
  <si>
    <t>1S</t>
  </si>
  <si>
    <t>C22</t>
  </si>
  <si>
    <t>6-L</t>
  </si>
  <si>
    <t>28F</t>
  </si>
  <si>
    <t>6l</t>
  </si>
  <si>
    <t>1D</t>
  </si>
  <si>
    <t>2D</t>
  </si>
  <si>
    <t>2E</t>
  </si>
  <si>
    <t>12D</t>
  </si>
  <si>
    <t>5-B</t>
  </si>
  <si>
    <t>1 floor</t>
  </si>
  <si>
    <t>4B</t>
  </si>
  <si>
    <t>E4</t>
  </si>
  <si>
    <t>13C</t>
  </si>
  <si>
    <t>6E</t>
  </si>
  <si>
    <t>9E</t>
  </si>
  <si>
    <t>1G</t>
  </si>
  <si>
    <t>1E</t>
  </si>
  <si>
    <t>2 FL</t>
  </si>
  <si>
    <t>31 D</t>
  </si>
  <si>
    <t>6K</t>
  </si>
  <si>
    <t>6S</t>
  </si>
  <si>
    <t>3 D</t>
  </si>
  <si>
    <t>4M</t>
  </si>
  <si>
    <t>8H</t>
  </si>
  <si>
    <t>6H</t>
  </si>
  <si>
    <t>B</t>
  </si>
  <si>
    <t>3K</t>
  </si>
  <si>
    <t>1FL Left side back</t>
  </si>
  <si>
    <t>4-O</t>
  </si>
  <si>
    <t>8C</t>
  </si>
  <si>
    <t>1st</t>
  </si>
  <si>
    <t>D2</t>
  </si>
  <si>
    <t>3l</t>
  </si>
  <si>
    <t>D</t>
  </si>
  <si>
    <t>2 Fl</t>
  </si>
  <si>
    <t>5B</t>
  </si>
  <si>
    <t>D1</t>
  </si>
  <si>
    <t>3L</t>
  </si>
  <si>
    <t>3c</t>
  </si>
  <si>
    <t>#3T</t>
  </si>
  <si>
    <t>4U</t>
  </si>
  <si>
    <t>15G</t>
  </si>
  <si>
    <t>FF</t>
  </si>
  <si>
    <t>21b</t>
  </si>
  <si>
    <t>LB</t>
  </si>
  <si>
    <t>13P</t>
  </si>
  <si>
    <t>DV Shelter</t>
  </si>
  <si>
    <t>17A</t>
  </si>
  <si>
    <t>17H</t>
  </si>
  <si>
    <t>2-D</t>
  </si>
  <si>
    <t>Apt 5C</t>
  </si>
  <si>
    <t>b2</t>
  </si>
  <si>
    <t>7G</t>
  </si>
  <si>
    <t>3P</t>
  </si>
  <si>
    <t>1K</t>
  </si>
  <si>
    <t>D-5C</t>
  </si>
  <si>
    <t>4K</t>
  </si>
  <si>
    <t>4F</t>
  </si>
  <si>
    <t>E306</t>
  </si>
  <si>
    <t>10H</t>
  </si>
  <si>
    <t>4-B</t>
  </si>
  <si>
    <t>2nd fl</t>
  </si>
  <si>
    <t>1st Fl</t>
  </si>
  <si>
    <t>4N</t>
  </si>
  <si>
    <t>Ground Floor</t>
  </si>
  <si>
    <t>5R</t>
  </si>
  <si>
    <t>#1</t>
  </si>
  <si>
    <t>apt. 26</t>
  </si>
  <si>
    <t>6D</t>
  </si>
  <si>
    <t>2FL</t>
  </si>
  <si>
    <t>8B</t>
  </si>
  <si>
    <t>1M</t>
  </si>
  <si>
    <t>5J</t>
  </si>
  <si>
    <t>8F</t>
  </si>
  <si>
    <t>0J</t>
  </si>
  <si>
    <t>Apt 605</t>
  </si>
  <si>
    <t>Bronx</t>
  </si>
  <si>
    <t>Oakland Gdns</t>
  </si>
  <si>
    <t>New York</t>
  </si>
  <si>
    <t>Brooklyn</t>
  </si>
  <si>
    <t>Far Rockaway</t>
  </si>
  <si>
    <t>Staten Island</t>
  </si>
  <si>
    <t>Jamaica</t>
  </si>
  <si>
    <t>South Ozone Park</t>
  </si>
  <si>
    <t>Arverne</t>
  </si>
  <si>
    <t>Richmond Hill</t>
  </si>
  <si>
    <t>Saint Albans</t>
  </si>
  <si>
    <t>Bayside</t>
  </si>
  <si>
    <t>Howard Beach</t>
  </si>
  <si>
    <t>Astoria</t>
  </si>
  <si>
    <t>East Elmhurst</t>
  </si>
  <si>
    <t>Long Is City</t>
  </si>
  <si>
    <t>Rosedale</t>
  </si>
  <si>
    <t>Kew Gardens</t>
  </si>
  <si>
    <t>Cambria Hts</t>
  </si>
  <si>
    <t>Woodside</t>
  </si>
  <si>
    <t>Hollis</t>
  </si>
  <si>
    <t>Sunnyside</t>
  </si>
  <si>
    <t>Queens Village</t>
  </si>
  <si>
    <t>Freeport</t>
  </si>
  <si>
    <t>Rego Park</t>
  </si>
  <si>
    <t>Corona</t>
  </si>
  <si>
    <t>Sprngfld Gdns</t>
  </si>
  <si>
    <t>Flushing</t>
  </si>
  <si>
    <t>Cambria Heights</t>
  </si>
  <si>
    <t>Yes</t>
  </si>
  <si>
    <t>No</t>
  </si>
  <si>
    <t xml:space="preserve"> </t>
  </si>
  <si>
    <t>LT-006976-19/BX</t>
  </si>
  <si>
    <t>LT-063488-18/QU</t>
  </si>
  <si>
    <t>No Case</t>
  </si>
  <si>
    <t>LT-058635-18/QU</t>
  </si>
  <si>
    <t>LT-019589-19/BX</t>
  </si>
  <si>
    <t>LT-66917-18/BX</t>
  </si>
  <si>
    <t>GN-630012-B</t>
  </si>
  <si>
    <t>GW-630007-RO</t>
  </si>
  <si>
    <t>LT-052896-18/BX</t>
  </si>
  <si>
    <t>LT-064764-18/QU</t>
  </si>
  <si>
    <t>LT-090492-18/KI</t>
  </si>
  <si>
    <t>LT-72950-18/KI</t>
  </si>
  <si>
    <t>LT-066046-18/NY</t>
  </si>
  <si>
    <t>LT-080851-18/KI</t>
  </si>
  <si>
    <t>No case</t>
  </si>
  <si>
    <t>LT-050934-19/RI</t>
  </si>
  <si>
    <t>LT-050470-19/QU</t>
  </si>
  <si>
    <t>LT-050716-19/RI</t>
  </si>
  <si>
    <t>none</t>
  </si>
  <si>
    <t>LT-3326-19/BX</t>
  </si>
  <si>
    <t>no case</t>
  </si>
  <si>
    <t>LT-014415-19/BX</t>
  </si>
  <si>
    <t>GW-630035-B</t>
  </si>
  <si>
    <t>LT-066074-18/BX</t>
  </si>
  <si>
    <t>LT-036980-18/BX</t>
  </si>
  <si>
    <t>LT-97275-18/KI</t>
  </si>
  <si>
    <t>LT-050707-19/RI</t>
  </si>
  <si>
    <t>LT-74442-18/KI</t>
  </si>
  <si>
    <t>LT-053169-18/RI</t>
  </si>
  <si>
    <t>LT-061308-19/NY</t>
  </si>
  <si>
    <t>LT-051990-18/RI</t>
  </si>
  <si>
    <t>LT-053691-18/RI</t>
  </si>
  <si>
    <t>LT-051156-19/KI</t>
  </si>
  <si>
    <t>LT-038081-18/BX</t>
  </si>
  <si>
    <t>LT-060707-19/KI</t>
  </si>
  <si>
    <t>LT-006044-19/QU</t>
  </si>
  <si>
    <t>LT-053553-18/RI</t>
  </si>
  <si>
    <t>LT-062434-18/NY</t>
  </si>
  <si>
    <t>LT-058531-18/QU</t>
  </si>
  <si>
    <t>LT-071564-18/NY</t>
  </si>
  <si>
    <t>LT-019186-19/BX</t>
  </si>
  <si>
    <t>LT-063206-19/QU</t>
  </si>
  <si>
    <t>LT-075030-18/QU</t>
  </si>
  <si>
    <t>LT-046651-18/BX</t>
  </si>
  <si>
    <t>LT-050040-19/RI</t>
  </si>
  <si>
    <t>LT-050386-18/BX</t>
  </si>
  <si>
    <t>LT-061979-19/KI</t>
  </si>
  <si>
    <t>LT-065913-18/NY</t>
  </si>
  <si>
    <t>LT-61318-18/NY</t>
  </si>
  <si>
    <t>LT-052156-18/RI</t>
  </si>
  <si>
    <t>LT-087288-19/KI</t>
  </si>
  <si>
    <t>LT-000140-17/RI</t>
  </si>
  <si>
    <t>LT-151719-17/RI</t>
  </si>
  <si>
    <t>LT-051538-19/KI</t>
  </si>
  <si>
    <t>LT-028918-18/BX</t>
  </si>
  <si>
    <t>LT-096763-18/KI</t>
  </si>
  <si>
    <t>LT-051279-18/RI</t>
  </si>
  <si>
    <t>LT-058444-19/QU</t>
  </si>
  <si>
    <t>LT-50792-19/RI</t>
  </si>
  <si>
    <t>LT-058760-18/QU</t>
  </si>
  <si>
    <t>LT-076661-18/QU</t>
  </si>
  <si>
    <t>LT-076706-18/QU</t>
  </si>
  <si>
    <t>GD-610056-OM</t>
  </si>
  <si>
    <t>GT-630025-RT</t>
  </si>
  <si>
    <t>LT-092855-18/KI</t>
  </si>
  <si>
    <t>LT-067415-18/NY</t>
  </si>
  <si>
    <t>LT-057354-18/QU</t>
  </si>
  <si>
    <t>LT-050614-19/RI</t>
  </si>
  <si>
    <t>LT-022187-19/BX</t>
  </si>
  <si>
    <t>LT-050464-19/RI</t>
  </si>
  <si>
    <t>LT-074637-18/KI</t>
  </si>
  <si>
    <t>LT-056013-18/BX</t>
  </si>
  <si>
    <t>LT-050358-19/RI</t>
  </si>
  <si>
    <t>LT-052508-18/RI</t>
  </si>
  <si>
    <t>LT-001342-18/QU</t>
  </si>
  <si>
    <t>LT-050626-19/RI</t>
  </si>
  <si>
    <t>LT-074979-18/QU</t>
  </si>
  <si>
    <t>LT-250862-18/NY</t>
  </si>
  <si>
    <t>LT-001071-18/QU</t>
  </si>
  <si>
    <t>LT-067416-18/KI</t>
  </si>
  <si>
    <t>LT-056703-19/KI</t>
  </si>
  <si>
    <t>None</t>
  </si>
  <si>
    <t>LT-054705-19/KI</t>
  </si>
  <si>
    <t>LT-082427-18/KI</t>
  </si>
  <si>
    <t>LT-070273-18/KI</t>
  </si>
  <si>
    <t>LT-052631-18/QU</t>
  </si>
  <si>
    <t>no case as of June 13, 2019</t>
  </si>
  <si>
    <t>LT-061510-18/QU</t>
  </si>
  <si>
    <t>LT-061559-19/KI</t>
  </si>
  <si>
    <t>LT-058318-19/KI</t>
  </si>
  <si>
    <t>LT-004595-19/BX</t>
  </si>
  <si>
    <t>LT-070725-18/QU</t>
  </si>
  <si>
    <t>EO-610003-B</t>
  </si>
  <si>
    <t>LT-38344-18/BX</t>
  </si>
  <si>
    <t>LT-070101-18/KI</t>
  </si>
  <si>
    <t>LT-050234-19/RI</t>
  </si>
  <si>
    <t>FO-610005-RO</t>
  </si>
  <si>
    <t>GR-210001-B</t>
  </si>
  <si>
    <t>LT-000289-19/NY</t>
  </si>
  <si>
    <t>LT-050711-18/QU</t>
  </si>
  <si>
    <t>LT-04552-19/KI</t>
  </si>
  <si>
    <t>LT-065198-19/KI</t>
  </si>
  <si>
    <t>LT-083961-18/KI</t>
  </si>
  <si>
    <t>LT-053906-19/KI</t>
  </si>
  <si>
    <t>LT-051039-19/QU</t>
  </si>
  <si>
    <t>LT-13923-19/BX</t>
  </si>
  <si>
    <t>LT-059574-19/KI</t>
  </si>
  <si>
    <t>LT-083925-17/KI</t>
  </si>
  <si>
    <t>LT-051298-19/KI</t>
  </si>
  <si>
    <t>LT-073160-18/KI</t>
  </si>
  <si>
    <t>LT-071198-18/NY</t>
  </si>
  <si>
    <t>LT-010331-19/BX</t>
  </si>
  <si>
    <t>LT-061923-17/BX</t>
  </si>
  <si>
    <t>LT-251528-18/NY</t>
  </si>
  <si>
    <t>LT-076980-18/QU</t>
  </si>
  <si>
    <t>LT-65209-18/QU</t>
  </si>
  <si>
    <t>GQ-610056-OM</t>
  </si>
  <si>
    <t>LT-087327-18/KI</t>
  </si>
  <si>
    <t>LT-050541-19/RI</t>
  </si>
  <si>
    <t>LT-73598-18/NY</t>
  </si>
  <si>
    <t>LT-083963-18/KI</t>
  </si>
  <si>
    <t>LT-009298-19/BX</t>
  </si>
  <si>
    <t>LT-003326-19/BX</t>
  </si>
  <si>
    <t>LT-050452-19/RI</t>
  </si>
  <si>
    <t>LT-52998-18/RI</t>
  </si>
  <si>
    <t>GN  630012-B</t>
  </si>
  <si>
    <t>LT-074441-18/KI</t>
  </si>
  <si>
    <t>LT-052355-18/RI</t>
  </si>
  <si>
    <t>LT-056511-19/QU</t>
  </si>
  <si>
    <t>LT-063779-18/QU</t>
  </si>
  <si>
    <t>LT-013923-19/BX</t>
  </si>
  <si>
    <t>LT 063305/2019</t>
  </si>
  <si>
    <t>LT-018431-19/BX</t>
  </si>
  <si>
    <t>LT-050368-19/RI</t>
  </si>
  <si>
    <t>LT-055861-18/BX</t>
  </si>
  <si>
    <t>LT-050634-19/RI</t>
  </si>
  <si>
    <t>LT-086190-18/KI</t>
  </si>
  <si>
    <t>LT-078103-18/QU</t>
  </si>
  <si>
    <t>LT-073128-18/NY</t>
  </si>
  <si>
    <t>LT-064730-19/KI</t>
  </si>
  <si>
    <t>LT-003477-18/KI</t>
  </si>
  <si>
    <t>LT-010281-19/RI</t>
  </si>
  <si>
    <t>LT-070865-18/QU</t>
  </si>
  <si>
    <t>LT-51296-19/RI</t>
  </si>
  <si>
    <t>LT-055739-18/KI</t>
  </si>
  <si>
    <t>LT-069717-17/QU</t>
  </si>
  <si>
    <t>LT-035197-18/BX</t>
  </si>
  <si>
    <t>LT-065205-18/QU</t>
  </si>
  <si>
    <t>LT-000298-19/QU</t>
  </si>
  <si>
    <t>LT-062831-17/NY</t>
  </si>
  <si>
    <t>LT-079118-19/NY</t>
  </si>
  <si>
    <t>LT-057400-19/QU</t>
  </si>
  <si>
    <t>LT-082690-18/KI</t>
  </si>
  <si>
    <t>LT-91336-18/KI</t>
  </si>
  <si>
    <t>LT-031637-18/BX</t>
  </si>
  <si>
    <t>LT093887/18 KI</t>
  </si>
  <si>
    <t>LT-062390-18/QU</t>
  </si>
  <si>
    <t>LT-92172-18/KI</t>
  </si>
  <si>
    <t>LT-070871-18/QU</t>
  </si>
  <si>
    <t>LT-002909-18/KI</t>
  </si>
  <si>
    <t>LT-069316-18/KI</t>
  </si>
  <si>
    <t>LT-080458-18/KI</t>
  </si>
  <si>
    <t>LT-050842-19/RI</t>
  </si>
  <si>
    <t>LT-061006-19/QU</t>
  </si>
  <si>
    <t>LT-042995-18/BX</t>
  </si>
  <si>
    <t>LT-041745-18/BX</t>
  </si>
  <si>
    <t>LT-565552-19/QU</t>
  </si>
  <si>
    <t>LT-047480-18/BX</t>
  </si>
  <si>
    <t>LT-071503-18/QU</t>
  </si>
  <si>
    <t>LT-050935-19/RI</t>
  </si>
  <si>
    <t>LT-67687-18/NY</t>
  </si>
  <si>
    <t>LT-01264-19/NY</t>
  </si>
  <si>
    <t>LT-070213-18/QU</t>
  </si>
  <si>
    <t>LT-089058-18/KI</t>
  </si>
  <si>
    <t>LT-068340-18/QU</t>
  </si>
  <si>
    <t>LT-064518-19/KI</t>
  </si>
  <si>
    <t>LT-79538-18/KI</t>
  </si>
  <si>
    <t>LT-1860499-19/Qu</t>
  </si>
  <si>
    <t>LT-075059-18/KI</t>
  </si>
  <si>
    <t>LT-050377-19/RI</t>
  </si>
  <si>
    <t>LT-062485-19/KI</t>
  </si>
  <si>
    <t>LT-065200-19/KI</t>
  </si>
  <si>
    <t>LT-067299-18/NY</t>
  </si>
  <si>
    <t>LT-05189519/KI</t>
  </si>
  <si>
    <t>403195/2017</t>
  </si>
  <si>
    <t>LT-087861-18/KI</t>
  </si>
  <si>
    <t>LT-200048-17/NY</t>
  </si>
  <si>
    <t>LT-058565-19/NY</t>
  </si>
  <si>
    <t>LT-022382-19/BX</t>
  </si>
  <si>
    <t>LT-019064-19/BX</t>
  </si>
  <si>
    <t>LT-073749-18/NY</t>
  </si>
  <si>
    <t>LT-051929-18/RI</t>
  </si>
  <si>
    <t>LT-000287-19/KI</t>
  </si>
  <si>
    <t>LT-069985-18/QU</t>
  </si>
  <si>
    <t>004196/2018</t>
  </si>
  <si>
    <t>LT-050379-19/RI</t>
  </si>
  <si>
    <t>LT-063663-19/KI</t>
  </si>
  <si>
    <t>HN-210027-0R</t>
  </si>
  <si>
    <t>LT-000749-19/KI</t>
  </si>
  <si>
    <t>LT-006577-19/BX</t>
  </si>
  <si>
    <t>LT-062292-18/QU</t>
  </si>
  <si>
    <t>LT-000306-19/QU</t>
  </si>
  <si>
    <t>LT-063786-18/QU</t>
  </si>
  <si>
    <t>LT-058077-18/NY</t>
  </si>
  <si>
    <t>LT-078083-18/KI</t>
  </si>
  <si>
    <t>LT-057674-19/QU</t>
  </si>
  <si>
    <t>LT-062831-19/QU</t>
  </si>
  <si>
    <t>LT-019435-19/BX</t>
  </si>
  <si>
    <t>LT-006124-17/NY</t>
  </si>
  <si>
    <t>LT-053128-18/RI</t>
  </si>
  <si>
    <t>LT-077362-18/KI</t>
  </si>
  <si>
    <t>LT-065437-17/KI</t>
  </si>
  <si>
    <t>LT-081608-18/KI</t>
  </si>
  <si>
    <t>LT-080461-18/NY</t>
  </si>
  <si>
    <t>LT-061611-19/QU</t>
  </si>
  <si>
    <t>LT-012067-18/BX</t>
  </si>
  <si>
    <t>LT-004595-19/KI</t>
  </si>
  <si>
    <t>LT-64533-19/KI</t>
  </si>
  <si>
    <t>LT-79700-18/NY</t>
  </si>
  <si>
    <t>LT-077998-17/NY</t>
  </si>
  <si>
    <t>LT-057176-19/KI</t>
  </si>
  <si>
    <t>LT-012452-19/BX</t>
  </si>
  <si>
    <t>LT-050466-19/RI</t>
  </si>
  <si>
    <t>LT-009775-19/BX</t>
  </si>
  <si>
    <t>LT-052583-18/RI</t>
  </si>
  <si>
    <t>LT-071542-18/QU</t>
  </si>
  <si>
    <t>LT-068426-18/QU</t>
  </si>
  <si>
    <t>no case as of 12/13/18</t>
  </si>
  <si>
    <t>LT-061389-18/QU</t>
  </si>
  <si>
    <t>LT-050186-19/RI</t>
  </si>
  <si>
    <t>LT-060157-19/NY</t>
  </si>
  <si>
    <t>LT-079547-17/NY</t>
  </si>
  <si>
    <t>LT-073272-18/NY</t>
  </si>
  <si>
    <t>LT-053516-18/RI</t>
  </si>
  <si>
    <t>LT-069898-18/KI</t>
  </si>
  <si>
    <t>LT-050325-19/RI</t>
  </si>
  <si>
    <t>LT-086575-18/KI</t>
  </si>
  <si>
    <t>LT-054457-18/BX</t>
  </si>
  <si>
    <t>GT-610002-RO</t>
  </si>
  <si>
    <t>LT-052720-18/BX</t>
  </si>
  <si>
    <t>LT-064009-17/QU</t>
  </si>
  <si>
    <t>LT-022754-18/BX</t>
  </si>
  <si>
    <t>LT-060944-18/BX</t>
  </si>
  <si>
    <t>LT-055688-18/KI</t>
  </si>
  <si>
    <t>LT-003594-19/BX</t>
  </si>
  <si>
    <t>LT-075621-18/NY</t>
  </si>
  <si>
    <t>LT-059447-18/BX</t>
  </si>
  <si>
    <t>Not Available</t>
  </si>
  <si>
    <t>LT-032896-18/BX</t>
  </si>
  <si>
    <t>LT-0050560-19/RI</t>
  </si>
  <si>
    <t>LT-011291-19/BX</t>
  </si>
  <si>
    <t>LT-056014-18/BX</t>
  </si>
  <si>
    <t>LT-71078-18/NY</t>
  </si>
  <si>
    <t>LT-055015-18/NY</t>
  </si>
  <si>
    <t>LT-058925-18/QU</t>
  </si>
  <si>
    <t>LT-082510-18/KI</t>
  </si>
  <si>
    <t>GV-230153-OR</t>
  </si>
  <si>
    <t>LT-051001-19/RI</t>
  </si>
  <si>
    <t>LT-000361-19/NY</t>
  </si>
  <si>
    <t>LT-078674-18/QU</t>
  </si>
  <si>
    <t>LT-053257-19/QU</t>
  </si>
  <si>
    <t>LT-011742-19/QU</t>
  </si>
  <si>
    <t>LT-061707-19/KI</t>
  </si>
  <si>
    <t>Non-payment</t>
  </si>
  <si>
    <t>Non-Litigation Advocacy</t>
  </si>
  <si>
    <t>DHCR Administrative Action</t>
  </si>
  <si>
    <t>HP Action</t>
  </si>
  <si>
    <t>Holdover</t>
  </si>
  <si>
    <t>Tenant Rights</t>
  </si>
  <si>
    <t>Sec. 8 Termination</t>
  </si>
  <si>
    <t>Section 8 other</t>
  </si>
  <si>
    <t>PA Issue: Other</t>
  </si>
  <si>
    <t>SCRIE/DRIE</t>
  </si>
  <si>
    <t>Other Civil Court</t>
  </si>
  <si>
    <t>PA Issue: City FEPS/SEPS</t>
  </si>
  <si>
    <t>Article 78</t>
  </si>
  <si>
    <t>DHCR Proceeding</t>
  </si>
  <si>
    <t>PA Issue: RAU</t>
  </si>
  <si>
    <t>7A Proceeding</t>
  </si>
  <si>
    <t>Affirmative Litigation Supreme</t>
  </si>
  <si>
    <t>Other Administrative Proceeding</t>
  </si>
  <si>
    <t>Illegal Lockout</t>
  </si>
  <si>
    <t>Section 8 share</t>
  </si>
  <si>
    <t>Human Rights Complaint</t>
  </si>
  <si>
    <t>Ejectment Action</t>
  </si>
  <si>
    <t>Advice</t>
  </si>
  <si>
    <t>Out-of-Court Advocacy</t>
  </si>
  <si>
    <t>Representation - State Court</t>
  </si>
  <si>
    <t>Representation - Admin. Agency</t>
  </si>
  <si>
    <t>Brief Service</t>
  </si>
  <si>
    <t>Hold For Review</t>
  </si>
  <si>
    <t>Representation - Federal Court</t>
  </si>
  <si>
    <t>A - Counsel and Advice</t>
  </si>
  <si>
    <t>L - Extensive Service (not resulting in Settlement of Court or Administrative Action)</t>
  </si>
  <si>
    <t>F - Negotiated Settlement w/out Litigation</t>
  </si>
  <si>
    <t>B - Limited Action (Brief Service)</t>
  </si>
  <si>
    <t>G - Negotiated Settlement with Litigation</t>
  </si>
  <si>
    <t>H - Administrative Agency Decision</t>
  </si>
  <si>
    <t>IA - Uncontested Court Decision</t>
  </si>
  <si>
    <t>63 Private Landlord/Tenant</t>
  </si>
  <si>
    <t>61 Federally Subsidized Housing</t>
  </si>
  <si>
    <t>71 TANF</t>
  </si>
  <si>
    <t>02 Collect/Repo/Def/Garnsh</t>
  </si>
  <si>
    <t>79 Other Income Maintenence</t>
  </si>
  <si>
    <t>67 Mortgage Foreclosures (Not Predatory Lending/Practices)</t>
  </si>
  <si>
    <t>01 Bankruptcy/Debtor Relief</t>
  </si>
  <si>
    <t>64 Public Housing</t>
  </si>
  <si>
    <t>69 Other Housing</t>
  </si>
  <si>
    <t>07 Public Utilities</t>
  </si>
  <si>
    <t>99 Other Miscellaneous</t>
  </si>
  <si>
    <t>Post-Judgment, Tenant in Possession-Judgment Due to Other</t>
  </si>
  <si>
    <t>No Stipulation; No Judgment</t>
  </si>
  <si>
    <t>Post-Judgment, Tenant in Possession-Judgment Due to Default</t>
  </si>
  <si>
    <t>Post-Judgment, Tenant Out of Possession</t>
  </si>
  <si>
    <t>Post-Stipulation, No Judgment</t>
  </si>
  <si>
    <t>No Stipulation; No Judgment, On for Trial</t>
  </si>
  <si>
    <t>07/01/2018</t>
  </si>
  <si>
    <t>12/01/2018</t>
  </si>
  <si>
    <t>06/30/2019</t>
  </si>
  <si>
    <t>09/01/2018</t>
  </si>
  <si>
    <t>01/17/2019</t>
  </si>
  <si>
    <t>06/24/2019</t>
  </si>
  <si>
    <t>06/05/2019</t>
  </si>
  <si>
    <t>02/18/2019</t>
  </si>
  <si>
    <t>07/22/2018</t>
  </si>
  <si>
    <t>07/11/2018</t>
  </si>
  <si>
    <t>05/06/2019</t>
  </si>
  <si>
    <t>08/28/2018</t>
  </si>
  <si>
    <t>02/06/2019</t>
  </si>
  <si>
    <t>08/22/2018</t>
  </si>
  <si>
    <t>07/19/2018</t>
  </si>
  <si>
    <t>07/20/2018</t>
  </si>
  <si>
    <t>10/11/2018</t>
  </si>
  <si>
    <t>Bronx Legal Services</t>
  </si>
  <si>
    <t>Queens Legal Services</t>
  </si>
  <si>
    <t>Manhattan Legal Services</t>
  </si>
  <si>
    <t>Brooklyn Legal Services</t>
  </si>
  <si>
    <t>Staten Island Legal Services</t>
  </si>
  <si>
    <t>Court Referral-NON HRA</t>
  </si>
  <si>
    <t>FJC Housing Intake</t>
  </si>
  <si>
    <t>Self-referred</t>
  </si>
  <si>
    <t>HRA</t>
  </si>
  <si>
    <t>Community Organization</t>
  </si>
  <si>
    <t>Outreach</t>
  </si>
  <si>
    <t>Other</t>
  </si>
  <si>
    <t>HRA ELS (Assigned Counsel)</t>
  </si>
  <si>
    <t>Other City Agency</t>
  </si>
  <si>
    <t>Returning Client</t>
  </si>
  <si>
    <t>In-House</t>
  </si>
  <si>
    <t>Home base</t>
  </si>
  <si>
    <t>Court</t>
  </si>
  <si>
    <t>3-1-1</t>
  </si>
  <si>
    <t>Word of mouth</t>
  </si>
  <si>
    <t>Friends/Family</t>
  </si>
  <si>
    <t>Tenant Support Unit</t>
  </si>
  <si>
    <t>Elected Official</t>
  </si>
  <si>
    <t>6014-Obtained advice and counsel on a Housing matter</t>
  </si>
  <si>
    <t>6015-Obtained non-litgation advocacy services on a Housing  matter</t>
  </si>
  <si>
    <t>6009-Obtained repairs, Improved housing conditions or otherwise enforced rights to decent, habitable housing</t>
  </si>
  <si>
    <t>6002-Prevented eviction from private housing</t>
  </si>
  <si>
    <t>6003-Delayed eviction providing time to seek alternative housing</t>
  </si>
  <si>
    <t>6017-Obtained other benefit on a Housing matter</t>
  </si>
  <si>
    <t>1013-Obtained advice and counsel  on Consumer matter</t>
  </si>
  <si>
    <t>6004-Obtained access to housing</t>
  </si>
  <si>
    <t>6001-Prevented eviction from public housing</t>
  </si>
  <si>
    <t>6016-Obtained referral on a Housing matter</t>
  </si>
  <si>
    <t>7001-Obtained, preserved or increased public assistance, TANF or other welfare benefit/right</t>
  </si>
  <si>
    <t>7002-Overcame denial of emergency assistance</t>
  </si>
  <si>
    <t>6018-Prevented eviction from subsidized housing</t>
  </si>
  <si>
    <t>6021-Provided full representation in a Housing matter, but no legal benefit achieved for the client</t>
  </si>
  <si>
    <t>6010-Preserved or restored access to personal property</t>
  </si>
  <si>
    <t>6006-Prevented denial of public housing tenant's rights</t>
  </si>
  <si>
    <t>02/20/1992</t>
  </si>
  <si>
    <t>07/01/1983</t>
  </si>
  <si>
    <t>08/04/1968</t>
  </si>
  <si>
    <t>12/16/1990</t>
  </si>
  <si>
    <t>12/24/1983</t>
  </si>
  <si>
    <t>07/04/1945</t>
  </si>
  <si>
    <t>02/24/1989</t>
  </si>
  <si>
    <t>01/02/1984</t>
  </si>
  <si>
    <t>04/02/1993</t>
  </si>
  <si>
    <t>11/23/1977</t>
  </si>
  <si>
    <t>03/02/1974</t>
  </si>
  <si>
    <t>11/27/1977</t>
  </si>
  <si>
    <t>07/15/1975</t>
  </si>
  <si>
    <t>06/05/1966</t>
  </si>
  <si>
    <t>09/22/1970</t>
  </si>
  <si>
    <t>01/01/1955</t>
  </si>
  <si>
    <t>02/27/1982</t>
  </si>
  <si>
    <t>01/24/1979</t>
  </si>
  <si>
    <t>03/28/1947</t>
  </si>
  <si>
    <t>12/12/1969</t>
  </si>
  <si>
    <t>05/14/1976</t>
  </si>
  <si>
    <t>09/19/1948</t>
  </si>
  <si>
    <t>12/19/1973</t>
  </si>
  <si>
    <t>06/27/1976</t>
  </si>
  <si>
    <t>10/13/1962</t>
  </si>
  <si>
    <t>02/09/1965</t>
  </si>
  <si>
    <t>06/23/1963</t>
  </si>
  <si>
    <t>03/02/1982</t>
  </si>
  <si>
    <t>03/06/1989</t>
  </si>
  <si>
    <t>07/01/1978</t>
  </si>
  <si>
    <t>05/23/1996</t>
  </si>
  <si>
    <t>07/07/1982</t>
  </si>
  <si>
    <t>09/27/1962</t>
  </si>
  <si>
    <t>02/04/1983</t>
  </si>
  <si>
    <t>09/30/1982</t>
  </si>
  <si>
    <t>04/14/1988</t>
  </si>
  <si>
    <t>11/09/1993</t>
  </si>
  <si>
    <t>03/12/1936</t>
  </si>
  <si>
    <t>02/08/1972</t>
  </si>
  <si>
    <t>10/29/1970</t>
  </si>
  <si>
    <t>02/28/1969</t>
  </si>
  <si>
    <t>09/04/1977</t>
  </si>
  <si>
    <t>10/17/1974</t>
  </si>
  <si>
    <t>05/04/1983</t>
  </si>
  <si>
    <t>03/25/1989</t>
  </si>
  <si>
    <t>07/26/1978</t>
  </si>
  <si>
    <t>08/14/1971</t>
  </si>
  <si>
    <t>05/30/1964</t>
  </si>
  <si>
    <t>09/05/1985</t>
  </si>
  <si>
    <t>11/30/1978</t>
  </si>
  <si>
    <t>09/24/1941</t>
  </si>
  <si>
    <t>09/17/1971</t>
  </si>
  <si>
    <t>04/09/1960</t>
  </si>
  <si>
    <t>02/22/1970</t>
  </si>
  <si>
    <t>09/06/1967</t>
  </si>
  <si>
    <t>11/21/1962</t>
  </si>
  <si>
    <t>06/09/1983</t>
  </si>
  <si>
    <t>06/27/1951</t>
  </si>
  <si>
    <t>09/19/1973</t>
  </si>
  <si>
    <t>11/13/1969</t>
  </si>
  <si>
    <t>01/22/1979</t>
  </si>
  <si>
    <t>12/31/1963</t>
  </si>
  <si>
    <t>03/07/1972</t>
  </si>
  <si>
    <t>02/07/1970</t>
  </si>
  <si>
    <t>05/11/1985</t>
  </si>
  <si>
    <t>05/31/1985</t>
  </si>
  <si>
    <t>02/19/1963</t>
  </si>
  <si>
    <t>08/02/1961</t>
  </si>
  <si>
    <t>10/22/1975</t>
  </si>
  <si>
    <t>08/06/1983</t>
  </si>
  <si>
    <t>09/14/1947</t>
  </si>
  <si>
    <t>03/21/1974</t>
  </si>
  <si>
    <t>06/19/1967</t>
  </si>
  <si>
    <t>07/30/1987</t>
  </si>
  <si>
    <t>07/08/1989</t>
  </si>
  <si>
    <t>02/22/1990</t>
  </si>
  <si>
    <t>06/19/1983</t>
  </si>
  <si>
    <t>01/09/1988</t>
  </si>
  <si>
    <t>11/30/1963</t>
  </si>
  <si>
    <t>02/15/1967</t>
  </si>
  <si>
    <t>12/13/1984</t>
  </si>
  <si>
    <t>12/24/1976</t>
  </si>
  <si>
    <t>05/22/1966</t>
  </si>
  <si>
    <t>12/17/1991</t>
  </si>
  <si>
    <t>08/19/1963</t>
  </si>
  <si>
    <t>06/02/1962</t>
  </si>
  <si>
    <t>06/10/1981</t>
  </si>
  <si>
    <t>07/21/1988</t>
  </si>
  <si>
    <t>01/16/1971</t>
  </si>
  <si>
    <t>05/13/1985</t>
  </si>
  <si>
    <t>03/11/1987</t>
  </si>
  <si>
    <t>12/07/1987</t>
  </si>
  <si>
    <t>06/30/1974</t>
  </si>
  <si>
    <t>02/02/1970</t>
  </si>
  <si>
    <t>07/28/1980</t>
  </si>
  <si>
    <t>07/12/1985</t>
  </si>
  <si>
    <t>07/25/1970</t>
  </si>
  <si>
    <t>05/05/1988</t>
  </si>
  <si>
    <t>10/13/1949</t>
  </si>
  <si>
    <t>04/04/1965</t>
  </si>
  <si>
    <t>08/02/1963</t>
  </si>
  <si>
    <t>06/16/1983</t>
  </si>
  <si>
    <t>12/28/1973</t>
  </si>
  <si>
    <t>08/17/1990</t>
  </si>
  <si>
    <t>08/07/1950</t>
  </si>
  <si>
    <t>08/24/1993</t>
  </si>
  <si>
    <t>11/24/1970</t>
  </si>
  <si>
    <t>09/03/1960</t>
  </si>
  <si>
    <t>05/09/1976</t>
  </si>
  <si>
    <t>10/05/1978</t>
  </si>
  <si>
    <t>12/28/1962</t>
  </si>
  <si>
    <t>06/03/1963</t>
  </si>
  <si>
    <t>08/22/1962</t>
  </si>
  <si>
    <t>04/08/1975</t>
  </si>
  <si>
    <t>07/18/1998</t>
  </si>
  <si>
    <t>01/13/1969</t>
  </si>
  <si>
    <t>11/22/1981</t>
  </si>
  <si>
    <t>03/09/1988</t>
  </si>
  <si>
    <t>11/14/1987</t>
  </si>
  <si>
    <t>09/11/1989</t>
  </si>
  <si>
    <t>11/21/1977</t>
  </si>
  <si>
    <t>01/10/1950</t>
  </si>
  <si>
    <t>03/06/1987</t>
  </si>
  <si>
    <t>02/14/1970</t>
  </si>
  <si>
    <t>07/09/1968</t>
  </si>
  <si>
    <t>02/01/1966</t>
  </si>
  <si>
    <t>02/25/1977</t>
  </si>
  <si>
    <t>09/10/1989</t>
  </si>
  <si>
    <t>05/04/1956</t>
  </si>
  <si>
    <t>12/23/1950</t>
  </si>
  <si>
    <t>03/24/1975</t>
  </si>
  <si>
    <t>04/30/1988</t>
  </si>
  <si>
    <t>01/06/1989</t>
  </si>
  <si>
    <t>01/09/1977</t>
  </si>
  <si>
    <t>06/04/1940</t>
  </si>
  <si>
    <t>11/28/1964</t>
  </si>
  <si>
    <t>03/07/1958</t>
  </si>
  <si>
    <t>01/19/1984</t>
  </si>
  <si>
    <t>01/23/1983</t>
  </si>
  <si>
    <t>03/26/1962</t>
  </si>
  <si>
    <t>07/20/1973</t>
  </si>
  <si>
    <t>03/22/1974</t>
  </si>
  <si>
    <t>04/07/1974</t>
  </si>
  <si>
    <t>03/28/1971</t>
  </si>
  <si>
    <t>04/28/1980</t>
  </si>
  <si>
    <t>12/20/1952</t>
  </si>
  <si>
    <t>08/21/1990</t>
  </si>
  <si>
    <t>07/06/1990</t>
  </si>
  <si>
    <t>11/18/1965</t>
  </si>
  <si>
    <t>06/18/1961</t>
  </si>
  <si>
    <t>07/18/1962</t>
  </si>
  <si>
    <t>04/07/1970</t>
  </si>
  <si>
    <t>05/21/1979</t>
  </si>
  <si>
    <t>06/16/1979</t>
  </si>
  <si>
    <t>12/23/1959</t>
  </si>
  <si>
    <t>10/29/1966</t>
  </si>
  <si>
    <t>02/08/1971</t>
  </si>
  <si>
    <t>06/20/1977</t>
  </si>
  <si>
    <t>06/28/1948</t>
  </si>
  <si>
    <t>08/01/1976</t>
  </si>
  <si>
    <t>10/07/1952</t>
  </si>
  <si>
    <t>10/18/1982</t>
  </si>
  <si>
    <t>01/05/1969</t>
  </si>
  <si>
    <t>04/08/1979</t>
  </si>
  <si>
    <t>02/29/1964</t>
  </si>
  <si>
    <t>10/10/1969</t>
  </si>
  <si>
    <t>08/13/1983</t>
  </si>
  <si>
    <t>08/28/1978</t>
  </si>
  <si>
    <t>11/18/1971</t>
  </si>
  <si>
    <t>06/07/1960</t>
  </si>
  <si>
    <t>04/11/1969</t>
  </si>
  <si>
    <t>01/25/1990</t>
  </si>
  <si>
    <t>09/21/1985</t>
  </si>
  <si>
    <t>12/08/1960</t>
  </si>
  <si>
    <t>05/20/1968</t>
  </si>
  <si>
    <t>12/14/1963</t>
  </si>
  <si>
    <t>09/15/1979</t>
  </si>
  <si>
    <t>03/28/1981</t>
  </si>
  <si>
    <t>01/01/1979</t>
  </si>
  <si>
    <t>09/15/1963</t>
  </si>
  <si>
    <t>12/02/1962</t>
  </si>
  <si>
    <t>03/04/1999</t>
  </si>
  <si>
    <t>08/24/1967</t>
  </si>
  <si>
    <t>06/16/1971</t>
  </si>
  <si>
    <t>08/20/1964</t>
  </si>
  <si>
    <t>04/18/1981</t>
  </si>
  <si>
    <t>02/16/1991</t>
  </si>
  <si>
    <t>09/16/1964</t>
  </si>
  <si>
    <t>06/06/1983</t>
  </si>
  <si>
    <t>02/23/1984</t>
  </si>
  <si>
    <t>01/10/1952</t>
  </si>
  <si>
    <t>07/24/1980</t>
  </si>
  <si>
    <t>03/23/1983</t>
  </si>
  <si>
    <t>04/24/1958</t>
  </si>
  <si>
    <t>01/17/1982</t>
  </si>
  <si>
    <t>02/10/1986</t>
  </si>
  <si>
    <t>12/12/1966</t>
  </si>
  <si>
    <t>05/22/1995</t>
  </si>
  <si>
    <t>07/21/1953</t>
  </si>
  <si>
    <t>05/31/1971</t>
  </si>
  <si>
    <t>03/14/1966</t>
  </si>
  <si>
    <t>02/28/1962</t>
  </si>
  <si>
    <t>12/22/1983</t>
  </si>
  <si>
    <t>02/03/1967</t>
  </si>
  <si>
    <t>03/27/1952</t>
  </si>
  <si>
    <t>04/19/1991</t>
  </si>
  <si>
    <t>05/10/1973</t>
  </si>
  <si>
    <t>04/28/1997</t>
  </si>
  <si>
    <t>12/13/1971</t>
  </si>
  <si>
    <t>12/30/1973</t>
  </si>
  <si>
    <t>06/04/1954</t>
  </si>
  <si>
    <t>06/15/1961</t>
  </si>
  <si>
    <t>12/01/1965</t>
  </si>
  <si>
    <t>02/14/1984</t>
  </si>
  <si>
    <t>01/20/1973</t>
  </si>
  <si>
    <t>05/31/1970</t>
  </si>
  <si>
    <t>05/14/1971</t>
  </si>
  <si>
    <t>03/11/1977</t>
  </si>
  <si>
    <t>09/06/1957</t>
  </si>
  <si>
    <t>10/11/1989</t>
  </si>
  <si>
    <t>06/30/1949</t>
  </si>
  <si>
    <t>08/09/1975</t>
  </si>
  <si>
    <t>02/26/1981</t>
  </si>
  <si>
    <t>10/12/1976</t>
  </si>
  <si>
    <t>07/10/1991</t>
  </si>
  <si>
    <t>09/08/1978</t>
  </si>
  <si>
    <t>01/09/1973</t>
  </si>
  <si>
    <t>11/01/1976</t>
  </si>
  <si>
    <t>01/17/1963</t>
  </si>
  <si>
    <t>01/06/1986</t>
  </si>
  <si>
    <t>08/01/1980</t>
  </si>
  <si>
    <t>10/13/1988</t>
  </si>
  <si>
    <t>06/27/1964</t>
  </si>
  <si>
    <t>06/27/1973</t>
  </si>
  <si>
    <t>07/25/1977</t>
  </si>
  <si>
    <t>10/30/1983</t>
  </si>
  <si>
    <t>06/02/1964</t>
  </si>
  <si>
    <t>01/04/1970</t>
  </si>
  <si>
    <t>02/11/1966</t>
  </si>
  <si>
    <t>08/07/1975</t>
  </si>
  <si>
    <t>07/21/1985</t>
  </si>
  <si>
    <t>01/05/1978</t>
  </si>
  <si>
    <t>08/16/1960</t>
  </si>
  <si>
    <t>12/24/1966</t>
  </si>
  <si>
    <t>05/02/1952</t>
  </si>
  <si>
    <t>04/17/1970</t>
  </si>
  <si>
    <t>06/25/1950</t>
  </si>
  <si>
    <t>08/27/1968</t>
  </si>
  <si>
    <t>11/02/1961</t>
  </si>
  <si>
    <t>08/15/1948</t>
  </si>
  <si>
    <t>03/21/1953</t>
  </si>
  <si>
    <t>04/25/1957</t>
  </si>
  <si>
    <t>06/10/1982</t>
  </si>
  <si>
    <t>01/02/1964</t>
  </si>
  <si>
    <t>05/28/1983</t>
  </si>
  <si>
    <t>06/12/1961</t>
  </si>
  <si>
    <t>09/18/1965</t>
  </si>
  <si>
    <t>09/01/1992</t>
  </si>
  <si>
    <t>08/01/1966</t>
  </si>
  <si>
    <t>02/22/1994</t>
  </si>
  <si>
    <t>05/03/1986</t>
  </si>
  <si>
    <t>06/23/1987</t>
  </si>
  <si>
    <t>11/29/1964</t>
  </si>
  <si>
    <t>02/03/1964</t>
  </si>
  <si>
    <t>02/12/1953</t>
  </si>
  <si>
    <t>11/30/1974</t>
  </si>
  <si>
    <t>05/11/1959</t>
  </si>
  <si>
    <t>01/07/1982</t>
  </si>
  <si>
    <t>04/04/1988</t>
  </si>
  <si>
    <t>03/31/1979</t>
  </si>
  <si>
    <t>07/26/1980</t>
  </si>
  <si>
    <t>03/10/1981</t>
  </si>
  <si>
    <t>01/09/1987</t>
  </si>
  <si>
    <t>10/11/1960</t>
  </si>
  <si>
    <t>05/19/1962</t>
  </si>
  <si>
    <t>07/23/1986</t>
  </si>
  <si>
    <t>04/02/1967</t>
  </si>
  <si>
    <t>03/19/1965</t>
  </si>
  <si>
    <t>01/07/1981</t>
  </si>
  <si>
    <t>07/19/1984</t>
  </si>
  <si>
    <t>03/12/1980</t>
  </si>
  <si>
    <t>10/01/1957</t>
  </si>
  <si>
    <t>02/06/1965</t>
  </si>
  <si>
    <t>07/29/1983</t>
  </si>
  <si>
    <t>08/23/1989</t>
  </si>
  <si>
    <t>03/19/1994</t>
  </si>
  <si>
    <t>05/02/1986</t>
  </si>
  <si>
    <t>02/12/1967</t>
  </si>
  <si>
    <t>12/14/1979</t>
  </si>
  <si>
    <t>08/04/1971</t>
  </si>
  <si>
    <t>10/27/1982</t>
  </si>
  <si>
    <t>04/07/1997</t>
  </si>
  <si>
    <t>08/20/1975</t>
  </si>
  <si>
    <t>11/02/1969</t>
  </si>
  <si>
    <t>06/27/1988</t>
  </si>
  <si>
    <t>06/26/1986</t>
  </si>
  <si>
    <t>02/16/1965</t>
  </si>
  <si>
    <t>01/06/1967</t>
  </si>
  <si>
    <t>04/05/2018</t>
  </si>
  <si>
    <t>12/12/1988</t>
  </si>
  <si>
    <t>07/03/1978</t>
  </si>
  <si>
    <t>01/26/1981</t>
  </si>
  <si>
    <t>12/02/1986</t>
  </si>
  <si>
    <t>04/23/1990</t>
  </si>
  <si>
    <t>08/16/1973</t>
  </si>
  <si>
    <t>04/10/1976</t>
  </si>
  <si>
    <t>05/25/1972</t>
  </si>
  <si>
    <t>03/11/1964</t>
  </si>
  <si>
    <t>09/22/1968</t>
  </si>
  <si>
    <t>08/27/1953</t>
  </si>
  <si>
    <t>08/22/1961</t>
  </si>
  <si>
    <t>09/24/1972</t>
  </si>
  <si>
    <t>11/09/1966</t>
  </si>
  <si>
    <t>08/14/1985</t>
  </si>
  <si>
    <t>12/20/1995</t>
  </si>
  <si>
    <t>07/04/1966</t>
  </si>
  <si>
    <t>05/27/1970</t>
  </si>
  <si>
    <t>02/02/1971</t>
  </si>
  <si>
    <t>08/31/1969</t>
  </si>
  <si>
    <t>02/22/1996</t>
  </si>
  <si>
    <t>12/11/1997</t>
  </si>
  <si>
    <t>02/08/1978</t>
  </si>
  <si>
    <t>04/15/1980</t>
  </si>
  <si>
    <t>06/17/1973</t>
  </si>
  <si>
    <t>08/31/1985</t>
  </si>
  <si>
    <t>09/17/1950</t>
  </si>
  <si>
    <t>04/04/1971</t>
  </si>
  <si>
    <t>10/06/1972</t>
  </si>
  <si>
    <t>01/01/1978</t>
  </si>
  <si>
    <t>02/07/1985</t>
  </si>
  <si>
    <t>11/02/1986</t>
  </si>
  <si>
    <t>10/28/1973</t>
  </si>
  <si>
    <t>08/20/1994</t>
  </si>
  <si>
    <t>05/31/1977</t>
  </si>
  <si>
    <t>07/06/1984</t>
  </si>
  <si>
    <t>04/04/1957</t>
  </si>
  <si>
    <t>01/17/1973</t>
  </si>
  <si>
    <t>07/27/1964</t>
  </si>
  <si>
    <t>10/05/1982</t>
  </si>
  <si>
    <t>09/22/1964</t>
  </si>
  <si>
    <t>03/23/1958</t>
  </si>
  <si>
    <t>01/26/1988</t>
  </si>
  <si>
    <t>10/07/1966</t>
  </si>
  <si>
    <t>10/26/1969</t>
  </si>
  <si>
    <t>04/05/1981</t>
  </si>
  <si>
    <t>06/22/1978</t>
  </si>
  <si>
    <t>04/19/1988</t>
  </si>
  <si>
    <t>05/11/1953</t>
  </si>
  <si>
    <t>01/03/1983</t>
  </si>
  <si>
    <t>04/10/1954</t>
  </si>
  <si>
    <t>09/05/1967</t>
  </si>
  <si>
    <t>05/12/1987</t>
  </si>
  <si>
    <t>09/07/1981</t>
  </si>
  <si>
    <t>02/02/1979</t>
  </si>
  <si>
    <t>06/17/1977</t>
  </si>
  <si>
    <t>11/22/1947</t>
  </si>
  <si>
    <t>08/28/1986</t>
  </si>
  <si>
    <t>02/12/1986</t>
  </si>
  <si>
    <t>12/24/1978</t>
  </si>
  <si>
    <t>05/03/1973</t>
  </si>
  <si>
    <t>11/19/1960</t>
  </si>
  <si>
    <t>08/09/1983</t>
  </si>
  <si>
    <t>03/08/1993</t>
  </si>
  <si>
    <t>08/11/1941</t>
  </si>
  <si>
    <t>05/23/1967</t>
  </si>
  <si>
    <t>06/17/1982</t>
  </si>
  <si>
    <t>01/10/1985</t>
  </si>
  <si>
    <t>01/22/1976</t>
  </si>
  <si>
    <t>09/05/1976</t>
  </si>
  <si>
    <t>02/08/1966</t>
  </si>
  <si>
    <t>07/15/1981</t>
  </si>
  <si>
    <t>12/11/1976</t>
  </si>
  <si>
    <t>01/20/1982</t>
  </si>
  <si>
    <t>07/15/1959</t>
  </si>
  <si>
    <t>12/30/1940</t>
  </si>
  <si>
    <t>06/03/1977</t>
  </si>
  <si>
    <t>11/12/1954</t>
  </si>
  <si>
    <t>05/16/1972</t>
  </si>
  <si>
    <t>03/14/1972</t>
  </si>
  <si>
    <t>08/27/1961</t>
  </si>
  <si>
    <t>03/27/1969</t>
  </si>
  <si>
    <t>11/25/1982</t>
  </si>
  <si>
    <t>07/28/1955</t>
  </si>
  <si>
    <t>04/25/1967</t>
  </si>
  <si>
    <t>07/10/1970</t>
  </si>
  <si>
    <t>12/21/1956</t>
  </si>
  <si>
    <t>05/16/1979</t>
  </si>
  <si>
    <t>08/31/1963</t>
  </si>
  <si>
    <t>12/22/1977</t>
  </si>
  <si>
    <t>01/27/1972</t>
  </si>
  <si>
    <t>08/20/1988</t>
  </si>
  <si>
    <t>03/31/1964</t>
  </si>
  <si>
    <t>11/04/1970</t>
  </si>
  <si>
    <t>10/19/1965</t>
  </si>
  <si>
    <t>10/04/1976</t>
  </si>
  <si>
    <t>08/07/1980</t>
  </si>
  <si>
    <t>11/05/1977</t>
  </si>
  <si>
    <t>10/03/1971</t>
  </si>
  <si>
    <t>02/09/1954</t>
  </si>
  <si>
    <t>05/10/1971</t>
  </si>
  <si>
    <t>06/25/1978</t>
  </si>
  <si>
    <t>02/19/1967</t>
  </si>
  <si>
    <t>03/03/1981</t>
  </si>
  <si>
    <t>07/19/1974</t>
  </si>
  <si>
    <t>08/14/1981</t>
  </si>
  <si>
    <t>11/06/1980</t>
  </si>
  <si>
    <t>10/21/1969</t>
  </si>
  <si>
    <t>01/10/1976</t>
  </si>
  <si>
    <t>08/27/1957</t>
  </si>
  <si>
    <t>12/24/1980</t>
  </si>
  <si>
    <t>04/12/1984</t>
  </si>
  <si>
    <t>12/31/1990</t>
  </si>
  <si>
    <t>11/09/1983</t>
  </si>
  <si>
    <t>01/12/1968</t>
  </si>
  <si>
    <t>08/08/1983</t>
  </si>
  <si>
    <t>09/04/1968</t>
  </si>
  <si>
    <t>07/03/1988</t>
  </si>
  <si>
    <t>07/03/1974</t>
  </si>
  <si>
    <t>05/16/1995</t>
  </si>
  <si>
    <t>08/06/1992</t>
  </si>
  <si>
    <t>05/12/1986</t>
  </si>
  <si>
    <t>12/28/1982</t>
  </si>
  <si>
    <t>05/29/1988</t>
  </si>
  <si>
    <t>01/06/1977</t>
  </si>
  <si>
    <t>08/07/1997</t>
  </si>
  <si>
    <t>03/31/1992</t>
  </si>
  <si>
    <t>012-76-8998</t>
  </si>
  <si>
    <t>016-78-3007</t>
  </si>
  <si>
    <t>020-43-0922</t>
  </si>
  <si>
    <t>022-96-7935</t>
  </si>
  <si>
    <t>023-64-7040</t>
  </si>
  <si>
    <t>025-64-6550</t>
  </si>
  <si>
    <t>027-27-4577</t>
  </si>
  <si>
    <t>033-92-8608</t>
  </si>
  <si>
    <t>039-94-3421</t>
  </si>
  <si>
    <t>040-04-2795</t>
  </si>
  <si>
    <t>041-78-7596</t>
  </si>
  <si>
    <t>048-68-6512</t>
  </si>
  <si>
    <t>050-02-2676</t>
  </si>
  <si>
    <t>050-62-1204</t>
  </si>
  <si>
    <t>050-72-3686</t>
  </si>
  <si>
    <t>050-78-1250</t>
  </si>
  <si>
    <t>050-86-6029</t>
  </si>
  <si>
    <t>051-02-5747</t>
  </si>
  <si>
    <t>051-40-7384</t>
  </si>
  <si>
    <t>051-84-2494</t>
  </si>
  <si>
    <t>051-84-7827</t>
  </si>
  <si>
    <t>051-96-1553</t>
  </si>
  <si>
    <t>052-02-9690</t>
  </si>
  <si>
    <t>052-64-1298</t>
  </si>
  <si>
    <t>052-92-2480</t>
  </si>
  <si>
    <t>053-58-3383</t>
  </si>
  <si>
    <t>053-62-6900</t>
  </si>
  <si>
    <t>053-70-3855</t>
  </si>
  <si>
    <t>053-76-6276</t>
  </si>
  <si>
    <t>053-82-0475</t>
  </si>
  <si>
    <t>053-86-6892</t>
  </si>
  <si>
    <t>053-88-5429</t>
  </si>
  <si>
    <t>054-02-8362</t>
  </si>
  <si>
    <t>054-68-2755</t>
  </si>
  <si>
    <t>054-76-3437</t>
  </si>
  <si>
    <t>054-88-8862</t>
  </si>
  <si>
    <t>054-96-4729</t>
  </si>
  <si>
    <t>055-34-5684</t>
  </si>
  <si>
    <t>055-58-4926</t>
  </si>
  <si>
    <t>055-82-2415</t>
  </si>
  <si>
    <t>056-56-5309</t>
  </si>
  <si>
    <t>056-62-8785</t>
  </si>
  <si>
    <t>056-64-0265</t>
  </si>
  <si>
    <t>056-68-1309</t>
  </si>
  <si>
    <t>056-76-2779</t>
  </si>
  <si>
    <t>056-98-7121</t>
  </si>
  <si>
    <t>057-70-5487</t>
  </si>
  <si>
    <t>057-70-8192</t>
  </si>
  <si>
    <t>057-74-2926</t>
  </si>
  <si>
    <t>057-86-4204</t>
  </si>
  <si>
    <t>058-36-8259</t>
  </si>
  <si>
    <t>058-88-9969</t>
  </si>
  <si>
    <t>058-90-5861</t>
  </si>
  <si>
    <t>059-60-1312</t>
  </si>
  <si>
    <t>059-62-4508</t>
  </si>
  <si>
    <t>059-62-5825</t>
  </si>
  <si>
    <t>059-68-0705</t>
  </si>
  <si>
    <t>060-60-3470</t>
  </si>
  <si>
    <t>060-70-1076</t>
  </si>
  <si>
    <t>060-84-5387</t>
  </si>
  <si>
    <t>060-94-7521</t>
  </si>
  <si>
    <t>060-96-0271</t>
  </si>
  <si>
    <t>061-58-8965</t>
  </si>
  <si>
    <t>061-68-9731</t>
  </si>
  <si>
    <t>061-70-1902</t>
  </si>
  <si>
    <t>061-70-3082</t>
  </si>
  <si>
    <t>061-84-3664</t>
  </si>
  <si>
    <t>062-56-8545</t>
  </si>
  <si>
    <t>062-58-0161</t>
  </si>
  <si>
    <t>062-68-1689</t>
  </si>
  <si>
    <t>063-42-0339</t>
  </si>
  <si>
    <t>063-56-5490</t>
  </si>
  <si>
    <t>063-58-1981</t>
  </si>
  <si>
    <t>063-58-7788</t>
  </si>
  <si>
    <t>064-74-0877</t>
  </si>
  <si>
    <t>064-76-6994</t>
  </si>
  <si>
    <t>064-78-3660</t>
  </si>
  <si>
    <t>065-70-5865</t>
  </si>
  <si>
    <t>065-74-5784</t>
  </si>
  <si>
    <t>066-56-2073</t>
  </si>
  <si>
    <t>067-70-2647</t>
  </si>
  <si>
    <t>067-70-5294</t>
  </si>
  <si>
    <t>068-62-9946</t>
  </si>
  <si>
    <t>068-74-5867</t>
  </si>
  <si>
    <t>068-80-3486</t>
  </si>
  <si>
    <t>069-58-9499</t>
  </si>
  <si>
    <t>069-62-7184</t>
  </si>
  <si>
    <t>069-68-6712</t>
  </si>
  <si>
    <t>069-78-7596</t>
  </si>
  <si>
    <t>070-58-9697</t>
  </si>
  <si>
    <t>070-70-8064</t>
  </si>
  <si>
    <t>071-72-5696</t>
  </si>
  <si>
    <t>071-74-9761</t>
  </si>
  <si>
    <t>071-78-4076</t>
  </si>
  <si>
    <t>071-90-5225</t>
  </si>
  <si>
    <t>071-94-7441</t>
  </si>
  <si>
    <t>072-70-1090</t>
  </si>
  <si>
    <t>072-72-0715</t>
  </si>
  <si>
    <t>072-76-8535</t>
  </si>
  <si>
    <t>073-40-0582</t>
  </si>
  <si>
    <t>073-50-5837</t>
  </si>
  <si>
    <t>073-58-8577</t>
  </si>
  <si>
    <t>073-68-5684</t>
  </si>
  <si>
    <t>073-94-6982</t>
  </si>
  <si>
    <t>074-78-8676</t>
  </si>
  <si>
    <t>075-44-5338</t>
  </si>
  <si>
    <t>075-82-8723</t>
  </si>
  <si>
    <t>075-94-2752</t>
  </si>
  <si>
    <t>076-52-1946</t>
  </si>
  <si>
    <t>076-60-1987</t>
  </si>
  <si>
    <t>076-86-9957</t>
  </si>
  <si>
    <t>077-54-3795</t>
  </si>
  <si>
    <t>077-58-2636</t>
  </si>
  <si>
    <t>077-64-2542</t>
  </si>
  <si>
    <t>077-72-7430</t>
  </si>
  <si>
    <t>077-90-8508</t>
  </si>
  <si>
    <t>078-58-3146</t>
  </si>
  <si>
    <t>078-66-7957</t>
  </si>
  <si>
    <t>078-74-6038</t>
  </si>
  <si>
    <t>078-74-9676</t>
  </si>
  <si>
    <t>078-76-6190</t>
  </si>
  <si>
    <t>079-02-1486</t>
  </si>
  <si>
    <t>079-60-1008</t>
  </si>
  <si>
    <t>079-72-5016</t>
  </si>
  <si>
    <t>079-76-5125</t>
  </si>
  <si>
    <t>079-84-7650</t>
  </si>
  <si>
    <t>080-58-3640</t>
  </si>
  <si>
    <t>080-60-6024</t>
  </si>
  <si>
    <t>080-76-5034</t>
  </si>
  <si>
    <t>081-68-8476</t>
  </si>
  <si>
    <t>082-44-3750</t>
  </si>
  <si>
    <t>082-60-0457</t>
  </si>
  <si>
    <t>082-74-2167</t>
  </si>
  <si>
    <t>082-78-4359</t>
  </si>
  <si>
    <t>082-84-7850</t>
  </si>
  <si>
    <t>083-32-9931</t>
  </si>
  <si>
    <t>083-56-2928</t>
  </si>
  <si>
    <t>083-68-2057</t>
  </si>
  <si>
    <t>083-68-6682</t>
  </si>
  <si>
    <t>083-70-8843</t>
  </si>
  <si>
    <t>083-74-6076</t>
  </si>
  <si>
    <t>083-94-0429</t>
  </si>
  <si>
    <t>083-98-4014</t>
  </si>
  <si>
    <t>084-56-6428</t>
  </si>
  <si>
    <t>084-62-9813</t>
  </si>
  <si>
    <t>084-64-3092</t>
  </si>
  <si>
    <t>084-74-5506</t>
  </si>
  <si>
    <t>084-78-2051</t>
  </si>
  <si>
    <t>084-78-2327</t>
  </si>
  <si>
    <t>084-78-8704</t>
  </si>
  <si>
    <t>084-84-8419</t>
  </si>
  <si>
    <t>084-86-5826</t>
  </si>
  <si>
    <t>085-58-3440</t>
  </si>
  <si>
    <t>085-98-0540</t>
  </si>
  <si>
    <t>086-02-8830</t>
  </si>
  <si>
    <t>086-52-9506</t>
  </si>
  <si>
    <t>086-80-5883</t>
  </si>
  <si>
    <t>086-82-3291</t>
  </si>
  <si>
    <t>086-82-4073</t>
  </si>
  <si>
    <t>087-48-3083</t>
  </si>
  <si>
    <t>087-60-6096</t>
  </si>
  <si>
    <t>087-82-9998</t>
  </si>
  <si>
    <t>088-76-7430</t>
  </si>
  <si>
    <t>088-80-3736</t>
  </si>
  <si>
    <t>088-92-1616</t>
  </si>
  <si>
    <t>089-58-8487</t>
  </si>
  <si>
    <t>089-72-2686</t>
  </si>
  <si>
    <t>090-68-1494</t>
  </si>
  <si>
    <t>090-84-3408</t>
  </si>
  <si>
    <t>091-54-6575</t>
  </si>
  <si>
    <t>091-76-8241</t>
  </si>
  <si>
    <t>091-92-7998</t>
  </si>
  <si>
    <t>091-94-5533</t>
  </si>
  <si>
    <t>092-43-1474</t>
  </si>
  <si>
    <t>092-52-8647</t>
  </si>
  <si>
    <t>092-62-1292</t>
  </si>
  <si>
    <t>092-64-4012</t>
  </si>
  <si>
    <t>092-64-7881</t>
  </si>
  <si>
    <t>092-66-0388</t>
  </si>
  <si>
    <t>092-68-6271</t>
  </si>
  <si>
    <t>092-74-6769</t>
  </si>
  <si>
    <t>092-88-3192</t>
  </si>
  <si>
    <t>093-64-0552</t>
  </si>
  <si>
    <t>093-66-6910</t>
  </si>
  <si>
    <t>093-74-2374</t>
  </si>
  <si>
    <t>093-76-7899</t>
  </si>
  <si>
    <t>093-78-7668</t>
  </si>
  <si>
    <t>094-58-1151</t>
  </si>
  <si>
    <t>094-68-4168</t>
  </si>
  <si>
    <t>094-70-1591</t>
  </si>
  <si>
    <t>095-64-7361</t>
  </si>
  <si>
    <t>095-64-7896</t>
  </si>
  <si>
    <t>095-68-4553</t>
  </si>
  <si>
    <t>095-68-9007</t>
  </si>
  <si>
    <t>095-80-7995</t>
  </si>
  <si>
    <t>096-70-2527</t>
  </si>
  <si>
    <t>097-64-2982</t>
  </si>
  <si>
    <t>097-84-7534</t>
  </si>
  <si>
    <t>098-46-2865</t>
  </si>
  <si>
    <t>098-56-1260</t>
  </si>
  <si>
    <t>098-86-9519</t>
  </si>
  <si>
    <t>099-56-8292</t>
  </si>
  <si>
    <t>099-68-2305</t>
  </si>
  <si>
    <t>099-70-0231</t>
  </si>
  <si>
    <t>099-76-1528</t>
  </si>
  <si>
    <t>099-78-6640</t>
  </si>
  <si>
    <t>099-84-2261</t>
  </si>
  <si>
    <t>099-86-8277</t>
  </si>
  <si>
    <t>099-88-0713</t>
  </si>
  <si>
    <t>100-58-4283</t>
  </si>
  <si>
    <t>100-94-8416</t>
  </si>
  <si>
    <t>101-54-3698</t>
  </si>
  <si>
    <t>101-54-6235</t>
  </si>
  <si>
    <t>101-64-5055</t>
  </si>
  <si>
    <t>101-68-1719</t>
  </si>
  <si>
    <t>101-90-3599</t>
  </si>
  <si>
    <t>101-92-7867</t>
  </si>
  <si>
    <t>102-56-8793</t>
  </si>
  <si>
    <t>102-60-0202</t>
  </si>
  <si>
    <t>102-69-2252</t>
  </si>
  <si>
    <t>102-76-4490</t>
  </si>
  <si>
    <t>103-40-0668</t>
  </si>
  <si>
    <t>103-62-0516</t>
  </si>
  <si>
    <t>103-68-4304</t>
  </si>
  <si>
    <t>103-88-7197</t>
  </si>
  <si>
    <t>103-92-3037</t>
  </si>
  <si>
    <t>103-92-7565</t>
  </si>
  <si>
    <t>104-58-3968</t>
  </si>
  <si>
    <t>104-60-1918</t>
  </si>
  <si>
    <t>104-78-4668</t>
  </si>
  <si>
    <t>105-54-1327</t>
  </si>
  <si>
    <t>105-70-3758</t>
  </si>
  <si>
    <t>105-72-4945</t>
  </si>
  <si>
    <t>105-74-4592</t>
  </si>
  <si>
    <t>105-96-5862</t>
  </si>
  <si>
    <t>105-98-4390</t>
  </si>
  <si>
    <t>106-60-3378</t>
  </si>
  <si>
    <t>106-78-5829</t>
  </si>
  <si>
    <t>106-82-7737</t>
  </si>
  <si>
    <t>106-96-5684</t>
  </si>
  <si>
    <t>107-43-9464</t>
  </si>
  <si>
    <t>107-62-1518</t>
  </si>
  <si>
    <t>107-70-2081</t>
  </si>
  <si>
    <t>107-70-4648</t>
  </si>
  <si>
    <t>107-74-0188</t>
  </si>
  <si>
    <t>107-84-0851</t>
  </si>
  <si>
    <t>108-48-7632</t>
  </si>
  <si>
    <t>108-52-5724</t>
  </si>
  <si>
    <t>108-66-9843</t>
  </si>
  <si>
    <t>108-72-5217</t>
  </si>
  <si>
    <t>108-88-7151</t>
  </si>
  <si>
    <t>108-92-5939</t>
  </si>
  <si>
    <t>109-48-0039</t>
  </si>
  <si>
    <t>109-66-5370</t>
  </si>
  <si>
    <t>109-70-4985</t>
  </si>
  <si>
    <t>109-80-2647</t>
  </si>
  <si>
    <t>110-68-7738</t>
  </si>
  <si>
    <t>110-74-6096</t>
  </si>
  <si>
    <t>110-74-6451</t>
  </si>
  <si>
    <t>110-80-3549</t>
  </si>
  <si>
    <t>111-56-5617</t>
  </si>
  <si>
    <t>111-82-7616</t>
  </si>
  <si>
    <t>112-70-6433</t>
  </si>
  <si>
    <t>112-74-9224</t>
  </si>
  <si>
    <t>112-82-1562</t>
  </si>
  <si>
    <t>113-56-5950</t>
  </si>
  <si>
    <t>113-62-9262</t>
  </si>
  <si>
    <t>113-88-7740</t>
  </si>
  <si>
    <t>114-52-3925</t>
  </si>
  <si>
    <t>114-80-9830</t>
  </si>
  <si>
    <t>114-86-2459</t>
  </si>
  <si>
    <t>115-62-6738</t>
  </si>
  <si>
    <t>115-64-4792</t>
  </si>
  <si>
    <t>115-64-6534</t>
  </si>
  <si>
    <t>115-92-8202</t>
  </si>
  <si>
    <t>115-92-9511</t>
  </si>
  <si>
    <t>116-68-0220</t>
  </si>
  <si>
    <t>116-70-4408</t>
  </si>
  <si>
    <t>116-72-7563</t>
  </si>
  <si>
    <t>116-90-1326</t>
  </si>
  <si>
    <t>117-24-5977</t>
  </si>
  <si>
    <t>117-68-8378</t>
  </si>
  <si>
    <t>117-70-7232</t>
  </si>
  <si>
    <t>118-54-2101</t>
  </si>
  <si>
    <t>118-56-1550</t>
  </si>
  <si>
    <t>118-74-5916</t>
  </si>
  <si>
    <t>118-76-8379</t>
  </si>
  <si>
    <t>118-82-0272</t>
  </si>
  <si>
    <t>118-90-2295</t>
  </si>
  <si>
    <t>119-56-8769</t>
  </si>
  <si>
    <t>119-72-0141</t>
  </si>
  <si>
    <t>119-78-3173</t>
  </si>
  <si>
    <t>120-66-6281</t>
  </si>
  <si>
    <t>120-96-9319</t>
  </si>
  <si>
    <t>120-98-6288</t>
  </si>
  <si>
    <t>121-64-2345</t>
  </si>
  <si>
    <t>121-74-5734</t>
  </si>
  <si>
    <t>121-78-9312</t>
  </si>
  <si>
    <t>121-90-2636</t>
  </si>
  <si>
    <t>122-60-2936</t>
  </si>
  <si>
    <t>122-62-6836</t>
  </si>
  <si>
    <t>122-70-4412</t>
  </si>
  <si>
    <t>122-92-6286</t>
  </si>
  <si>
    <t>123-64-6352</t>
  </si>
  <si>
    <t>123-64-8395</t>
  </si>
  <si>
    <t>123-72-3696</t>
  </si>
  <si>
    <t>123-76-3829</t>
  </si>
  <si>
    <t>123-80-1985</t>
  </si>
  <si>
    <t>123-90-0314</t>
  </si>
  <si>
    <t>123-98-2470</t>
  </si>
  <si>
    <t>124-58-7232</t>
  </si>
  <si>
    <t>124-82-0074</t>
  </si>
  <si>
    <t>125-44-8556</t>
  </si>
  <si>
    <t>125-52-1907</t>
  </si>
  <si>
    <t>125-54-9729</t>
  </si>
  <si>
    <t>125-62-5359</t>
  </si>
  <si>
    <t>125-72-3876</t>
  </si>
  <si>
    <t>125-84-1195</t>
  </si>
  <si>
    <t>125-84-7147</t>
  </si>
  <si>
    <t>125-90-1439</t>
  </si>
  <si>
    <t>126-52-7146</t>
  </si>
  <si>
    <t>126-66-7191</t>
  </si>
  <si>
    <t>126-84-9615</t>
  </si>
  <si>
    <t>126-86-1287</t>
  </si>
  <si>
    <t>127-84-4500</t>
  </si>
  <si>
    <t>127-86-7212</t>
  </si>
  <si>
    <t>127-88-1118</t>
  </si>
  <si>
    <t>127-90-8857</t>
  </si>
  <si>
    <t>128-46-8459</t>
  </si>
  <si>
    <t>128-56-2372</t>
  </si>
  <si>
    <t>129-56-8661</t>
  </si>
  <si>
    <t>129-64-2047</t>
  </si>
  <si>
    <t>129-68-4106</t>
  </si>
  <si>
    <t>129-70-3972</t>
  </si>
  <si>
    <t>129-70-9153</t>
  </si>
  <si>
    <t>129-82-6632</t>
  </si>
  <si>
    <t>130-60-2714</t>
  </si>
  <si>
    <t>130-82-5109</t>
  </si>
  <si>
    <t>130-90-5496</t>
  </si>
  <si>
    <t>131-48-0705</t>
  </si>
  <si>
    <t>131-58-5999</t>
  </si>
  <si>
    <t>132-54-7012</t>
  </si>
  <si>
    <t>133-66-5736</t>
  </si>
  <si>
    <t>133-68-1133</t>
  </si>
  <si>
    <t>133-76-7477</t>
  </si>
  <si>
    <t>133-94-2927</t>
  </si>
  <si>
    <t>133-96-8598</t>
  </si>
  <si>
    <t>134-64-2600</t>
  </si>
  <si>
    <t>134-72-4009</t>
  </si>
  <si>
    <t>134-74-0399</t>
  </si>
  <si>
    <t>134-84-2728</t>
  </si>
  <si>
    <t>138-98-8388</t>
  </si>
  <si>
    <t>145-04-9453</t>
  </si>
  <si>
    <t>147-55-5616</t>
  </si>
  <si>
    <t>149-70-9947</t>
  </si>
  <si>
    <t>151-13-2834</t>
  </si>
  <si>
    <t>154-96-0555</t>
  </si>
  <si>
    <t>156-84-5909</t>
  </si>
  <si>
    <t>158-55-4856</t>
  </si>
  <si>
    <t>160-23-8625</t>
  </si>
  <si>
    <t>167-86-8770</t>
  </si>
  <si>
    <t>179-26-3500</t>
  </si>
  <si>
    <t>182-30-1243</t>
  </si>
  <si>
    <t>183-86-0596</t>
  </si>
  <si>
    <t>199-54-7849</t>
  </si>
  <si>
    <t>207-63-8490</t>
  </si>
  <si>
    <t>209-75-5464</t>
  </si>
  <si>
    <t>243-75-7400</t>
  </si>
  <si>
    <t>247-74-7167</t>
  </si>
  <si>
    <t>282-91-2077</t>
  </si>
  <si>
    <t>327-57-8745</t>
  </si>
  <si>
    <t>345-57-9878</t>
  </si>
  <si>
    <t>355-45-7393</t>
  </si>
  <si>
    <t>371-69-0758</t>
  </si>
  <si>
    <t>431-27-0471</t>
  </si>
  <si>
    <t>480-95-1126</t>
  </si>
  <si>
    <t>485-17-2053</t>
  </si>
  <si>
    <t>532-77-6365</t>
  </si>
  <si>
    <t>582-04-1059</t>
  </si>
  <si>
    <t>582-46-1111</t>
  </si>
  <si>
    <t>582-55-3411</t>
  </si>
  <si>
    <t>582-89-5114</t>
  </si>
  <si>
    <t>582-91-3949</t>
  </si>
  <si>
    <t>582-97-9094</t>
  </si>
  <si>
    <t>583-11-7140</t>
  </si>
  <si>
    <t>583-43-1376</t>
  </si>
  <si>
    <t>583-91-9667</t>
  </si>
  <si>
    <t>583-98-2961</t>
  </si>
  <si>
    <t>584-47-4471</t>
  </si>
  <si>
    <t>584-47-9916</t>
  </si>
  <si>
    <t>584-70-9240</t>
  </si>
  <si>
    <t>589-18-1984</t>
  </si>
  <si>
    <t>590-46-0496</t>
  </si>
  <si>
    <t>592-49-4307</t>
  </si>
  <si>
    <t>593-49-4140</t>
  </si>
  <si>
    <t>594-74-4090</t>
  </si>
  <si>
    <t>597-36-3875</t>
  </si>
  <si>
    <t>597-40-8290</t>
  </si>
  <si>
    <t>598-16-7837</t>
  </si>
  <si>
    <t>598-26-4003</t>
  </si>
  <si>
    <t>599-44-6515</t>
  </si>
  <si>
    <t>635-54-7020</t>
  </si>
  <si>
    <t>649-47-5167</t>
  </si>
  <si>
    <t>664-25-4660</t>
  </si>
  <si>
    <t>671-30-7008</t>
  </si>
  <si>
    <t>706-64-8491</t>
  </si>
  <si>
    <t>718-76-9919</t>
  </si>
  <si>
    <t>729-12-9609</t>
  </si>
  <si>
    <t>729-20-0660</t>
  </si>
  <si>
    <t>730-14-7561</t>
  </si>
  <si>
    <t>731-01-6741</t>
  </si>
  <si>
    <t>731-09-2384</t>
  </si>
  <si>
    <t>733-01-4254</t>
  </si>
  <si>
    <t>733-05-3043</t>
  </si>
  <si>
    <t>733-14-0281</t>
  </si>
  <si>
    <t>734-52-8722</t>
  </si>
  <si>
    <t>747-91-0802</t>
  </si>
  <si>
    <t>771-56-0971</t>
  </si>
  <si>
    <t>772-01-7743</t>
  </si>
  <si>
    <t>796-05-7637</t>
  </si>
  <si>
    <t>808-80-6123</t>
  </si>
  <si>
    <t>810-41-1090</t>
  </si>
  <si>
    <t>812-05-4081</t>
  </si>
  <si>
    <t>814-97-2688</t>
  </si>
  <si>
    <t>821-13-0266</t>
  </si>
  <si>
    <t>851-89-3163</t>
  </si>
  <si>
    <t>852-76-1521</t>
  </si>
  <si>
    <t>862-69-8155</t>
  </si>
  <si>
    <t>872-08-3431</t>
  </si>
  <si>
    <t>885-46-6297</t>
  </si>
  <si>
    <t>899-53-4205</t>
  </si>
  <si>
    <t>Rent Stabilized</t>
  </si>
  <si>
    <t>Unregulated</t>
  </si>
  <si>
    <t>Unknown</t>
  </si>
  <si>
    <t>Public Housing/NYCHA</t>
  </si>
  <si>
    <t>Mitchell-Lama</t>
  </si>
  <si>
    <t>Other Subsidized Housing</t>
  </si>
  <si>
    <t>Rent Controlled</t>
  </si>
  <si>
    <t>Project-based Sec. 8</t>
  </si>
  <si>
    <t>Low Income Tax Credit</t>
  </si>
  <si>
    <t>Unregulated – Co-Op</t>
  </si>
  <si>
    <t>Public Housing</t>
  </si>
  <si>
    <t>HDFC</t>
  </si>
  <si>
    <t>Unregulated – Sublet</t>
  </si>
  <si>
    <t>Section 8</t>
  </si>
  <si>
    <t>LINC</t>
  </si>
  <si>
    <t>FEPS</t>
  </si>
  <si>
    <t>City FEPS</t>
  </si>
  <si>
    <t>DRIE/SCRIE</t>
  </si>
  <si>
    <t>SEPS</t>
  </si>
  <si>
    <t>HASA</t>
  </si>
  <si>
    <t>HUD VASH</t>
  </si>
  <si>
    <t>11/28/2016</t>
  </si>
  <si>
    <t>FJC Waiver</t>
  </si>
  <si>
    <t>CAT1: HRA Referral</t>
  </si>
  <si>
    <t>English</t>
  </si>
  <si>
    <t>Spanish</t>
  </si>
  <si>
    <t>Creole</t>
  </si>
  <si>
    <t>French</t>
  </si>
  <si>
    <t>Arabic</t>
  </si>
  <si>
    <t>Bengali</t>
  </si>
  <si>
    <t>Samoan</t>
  </si>
  <si>
    <t>Chinese/Mandarin</t>
  </si>
  <si>
    <t>Finnish</t>
  </si>
  <si>
    <t>Dutch</t>
  </si>
  <si>
    <t>Slovak</t>
  </si>
  <si>
    <t>Mandarin</t>
  </si>
  <si>
    <t>no documented advice</t>
  </si>
  <si>
    <t>5/10 - need advice notes; DHCI in case # 19-1897373</t>
  </si>
  <si>
    <t>Compliance Docs located in parent file #18-1886406</t>
  </si>
  <si>
    <t>COnsebt and DHCI 19-1897729</t>
  </si>
  <si>
    <t>CASA 11/8</t>
  </si>
  <si>
    <t>HRA consent is in LS# 18-1882003</t>
  </si>
  <si>
    <t>DHCI by HRA</t>
  </si>
  <si>
    <t>Compliance Docs located in parent file #19-1892341 incl retainer &amp; attestation</t>
  </si>
  <si>
    <t>No 4 month issue, rent reduction was done in 2016, PAR was done in 2017, just obtained forms in 2018.  DHCI marked yes bc verified benefits</t>
  </si>
  <si>
    <t>Needs an Updated DHCI Form</t>
  </si>
  <si>
    <t>Releases are uploaded</t>
  </si>
  <si>
    <t>CASA 11/29</t>
  </si>
  <si>
    <t>No 4 month issue, rent reduction was done in 2016, PAR was done in 2017, just obtained forms in 2018</t>
  </si>
  <si>
    <t>Attestation can be found in 18-1860276</t>
  </si>
  <si>
    <t>Compliance docs located in companion file #19-1899074</t>
  </si>
  <si>
    <t>DO-Docs signed and uploaded</t>
  </si>
  <si>
    <t>see 18-1879063 for comp docs</t>
  </si>
  <si>
    <t>comp docs in 18-1879063</t>
  </si>
  <si>
    <t>HRA and DHCI forms are in case #18-1885956</t>
  </si>
  <si>
    <t>see 18-1875936 for compliance docs</t>
  </si>
  <si>
    <t>comp docs Elvy, Ray (18-1882171)</t>
  </si>
  <si>
    <t>upload in 17-1853915</t>
  </si>
  <si>
    <t>Obtain consent via phone 6/4/18.  No 4 month issue, rent reduction was done in 2016, PAR was done in 2017, just obtained forms in 2018</t>
  </si>
  <si>
    <t>LS HH COm does not match DHCI</t>
  </si>
  <si>
    <t>compliance doc 18-1877190</t>
  </si>
  <si>
    <t>DO</t>
  </si>
  <si>
    <t>Compliance docs are located in companion file #18-1879255</t>
  </si>
  <si>
    <t>HRA Release is  in 19-1896750</t>
  </si>
  <si>
    <t>NO DHCI ; other forms are in 19-1896750</t>
  </si>
  <si>
    <t>Compliance forms are in 19-1896750</t>
  </si>
  <si>
    <t>DO-Docs signed and uploaded-File is under the compliance folder as "Attestation"</t>
  </si>
  <si>
    <t>HRA consent and DHCI forms are in LS#19-1899758</t>
  </si>
  <si>
    <t>compliance docs located in parent file #18-1885168</t>
  </si>
  <si>
    <t>Compliance Docs located in parent file #18-1885168</t>
  </si>
  <si>
    <t>CASA 12/6</t>
  </si>
  <si>
    <t>Please see HRA and DCHI forms in LS # 19-1896204</t>
  </si>
  <si>
    <t>DV victim - in process of applying for citizenship</t>
  </si>
  <si>
    <t>CASA 10/11</t>
  </si>
  <si>
    <t>Filed/Argued/Supplemented Dispositive or other Substantive Motion</t>
  </si>
  <si>
    <t>Counsel Assisted in Filing or Refiling of Answer, Filed/Argued/Supplemented Dispositive or other Substantive Motion</t>
  </si>
  <si>
    <t>Filed for an Emergency Order to Show Cause</t>
  </si>
  <si>
    <t>Counsel Assisted in Filing or Refiling of Answer</t>
  </si>
  <si>
    <t>Counsel Assisted in Filing or Refiling of Answer, Filed/Argued/Supplemented Dispositive or other Substantive Motion, Filed for an Emergency Order to Show Cause</t>
  </si>
  <si>
    <t>Commenced Trial, Filed/Argued/Supplemented Dispositive or other Substantive Motion, Filed for an Emergency Order to Show Cause</t>
  </si>
  <si>
    <t>Case Discontinued/Dismissed/Landlord Fails to Prosecute</t>
  </si>
  <si>
    <t>Case Discontinued/Dismissed/Landlord Fails to Prosecute, Case Resolved without Judgment of Eviction Against Client</t>
  </si>
  <si>
    <t>Secured 6 Months or Longer in Residence</t>
  </si>
  <si>
    <t>Obtain Ongoing Rent Subsidy</t>
  </si>
  <si>
    <t>Case Discontinued/Dismissed/Landlord Fails to Prosecute, Obtained Renewal of Lease</t>
  </si>
  <si>
    <t>Case Resolved without Judgment of Eviction Against Client, Obtained Negotiated Buyout</t>
  </si>
  <si>
    <t>Case Resolved without Judgment of Eviction Against Client</t>
  </si>
  <si>
    <t>Case Discontinued/Dismissed/Landlord Fails to Prosecute, Obtain Ongoing Rent Subsidy</t>
  </si>
  <si>
    <t>Other, Secured 6 Months or Longer in Residence</t>
  </si>
  <si>
    <t>Restored Access to Personal Property, Secured Order or Agreement for Repairs in Apartment/Building, Secured Rent Abatement, Secured Rent Reduction</t>
  </si>
  <si>
    <t>Client Allowed to Remain in Residence</t>
  </si>
  <si>
    <t>Client Required to be Displaced from Residence</t>
  </si>
  <si>
    <t>Attorney Withdrew</t>
  </si>
  <si>
    <t>2018-09-05</t>
  </si>
  <si>
    <t>2019-01-11</t>
  </si>
  <si>
    <t>2018-08-23</t>
  </si>
  <si>
    <t>2019-05-29</t>
  </si>
  <si>
    <t>2019-06-18</t>
  </si>
  <si>
    <t>2019-04-09</t>
  </si>
  <si>
    <t>2019-01-23</t>
  </si>
  <si>
    <t>2019-01-31</t>
  </si>
  <si>
    <t>2018-07-30</t>
  </si>
  <si>
    <t>2018-05-04</t>
  </si>
  <si>
    <t>2019-01-24</t>
  </si>
  <si>
    <t>2019-05-15</t>
  </si>
  <si>
    <t>2019-01-09</t>
  </si>
  <si>
    <t>2019-06-19</t>
  </si>
  <si>
    <t>2018-10-02</t>
  </si>
  <si>
    <t>2018-12-11</t>
  </si>
  <si>
    <t>2018-10-26</t>
  </si>
  <si>
    <t>2018-08-22</t>
  </si>
  <si>
    <t>2018-11-09</t>
  </si>
  <si>
    <t>2018-08-14</t>
  </si>
  <si>
    <t>2019-04-05</t>
  </si>
  <si>
    <t>2019-06-14</t>
  </si>
  <si>
    <t>2018-08-30</t>
  </si>
  <si>
    <t>2019-07-01</t>
  </si>
  <si>
    <t>2018-11-08</t>
  </si>
  <si>
    <t>2018-11-13</t>
  </si>
  <si>
    <t>2019-04-04</t>
  </si>
  <si>
    <t>2019-10-20</t>
  </si>
  <si>
    <t>2019-03-11</t>
  </si>
  <si>
    <t>2019-04-30</t>
  </si>
  <si>
    <t>2019-01-10</t>
  </si>
  <si>
    <t>2019-02-25</t>
  </si>
  <si>
    <t>2019-04-17</t>
  </si>
  <si>
    <t>2019-06-28</t>
  </si>
  <si>
    <t>01/16/2019</t>
  </si>
  <si>
    <t>07/11/2019</t>
  </si>
  <si>
    <t>05/08/2019</t>
  </si>
  <si>
    <t>10/03/2017</t>
  </si>
  <si>
    <t>04/23/2018</t>
  </si>
  <si>
    <t>07/15/2019</t>
  </si>
  <si>
    <t>05/10/2019</t>
  </si>
  <si>
    <t>05/20/2019</t>
  </si>
  <si>
    <t>07/14/2019</t>
  </si>
  <si>
    <t>03/20/2019</t>
  </si>
  <si>
    <t>06/03/2019</t>
  </si>
  <si>
    <t>11/14/2018</t>
  </si>
  <si>
    <t>Baez, Jeaneshia</t>
  </si>
  <si>
    <t>Garcia, Keiannis</t>
  </si>
  <si>
    <t>Ortega, Luis</t>
  </si>
  <si>
    <t>Bernardez, Florencita</t>
  </si>
  <si>
    <t>Castillo, Angel</t>
  </si>
  <si>
    <t>Prado, Steven</t>
  </si>
  <si>
    <t>Santana, Bridgette</t>
  </si>
  <si>
    <t>Velasquez, Diana</t>
  </si>
  <si>
    <t>Escobar, Sarah</t>
  </si>
  <si>
    <t>Martinez, Renee</t>
  </si>
  <si>
    <t>Vergeli, Evelyn</t>
  </si>
  <si>
    <t>Guzman Velazquez, Leida</t>
  </si>
  <si>
    <t>Acevedo, Tiffany</t>
  </si>
  <si>
    <t>Medina, Marta</t>
  </si>
  <si>
    <t>Baptiste, Sharon</t>
  </si>
  <si>
    <t>Torres, Elizabeth</t>
  </si>
  <si>
    <t>Hoffman, Julienne</t>
  </si>
  <si>
    <t>Pierre, Haenley</t>
  </si>
  <si>
    <t>Cisneros, Marisol</t>
  </si>
  <si>
    <t>St. Louis, Bianca</t>
  </si>
  <si>
    <t>Santiago, Denya</t>
  </si>
  <si>
    <t>Nadeau-Rifkind, Al</t>
  </si>
  <si>
    <t>Frias De Sosa, Yajaira</t>
  </si>
  <si>
    <t>Kassiano, Andrea</t>
  </si>
  <si>
    <t>Benitez, Vicenta</t>
  </si>
  <si>
    <t>Yeasmin, Sarzah</t>
  </si>
  <si>
    <t>Wong, Angela</t>
  </si>
  <si>
    <t>Morales-Robinson, Ana</t>
  </si>
  <si>
    <t>Lane, Diane</t>
  </si>
  <si>
    <t>Neilson, Kathryn</t>
  </si>
  <si>
    <t>Baldova, Maria</t>
  </si>
  <si>
    <t>Sampert, Monica</t>
  </si>
  <si>
    <t>Rodriguez, Ana</t>
  </si>
  <si>
    <t>Wilson-Wieland, Cherille</t>
  </si>
  <si>
    <t>Garcia, Alexandra</t>
  </si>
  <si>
    <t>Guadalupe, Marilyn</t>
  </si>
  <si>
    <t>McDonald, Susan</t>
  </si>
  <si>
    <t>Pujols, Isabel</t>
  </si>
  <si>
    <t>Hernandez, Marisol</t>
  </si>
  <si>
    <t>Ricart, Janet</t>
  </si>
  <si>
    <t>Mendez-Acosta, Maria</t>
  </si>
  <si>
    <t>Bateman, Steven</t>
  </si>
  <si>
    <t>Djourab, Atteib</t>
  </si>
  <si>
    <t>Amponsah, Oheneba</t>
  </si>
  <si>
    <t>MacRae, John</t>
  </si>
  <si>
    <t>Shang, Andrea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</si>
  <si>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</si>
  <si>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</si>
  <si>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</si>
  <si>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</si>
  <si>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</si>
  <si>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</si>
  <si>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</si>
  <si>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</si>
  <si>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</si>
  <si>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</si>
  <si>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</si>
  <si>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</si>
  <si>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</si>
  <si>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</si>
  <si>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</si>
  <si>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</si>
  <si>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</si>
  <si>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</si>
  <si>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</si>
  <si>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</si>
  <si>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</si>
  <si>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</si>
  <si>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</si>
  <si>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</si>
  <si>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</si>
  <si>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</si>
  <si>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</si>
  <si>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</si>
  <si>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</si>
  <si>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</si>
  <si>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</si>
  <si>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</si>
  <si>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</si>
  <si>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</si>
  <si>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</si>
  <si>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</si>
  <si>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</si>
  <si>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</si>
  <si>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</si>
  <si>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</si>
  <si>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</si>
  <si>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</si>
  <si>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</si>
  <si>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</si>
  <si>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</si>
  <si>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</si>
  <si>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</si>
  <si>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</si>
  <si>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</si>
  <si>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</si>
  <si>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Gardner III, George</t>
  </si>
  <si>
    <t>McCune, Mary</t>
  </si>
  <si>
    <t>Breakstone, Chelsea</t>
  </si>
  <si>
    <t>Osei, Dionne</t>
  </si>
  <si>
    <t>Alvarez, Adriana</t>
  </si>
  <si>
    <t>Cattani, Brett</t>
  </si>
  <si>
    <t>Silliman, Stacey</t>
  </si>
  <si>
    <t>McDonald, John</t>
  </si>
  <si>
    <t>Wilkes, Nicole</t>
  </si>
  <si>
    <t>DeVolld, Angela</t>
  </si>
  <si>
    <t>Flores, Irene</t>
  </si>
  <si>
    <t>Goyzueta, Anna</t>
  </si>
  <si>
    <t>Torres, Jasmin</t>
  </si>
  <si>
    <t>Guillaume, Naura</t>
  </si>
  <si>
    <t>Haynes, Tralane</t>
  </si>
  <si>
    <t>Chew, Thomas</t>
  </si>
  <si>
    <t>Tan, Andrea</t>
  </si>
  <si>
    <t>Treadwell, Nathan</t>
  </si>
  <si>
    <t>Kelly, Dawn</t>
  </si>
  <si>
    <t>Barrow, Jennifer</t>
  </si>
  <si>
    <t>Black, Rosalind</t>
  </si>
  <si>
    <t>Horth, Aaron</t>
  </si>
  <si>
    <t>Massey, Randi</t>
  </si>
  <si>
    <t>Kalum, Nicole</t>
  </si>
  <si>
    <t>Abbas, Sayeda</t>
  </si>
  <si>
    <t>Shearer, Diane</t>
  </si>
  <si>
    <t>Yamasaki, Emily Woo</t>
  </si>
  <si>
    <t>Bromberg, Iris</t>
  </si>
  <si>
    <t>Nimis, Roland</t>
  </si>
  <si>
    <t>Guzman, Michael</t>
  </si>
  <si>
    <t>Cruz-Perez, Javier</t>
  </si>
  <si>
    <t>Scott, Samuel</t>
  </si>
  <si>
    <t>Edwards, Patrice</t>
  </si>
  <si>
    <t>Anunkor, Ifeoma</t>
  </si>
  <si>
    <t>Englard, Rubin</t>
  </si>
  <si>
    <t>Barreda, Catherine</t>
  </si>
  <si>
    <t>Frierson, Jerome</t>
  </si>
  <si>
    <t>Atkinson, Johnson</t>
  </si>
  <si>
    <t>Chan, Vincce</t>
  </si>
  <si>
    <t>Kook, Heejung</t>
  </si>
  <si>
    <t>Nachman, Fraidy</t>
  </si>
  <si>
    <t>Sharma, Sagar</t>
  </si>
  <si>
    <t>Hernandez, Karen</t>
  </si>
  <si>
    <t>Armentrout, Lynn</t>
  </si>
  <si>
    <t>Ascher, Ann</t>
  </si>
  <si>
    <t>Smith, Sara</t>
  </si>
  <si>
    <t>Mbame, Etondi</t>
  </si>
  <si>
    <t>Krishnaswamy, Pavita</t>
  </si>
  <si>
    <t>Solivan, Jackeline</t>
  </si>
  <si>
    <t>Ortiz, Andrew</t>
  </si>
  <si>
    <t>Lin, Evelyn</t>
  </si>
  <si>
    <t>Ginsberg, Irene</t>
  </si>
  <si>
    <t>Bash, Rachel</t>
  </si>
  <si>
    <t>Laureano, Luz</t>
  </si>
  <si>
    <t>Caban-Gandhi, Celina</t>
  </si>
  <si>
    <t>Atuegbu, Chidera</t>
  </si>
  <si>
    <t>Rhee, Bohee</t>
  </si>
  <si>
    <t>Figueroa, Vianca</t>
  </si>
  <si>
    <t>Mancias, Fernando</t>
  </si>
  <si>
    <t>Telson, Sarah</t>
  </si>
  <si>
    <t>Weaver, Cynthia</t>
  </si>
  <si>
    <t>Lee, Alicia</t>
  </si>
  <si>
    <t>Barney, Darryl</t>
  </si>
  <si>
    <t>Casey, Jonnelle</t>
  </si>
  <si>
    <t>Gennari, Regina</t>
  </si>
  <si>
    <t>Hardy, Le`Shera</t>
  </si>
  <si>
    <t>Echeverry, Jessica</t>
  </si>
  <si>
    <t>Geha, Nada</t>
  </si>
  <si>
    <t>Licharson, Tom</t>
  </si>
  <si>
    <t>Drumm, Kristen</t>
  </si>
  <si>
    <t>Lopez, Jessica</t>
  </si>
  <si>
    <t>Isaias, Bianca</t>
  </si>
  <si>
    <t>Carlier, Milton</t>
  </si>
  <si>
    <t>Miller, Thomas</t>
  </si>
  <si>
    <t>Mulles, Carlos</t>
  </si>
  <si>
    <t>Herrmann, Neil</t>
  </si>
  <si>
    <t>18-1881884</t>
  </si>
  <si>
    <t>19-1897972</t>
  </si>
  <si>
    <t>18-1885281</t>
  </si>
  <si>
    <t>19-1891654</t>
  </si>
  <si>
    <t>19-1896450</t>
  </si>
  <si>
    <t>19-1892533</t>
  </si>
  <si>
    <t>19-1896213</t>
  </si>
  <si>
    <t>19-1895823</t>
  </si>
  <si>
    <t>19-1895830</t>
  </si>
  <si>
    <t>19-1897868</t>
  </si>
  <si>
    <t>19-1892535</t>
  </si>
  <si>
    <t>19-1892536</t>
  </si>
  <si>
    <t>19-1893757</t>
  </si>
  <si>
    <t>19-1895932</t>
  </si>
  <si>
    <t>19-1886957</t>
  </si>
  <si>
    <t>19-1890813</t>
  </si>
  <si>
    <t>19-1902776</t>
  </si>
  <si>
    <t>19-1901492</t>
  </si>
  <si>
    <t>19-1903141</t>
  </si>
  <si>
    <t>19-1901444</t>
  </si>
  <si>
    <t>18-1875900</t>
  </si>
  <si>
    <t>19-1891139</t>
  </si>
  <si>
    <t>19-1901368</t>
  </si>
  <si>
    <t>19-1888008</t>
  </si>
  <si>
    <t>19-1902486</t>
  </si>
  <si>
    <t>19-1903972</t>
  </si>
  <si>
    <t>19-1901822</t>
  </si>
  <si>
    <t>19-1897335</t>
  </si>
  <si>
    <t>19-1903813</t>
  </si>
  <si>
    <t>19-1896441</t>
  </si>
  <si>
    <t>18-1880078</t>
  </si>
  <si>
    <t>19-1898780</t>
  </si>
  <si>
    <t>19-1901450</t>
  </si>
  <si>
    <t>19-1901677</t>
  </si>
  <si>
    <t>19-1896389</t>
  </si>
  <si>
    <t>19-1903821</t>
  </si>
  <si>
    <t>19-1903822</t>
  </si>
  <si>
    <t>19-1895447</t>
  </si>
  <si>
    <t>19-1895818</t>
  </si>
  <si>
    <t>19-1903826</t>
  </si>
  <si>
    <t>19-1901524</t>
  </si>
  <si>
    <t>19-1901526</t>
  </si>
  <si>
    <t>19-1901527</t>
  </si>
  <si>
    <t>19-1903818</t>
  </si>
  <si>
    <t>19-1899126</t>
  </si>
  <si>
    <t>18-1887677</t>
  </si>
  <si>
    <t>19-1901441</t>
  </si>
  <si>
    <t>19-1890790</t>
  </si>
  <si>
    <t>19-1890778</t>
  </si>
  <si>
    <t>19-1897575</t>
  </si>
  <si>
    <t>19-1892214</t>
  </si>
  <si>
    <t>18-1875460</t>
  </si>
  <si>
    <t>18-1879751</t>
  </si>
  <si>
    <t>19-1887669</t>
  </si>
  <si>
    <t>18-1875691</t>
  </si>
  <si>
    <t>18-1876504</t>
  </si>
  <si>
    <t>18-1860824</t>
  </si>
  <si>
    <t>18-1880157</t>
  </si>
  <si>
    <t>19-1897574</t>
  </si>
  <si>
    <t>18-1857511</t>
  </si>
  <si>
    <t>18-1877294</t>
  </si>
  <si>
    <t>18-1875578</t>
  </si>
  <si>
    <t>19-1888142</t>
  </si>
  <si>
    <t>18-1879892</t>
  </si>
  <si>
    <t>18-1875906</t>
  </si>
  <si>
    <t>18-1884361</t>
  </si>
  <si>
    <t>18-1872377</t>
  </si>
  <si>
    <t>18-1867902</t>
  </si>
  <si>
    <t>18-1879973</t>
  </si>
  <si>
    <t>19-1899551</t>
  </si>
  <si>
    <t>19-1900007</t>
  </si>
  <si>
    <t>19-1900001</t>
  </si>
  <si>
    <t>18-1868024</t>
  </si>
  <si>
    <t>18-1881860</t>
  </si>
  <si>
    <t>18-1884708</t>
  </si>
  <si>
    <t>19-1891637</t>
  </si>
  <si>
    <t>18-1872874</t>
  </si>
  <si>
    <t>16-0815813</t>
  </si>
  <si>
    <t>19-1903053</t>
  </si>
  <si>
    <t>19-1891469</t>
  </si>
  <si>
    <t>19-1890535</t>
  </si>
  <si>
    <t>19-1898091</t>
  </si>
  <si>
    <t>19-1899523</t>
  </si>
  <si>
    <t>18-1878956</t>
  </si>
  <si>
    <t>19-1890434</t>
  </si>
  <si>
    <t>18-1886416</t>
  </si>
  <si>
    <t>19-1891930</t>
  </si>
  <si>
    <t>19-1891925</t>
  </si>
  <si>
    <t>18-1871698</t>
  </si>
  <si>
    <t>18-1876567</t>
  </si>
  <si>
    <t>18-1876570</t>
  </si>
  <si>
    <t>18-1886012</t>
  </si>
  <si>
    <t>18-1876352</t>
  </si>
  <si>
    <t>18-1880627</t>
  </si>
  <si>
    <t>18-1885992</t>
  </si>
  <si>
    <t>18-1879017</t>
  </si>
  <si>
    <t>18-1876858</t>
  </si>
  <si>
    <t>19-1898379</t>
  </si>
  <si>
    <t>19-1892654</t>
  </si>
  <si>
    <t>19-1898376</t>
  </si>
  <si>
    <t>19-1889256</t>
  </si>
  <si>
    <t>19-1889010</t>
  </si>
  <si>
    <t>19-1887229</t>
  </si>
  <si>
    <t>19-1887242</t>
  </si>
  <si>
    <t>19-1896514</t>
  </si>
  <si>
    <t>18-1875019</t>
  </si>
  <si>
    <t>18-1872350</t>
  </si>
  <si>
    <t>18-1873521</t>
  </si>
  <si>
    <t>18-1881586</t>
  </si>
  <si>
    <t>18-1875479</t>
  </si>
  <si>
    <t>18-1868183</t>
  </si>
  <si>
    <t>18-1877045</t>
  </si>
  <si>
    <t>18-1867593</t>
  </si>
  <si>
    <t>19-1901828</t>
  </si>
  <si>
    <t>19-1900402</t>
  </si>
  <si>
    <t>19-1891912</t>
  </si>
  <si>
    <t>17-1851783</t>
  </si>
  <si>
    <t>19-1893448</t>
  </si>
  <si>
    <t>19-1891226</t>
  </si>
  <si>
    <t>19-1891502</t>
  </si>
  <si>
    <t>19-1891500</t>
  </si>
  <si>
    <t>19-1903247</t>
  </si>
  <si>
    <t>19-1892656</t>
  </si>
  <si>
    <t>19-1898027</t>
  </si>
  <si>
    <t>19-1898022</t>
  </si>
  <si>
    <t>18-1875736</t>
  </si>
  <si>
    <t>18-1872414</t>
  </si>
  <si>
    <t>18-1871560</t>
  </si>
  <si>
    <t>19-1895182</t>
  </si>
  <si>
    <t>18-1885387</t>
  </si>
  <si>
    <t>18-1879253</t>
  </si>
  <si>
    <t>18-1875680</t>
  </si>
  <si>
    <t>18-1864002</t>
  </si>
  <si>
    <t>19-1892591</t>
  </si>
  <si>
    <t>18-1880365</t>
  </si>
  <si>
    <t>19-1892183</t>
  </si>
  <si>
    <t>18-1875098</t>
  </si>
  <si>
    <t>19-1896451</t>
  </si>
  <si>
    <t>19-1891867</t>
  </si>
  <si>
    <t>19-1890561</t>
  </si>
  <si>
    <t>18-1880111</t>
  </si>
  <si>
    <t>19-1892621</t>
  </si>
  <si>
    <t>19-1892615</t>
  </si>
  <si>
    <t>18-1859333</t>
  </si>
  <si>
    <t>18-1885761</t>
  </si>
  <si>
    <t>19-1898952</t>
  </si>
  <si>
    <t>19-1891447</t>
  </si>
  <si>
    <t>19-1900793</t>
  </si>
  <si>
    <t>18-1875665</t>
  </si>
  <si>
    <t>18-1875670</t>
  </si>
  <si>
    <t>19-1897707</t>
  </si>
  <si>
    <t>19-1897635</t>
  </si>
  <si>
    <t>19-1898288</t>
  </si>
  <si>
    <t>19-1898102</t>
  </si>
  <si>
    <t>19-1899149</t>
  </si>
  <si>
    <t>19-1895472</t>
  </si>
  <si>
    <t>19-1890592</t>
  </si>
  <si>
    <t>19-1892876</t>
  </si>
  <si>
    <t>19-1890447</t>
  </si>
  <si>
    <t>19-1888512</t>
  </si>
  <si>
    <t>19-1891141</t>
  </si>
  <si>
    <t>19-1898991</t>
  </si>
  <si>
    <t>18-1881763</t>
  </si>
  <si>
    <t>19-1902040</t>
  </si>
  <si>
    <t>18-1876471</t>
  </si>
  <si>
    <t>19-1896914</t>
  </si>
  <si>
    <t>19-1900149</t>
  </si>
  <si>
    <t>19-1903935</t>
  </si>
  <si>
    <t>19-1903926</t>
  </si>
  <si>
    <t>19-1900018</t>
  </si>
  <si>
    <t>19-1894577</t>
  </si>
  <si>
    <t>18-1879248</t>
  </si>
  <si>
    <t>18-1879151</t>
  </si>
  <si>
    <t>18-1885352</t>
  </si>
  <si>
    <t>18-1886113</t>
  </si>
  <si>
    <t>19-1893680</t>
  </si>
  <si>
    <t>18-1874893</t>
  </si>
  <si>
    <t>19-1901220</t>
  </si>
  <si>
    <t>18-1881779</t>
  </si>
  <si>
    <t>18-1883435</t>
  </si>
  <si>
    <t>19-1892720</t>
  </si>
  <si>
    <t>19-1894498</t>
  </si>
  <si>
    <t>19-1894488</t>
  </si>
  <si>
    <t>19-1900478</t>
  </si>
  <si>
    <t>18-1877335</t>
  </si>
  <si>
    <t>19-1899056</t>
  </si>
  <si>
    <t>18-1883805</t>
  </si>
  <si>
    <t>18-1873245</t>
  </si>
  <si>
    <t>18-1873600</t>
  </si>
  <si>
    <t>18-1875383</t>
  </si>
  <si>
    <t>19-1893833</t>
  </si>
  <si>
    <t>19-1898528</t>
  </si>
  <si>
    <t>19-1895319</t>
  </si>
  <si>
    <t>19-1900658</t>
  </si>
  <si>
    <t>19-1898207</t>
  </si>
  <si>
    <t>18-1877223</t>
  </si>
  <si>
    <t>18-1885272</t>
  </si>
  <si>
    <t>18-1873364</t>
  </si>
  <si>
    <t>19-1887628</t>
  </si>
  <si>
    <t>18-1876998</t>
  </si>
  <si>
    <t>19-1897526</t>
  </si>
  <si>
    <t>19-1897522</t>
  </si>
  <si>
    <t>19-1897400</t>
  </si>
  <si>
    <t>19-1898979</t>
  </si>
  <si>
    <t>19-1901259</t>
  </si>
  <si>
    <t>19-1897399</t>
  </si>
  <si>
    <t>19-1898976</t>
  </si>
  <si>
    <t>19-1897366</t>
  </si>
  <si>
    <t>19-1900745</t>
  </si>
  <si>
    <t>19-1904240</t>
  </si>
  <si>
    <t>19-1895371</t>
  </si>
  <si>
    <t>19-1904227</t>
  </si>
  <si>
    <t>19-1898954</t>
  </si>
  <si>
    <t>18-1874834</t>
  </si>
  <si>
    <t>18-1884559</t>
  </si>
  <si>
    <t>18-1883160</t>
  </si>
  <si>
    <t>19-1887343</t>
  </si>
  <si>
    <t>18-1870630</t>
  </si>
  <si>
    <t>17-1834332</t>
  </si>
  <si>
    <t>19-1889002</t>
  </si>
  <si>
    <t>19-1889884</t>
  </si>
  <si>
    <t>17-1839710</t>
  </si>
  <si>
    <t>19-1895618</t>
  </si>
  <si>
    <t>18-1865917</t>
  </si>
  <si>
    <t>19-1889859</t>
  </si>
  <si>
    <t>18-1875358</t>
  </si>
  <si>
    <t>17-0831203</t>
  </si>
  <si>
    <t>19-1892392</t>
  </si>
  <si>
    <t>19-1890108</t>
  </si>
  <si>
    <t>19-1893591</t>
  </si>
  <si>
    <t>19-1892379</t>
  </si>
  <si>
    <t>19-1901322</t>
  </si>
  <si>
    <t>19-1901251</t>
  </si>
  <si>
    <t>19-1892453</t>
  </si>
  <si>
    <t>19-1894102</t>
  </si>
  <si>
    <t>19-1892162</t>
  </si>
  <si>
    <t>19-1894099</t>
  </si>
  <si>
    <t>19-1887611</t>
  </si>
  <si>
    <t>18-1885016</t>
  </si>
  <si>
    <t>18-1885019</t>
  </si>
  <si>
    <t>18-1876080</t>
  </si>
  <si>
    <t>19-1888002</t>
  </si>
  <si>
    <t>18-1873837</t>
  </si>
  <si>
    <t>18-1877136</t>
  </si>
  <si>
    <t>18-1886105</t>
  </si>
  <si>
    <t>19-1891677</t>
  </si>
  <si>
    <t>18-1876353</t>
  </si>
  <si>
    <t>18-1876634</t>
  </si>
  <si>
    <t>19-1887945</t>
  </si>
  <si>
    <t>18-1876272</t>
  </si>
  <si>
    <t>18-1878601</t>
  </si>
  <si>
    <t>18-1873125</t>
  </si>
  <si>
    <t>18-1878609</t>
  </si>
  <si>
    <t>18-1885655</t>
  </si>
  <si>
    <t>19-1899630</t>
  </si>
  <si>
    <t>18-1874324</t>
  </si>
  <si>
    <t>18-1883152</t>
  </si>
  <si>
    <t>18-1872240</t>
  </si>
  <si>
    <t>18-1857079</t>
  </si>
  <si>
    <t>18-1877590</t>
  </si>
  <si>
    <t>19-1892142</t>
  </si>
  <si>
    <t>18-1874321</t>
  </si>
  <si>
    <t>18-1877657</t>
  </si>
  <si>
    <t>18-1875413</t>
  </si>
  <si>
    <t>19-1887518</t>
  </si>
  <si>
    <t>18-1874178</t>
  </si>
  <si>
    <t>18-1865688</t>
  </si>
  <si>
    <t>19-1887511</t>
  </si>
  <si>
    <t>19-1887516</t>
  </si>
  <si>
    <t>18-1885876</t>
  </si>
  <si>
    <t>19-1897191</t>
  </si>
  <si>
    <t>18-1875257</t>
  </si>
  <si>
    <t>18-1878846</t>
  </si>
  <si>
    <t>18-1880467</t>
  </si>
  <si>
    <t>19-1902989</t>
  </si>
  <si>
    <t>19-1895306</t>
  </si>
  <si>
    <t>19-1898323</t>
  </si>
  <si>
    <t>19-1901285</t>
  </si>
  <si>
    <t>19-1901330</t>
  </si>
  <si>
    <t>19-1893485</t>
  </si>
  <si>
    <t>18-1883034</t>
  </si>
  <si>
    <t>18-1882922</t>
  </si>
  <si>
    <t>19-1894487</t>
  </si>
  <si>
    <t>19-1900023</t>
  </si>
  <si>
    <t>18-1876666</t>
  </si>
  <si>
    <t>18-1868150</t>
  </si>
  <si>
    <t>19-1899854</t>
  </si>
  <si>
    <t>18-1857538</t>
  </si>
  <si>
    <t>19-1891899</t>
  </si>
  <si>
    <t>19-1891891</t>
  </si>
  <si>
    <t>18-1886623</t>
  </si>
  <si>
    <t>18-1873190</t>
  </si>
  <si>
    <t>18-1876809</t>
  </si>
  <si>
    <t>18-1886106</t>
  </si>
  <si>
    <t>18-1862857</t>
  </si>
  <si>
    <t>18-1876807</t>
  </si>
  <si>
    <t>18-1870620</t>
  </si>
  <si>
    <t>18-1875686</t>
  </si>
  <si>
    <t>19-1889983</t>
  </si>
  <si>
    <t>19-1889981</t>
  </si>
  <si>
    <t>19-1897614</t>
  </si>
  <si>
    <t>19-1897609</t>
  </si>
  <si>
    <t>18-1876519</t>
  </si>
  <si>
    <t>18-1882830</t>
  </si>
  <si>
    <t>18-1880536</t>
  </si>
  <si>
    <t>18-1886038</t>
  </si>
  <si>
    <t>18-1882809</t>
  </si>
  <si>
    <t>17-0831895</t>
  </si>
  <si>
    <t>18-1870803</t>
  </si>
  <si>
    <t>18-1883006</t>
  </si>
  <si>
    <t>18-1885631</t>
  </si>
  <si>
    <t>19-1899657</t>
  </si>
  <si>
    <t>18-1873585</t>
  </si>
  <si>
    <t>18-1872526</t>
  </si>
  <si>
    <t>19-1894918</t>
  </si>
  <si>
    <t>18-1871490</t>
  </si>
  <si>
    <t>18-1871500</t>
  </si>
  <si>
    <t>19-1890995</t>
  </si>
  <si>
    <t>19-1897206</t>
  </si>
  <si>
    <t>19-1901446</t>
  </si>
  <si>
    <t>19-1897205</t>
  </si>
  <si>
    <t>18-1874347</t>
  </si>
  <si>
    <t>18-1886133</t>
  </si>
  <si>
    <t>19-1897535</t>
  </si>
  <si>
    <t>19-1898972</t>
  </si>
  <si>
    <t>19-1897406</t>
  </si>
  <si>
    <t>19-1897404</t>
  </si>
  <si>
    <t>19-1897534</t>
  </si>
  <si>
    <t>19-1898966</t>
  </si>
  <si>
    <t>19-1904256</t>
  </si>
  <si>
    <t>19-1895326</t>
  </si>
  <si>
    <t>18-1884623</t>
  </si>
  <si>
    <t>19-1891244</t>
  </si>
  <si>
    <t>19-1897349</t>
  </si>
  <si>
    <t>19-1897345</t>
  </si>
  <si>
    <t>19-1889324</t>
  </si>
  <si>
    <t>19-1901453</t>
  </si>
  <si>
    <t>18-1881890</t>
  </si>
  <si>
    <t>18-1872266</t>
  </si>
  <si>
    <t>19-1900296</t>
  </si>
  <si>
    <t>18-1873426</t>
  </si>
  <si>
    <t>18-1878069</t>
  </si>
  <si>
    <t>19-1903263</t>
  </si>
  <si>
    <t>19-1899122</t>
  </si>
  <si>
    <t>19-1896439</t>
  </si>
  <si>
    <t>18-1879014</t>
  </si>
  <si>
    <t>19-1893470</t>
  </si>
  <si>
    <t>19-1891583</t>
  </si>
  <si>
    <t>19-1891580</t>
  </si>
  <si>
    <t>19-1897696</t>
  </si>
  <si>
    <t>19-1889297</t>
  </si>
  <si>
    <t>18-1871282</t>
  </si>
  <si>
    <t>19-1894029</t>
  </si>
  <si>
    <t>19-1898244</t>
  </si>
  <si>
    <t>19-1902942</t>
  </si>
  <si>
    <t>19-1898243</t>
  </si>
  <si>
    <t>19-1898606</t>
  </si>
  <si>
    <t>18-1879056</t>
  </si>
  <si>
    <t>18-1879059</t>
  </si>
  <si>
    <t>18-1879060</t>
  </si>
  <si>
    <t>19-1901027</t>
  </si>
  <si>
    <t>18-1879176</t>
  </si>
  <si>
    <t>19-1901171</t>
  </si>
  <si>
    <t>18-1872236</t>
  </si>
  <si>
    <t>18-1883016</t>
  </si>
  <si>
    <t>19-1886811</t>
  </si>
  <si>
    <t>18-1884394</t>
  </si>
  <si>
    <t>18-1883427</t>
  </si>
  <si>
    <t>19-1894926</t>
  </si>
  <si>
    <t>18-1879724</t>
  </si>
  <si>
    <t>19-1900083</t>
  </si>
  <si>
    <t>19-1902109</t>
  </si>
  <si>
    <t>19-1891284</t>
  </si>
  <si>
    <t>18-1862663</t>
  </si>
  <si>
    <t>19-1904067</t>
  </si>
  <si>
    <t>18-1884268</t>
  </si>
  <si>
    <t>18-1870821</t>
  </si>
  <si>
    <t>19-1895969</t>
  </si>
  <si>
    <t>19-1892522</t>
  </si>
  <si>
    <t>19-1893454</t>
  </si>
  <si>
    <t>19-1892521</t>
  </si>
  <si>
    <t>19-1899902</t>
  </si>
  <si>
    <t>19-1896972</t>
  </si>
  <si>
    <t>19-1892076</t>
  </si>
  <si>
    <t>19-1892770</t>
  </si>
  <si>
    <t>19-1892069</t>
  </si>
  <si>
    <t>19-1892764</t>
  </si>
  <si>
    <t>19-1891566</t>
  </si>
  <si>
    <t>19-1891565</t>
  </si>
  <si>
    <t>19-1887685</t>
  </si>
  <si>
    <t>19-1887679</t>
  </si>
  <si>
    <t>19-1887682</t>
  </si>
  <si>
    <t>18-1883361</t>
  </si>
  <si>
    <t>18-1882535</t>
  </si>
  <si>
    <t>19-1898058</t>
  </si>
  <si>
    <t>19-1898842</t>
  </si>
  <si>
    <t>19-1898838</t>
  </si>
  <si>
    <t>19-1892762</t>
  </si>
  <si>
    <t>19-1892761</t>
  </si>
  <si>
    <t>19-1892410</t>
  </si>
  <si>
    <t>19-1892006</t>
  </si>
  <si>
    <t>19-1893859</t>
  </si>
  <si>
    <t>19-1889957</t>
  </si>
  <si>
    <t>19-1889951</t>
  </si>
  <si>
    <t>19-1897806</t>
  </si>
  <si>
    <t>18-1881836</t>
  </si>
  <si>
    <t>18-1881599</t>
  </si>
  <si>
    <t>18-1874152</t>
  </si>
  <si>
    <t>18-1885755</t>
  </si>
  <si>
    <t>19-1890018</t>
  </si>
  <si>
    <t>18-1875586</t>
  </si>
  <si>
    <t>19-1895639</t>
  </si>
  <si>
    <t>19-1890734</t>
  </si>
  <si>
    <t>19-1900060</t>
  </si>
  <si>
    <t>19-1887964</t>
  </si>
  <si>
    <t>18-1872492</t>
  </si>
  <si>
    <t>18-1880411</t>
  </si>
  <si>
    <t>18-1863740</t>
  </si>
  <si>
    <t>18-1879561</t>
  </si>
  <si>
    <t>19-1901228</t>
  </si>
  <si>
    <t>18-1882971</t>
  </si>
  <si>
    <t>18-1874301</t>
  </si>
  <si>
    <t>19-1888294</t>
  </si>
  <si>
    <t>17-1839971</t>
  </si>
  <si>
    <t>19-1888648</t>
  </si>
  <si>
    <t>19-1899738</t>
  </si>
  <si>
    <t>19-1889916</t>
  </si>
  <si>
    <t>19-1889911</t>
  </si>
  <si>
    <t>19-1891413</t>
  </si>
  <si>
    <t>19-1891412</t>
  </si>
  <si>
    <t>19-1894526</t>
  </si>
  <si>
    <t>18-1879105</t>
  </si>
  <si>
    <t>18-1881029</t>
  </si>
  <si>
    <t>18-1877649</t>
  </si>
  <si>
    <t>19-1898406</t>
  </si>
  <si>
    <t>19-1898404</t>
  </si>
  <si>
    <t>18-1884494</t>
  </si>
  <si>
    <t>18-1882266</t>
  </si>
  <si>
    <t>19-1896465</t>
  </si>
  <si>
    <t>19-1896466</t>
  </si>
  <si>
    <t>18-1886008</t>
  </si>
  <si>
    <t>19-1891560</t>
  </si>
  <si>
    <t>19-1891559</t>
  </si>
  <si>
    <t>19-1887111</t>
  </si>
  <si>
    <t>18-1886680</t>
  </si>
  <si>
    <t>18-1881523</t>
  </si>
  <si>
    <t>18-1886103</t>
  </si>
  <si>
    <t>18-1877633</t>
  </si>
  <si>
    <t>18-1881614</t>
  </si>
  <si>
    <t>19-1901231</t>
  </si>
  <si>
    <t>18-1882194</t>
  </si>
  <si>
    <t>18-1873579</t>
  </si>
  <si>
    <t>18-1873149</t>
  </si>
  <si>
    <t>19-1899820</t>
  </si>
  <si>
    <t>18-1884464</t>
  </si>
  <si>
    <t>19-1889991</t>
  </si>
  <si>
    <t>19-1889986</t>
  </si>
  <si>
    <t>19-1888915</t>
  </si>
  <si>
    <t>19-1887551</t>
  </si>
  <si>
    <t>19-1887447</t>
  </si>
  <si>
    <t>18-1875658</t>
  </si>
  <si>
    <t>18-1875655</t>
  </si>
  <si>
    <t>18-1886234</t>
  </si>
  <si>
    <t>18-1873314</t>
  </si>
  <si>
    <t>19-1893524</t>
  </si>
  <si>
    <t>19-1892648</t>
  </si>
  <si>
    <t>19-1896309</t>
  </si>
  <si>
    <t>19-1896320</t>
  </si>
  <si>
    <t>19-1898851</t>
  </si>
  <si>
    <t>19-1898259</t>
  </si>
  <si>
    <t>19-1898848</t>
  </si>
  <si>
    <t>18-1881317</t>
  </si>
  <si>
    <t>19-1897721</t>
  </si>
  <si>
    <t>18-1880130</t>
  </si>
  <si>
    <t>18-1880432</t>
  </si>
  <si>
    <t>18-1879525</t>
  </si>
  <si>
    <t>18-1879530</t>
  </si>
  <si>
    <t>19-1892523</t>
  </si>
  <si>
    <t>19-1902536</t>
  </si>
  <si>
    <t>19-1893132</t>
  </si>
  <si>
    <t>19-1891444</t>
  </si>
  <si>
    <t>19-1891556</t>
  </si>
  <si>
    <t>19-1892643</t>
  </si>
  <si>
    <t>19-1897393</t>
  </si>
  <si>
    <t>19-1891037</t>
  </si>
  <si>
    <t>19-1891802</t>
  </si>
  <si>
    <t>19-1897392</t>
  </si>
  <si>
    <t>19-1892641</t>
  </si>
  <si>
    <t>19-1891367</t>
  </si>
  <si>
    <t>19-1892931</t>
  </si>
  <si>
    <t>19-1901431</t>
  </si>
  <si>
    <t>19-1892587</t>
  </si>
  <si>
    <t>19-1895540</t>
  </si>
  <si>
    <t>19-1890455</t>
  </si>
  <si>
    <t>18-1879132</t>
  </si>
  <si>
    <t>19-1892879</t>
  </si>
  <si>
    <t>18-1878377</t>
  </si>
  <si>
    <t>18-1885636</t>
  </si>
  <si>
    <t>18-1877920</t>
  </si>
  <si>
    <t>19-1891031</t>
  </si>
  <si>
    <t>19-1898336</t>
  </si>
  <si>
    <t>19-1898334</t>
  </si>
  <si>
    <t>19-1891600</t>
  </si>
  <si>
    <t>19-1903494</t>
  </si>
  <si>
    <t>19-1890584</t>
  </si>
  <si>
    <t>18-1885693</t>
  </si>
  <si>
    <t>19-1897759</t>
  </si>
  <si>
    <t>18-1886571</t>
  </si>
  <si>
    <t>18-1882754</t>
  </si>
  <si>
    <t>18-1882738</t>
  </si>
  <si>
    <t>19-1900719</t>
  </si>
  <si>
    <t>18-1874136</t>
  </si>
  <si>
    <t>17-1833138</t>
  </si>
  <si>
    <t>18-1885256</t>
  </si>
  <si>
    <t>19-1887499</t>
  </si>
  <si>
    <t>18-1877835</t>
  </si>
  <si>
    <t>19-1902152</t>
  </si>
  <si>
    <t>19-1902056</t>
  </si>
  <si>
    <t>19-1896710</t>
  </si>
  <si>
    <t>19-1889904</t>
  </si>
  <si>
    <t>19-1889883</t>
  </si>
  <si>
    <t>19-1887582</t>
  </si>
  <si>
    <t>18-1886109</t>
  </si>
  <si>
    <t>19-1887578</t>
  </si>
  <si>
    <t>19-1891869</t>
  </si>
  <si>
    <t>19-1890567</t>
  </si>
  <si>
    <t>19-1901214</t>
  </si>
  <si>
    <t>19-1902327</t>
  </si>
  <si>
    <t>19-1889342</t>
  </si>
  <si>
    <t>19-1888758</t>
  </si>
  <si>
    <t>19-1893003</t>
  </si>
  <si>
    <t>19-1901175</t>
  </si>
  <si>
    <t>18-1876511</t>
  </si>
  <si>
    <t>19-1897828</t>
  </si>
  <si>
    <t>18-1881561</t>
  </si>
  <si>
    <t>19-1901437</t>
  </si>
  <si>
    <t>19-1891710</t>
  </si>
  <si>
    <t>19-1895374</t>
  </si>
  <si>
    <t>19-1889772</t>
  </si>
  <si>
    <t>18-1878114</t>
  </si>
  <si>
    <t>19-1901021</t>
  </si>
  <si>
    <t>19-1896342</t>
  </si>
  <si>
    <t>19-1896347</t>
  </si>
  <si>
    <t>19-1899910</t>
  </si>
  <si>
    <t>18-1884532</t>
  </si>
  <si>
    <t>18-1885359</t>
  </si>
  <si>
    <t>17-1847006</t>
  </si>
  <si>
    <t>19-1892854</t>
  </si>
  <si>
    <t>19-1892850</t>
  </si>
  <si>
    <t>18-1873081</t>
  </si>
  <si>
    <t>19-1887160</t>
  </si>
  <si>
    <t>18-1877707</t>
  </si>
  <si>
    <t>18-1886163</t>
  </si>
  <si>
    <t>18-1885014</t>
  </si>
  <si>
    <t>19-1886867</t>
  </si>
  <si>
    <t>19-1889283</t>
  </si>
  <si>
    <t>18-1875504</t>
  </si>
  <si>
    <t>18-1886662</t>
  </si>
  <si>
    <t>19-1893325</t>
  </si>
  <si>
    <t>19-1893317</t>
  </si>
  <si>
    <t>19-1893328</t>
  </si>
  <si>
    <t>19-1895942</t>
  </si>
  <si>
    <t>19-1899894</t>
  </si>
  <si>
    <t>19-1899804</t>
  </si>
  <si>
    <t>19-1895343</t>
  </si>
  <si>
    <t>19-1896395</t>
  </si>
  <si>
    <t>19-1898847</t>
  </si>
  <si>
    <t>19-1898953</t>
  </si>
  <si>
    <t>19-1898845</t>
  </si>
  <si>
    <t>19-1898951</t>
  </si>
  <si>
    <t>19-1897234</t>
  </si>
  <si>
    <t>18-1881231</t>
  </si>
  <si>
    <t>19-1890850</t>
  </si>
  <si>
    <t>18-1868754</t>
  </si>
  <si>
    <t>19-1900725</t>
  </si>
  <si>
    <t>19-1893779</t>
  </si>
  <si>
    <t>19-1890842</t>
  </si>
  <si>
    <t>19-1900977</t>
  </si>
  <si>
    <t>19-1898983</t>
  </si>
  <si>
    <t>19-1898982</t>
  </si>
  <si>
    <t>18-1885190</t>
  </si>
  <si>
    <t>18-1886683</t>
  </si>
  <si>
    <t>18-1881352</t>
  </si>
  <si>
    <t>18-1885380</t>
  </si>
  <si>
    <t>18-1875766</t>
  </si>
  <si>
    <t>18-1885558</t>
  </si>
  <si>
    <t>19-1893980</t>
  </si>
  <si>
    <t>19-1892094</t>
  </si>
  <si>
    <t>18-1877027</t>
  </si>
  <si>
    <t>19-1891599</t>
  </si>
  <si>
    <t>19-1891594</t>
  </si>
  <si>
    <t>18-1876516</t>
  </si>
  <si>
    <t>18-1885373</t>
  </si>
  <si>
    <t>18-1879164</t>
  </si>
  <si>
    <t>18-1885423</t>
  </si>
  <si>
    <t>18-1886100</t>
  </si>
  <si>
    <t>19-1897601</t>
  </si>
  <si>
    <t>19-1900714</t>
  </si>
  <si>
    <t>19-1889380</t>
  </si>
  <si>
    <t>19-1889386</t>
  </si>
  <si>
    <t>19-1892382</t>
  </si>
  <si>
    <t>19-1891962</t>
  </si>
  <si>
    <t>18-1876621</t>
  </si>
  <si>
    <t>18-1876630</t>
  </si>
  <si>
    <t>19-1897410</t>
  </si>
  <si>
    <t>19-1897408</t>
  </si>
  <si>
    <t>19-1894530</t>
  </si>
  <si>
    <t>19-1888668</t>
  </si>
  <si>
    <t>19-1898503</t>
  </si>
  <si>
    <t>18-1876812</t>
  </si>
  <si>
    <t>18-1876814</t>
  </si>
  <si>
    <t>18-1879360</t>
  </si>
  <si>
    <t>19-1890966</t>
  </si>
  <si>
    <t>19-1890972</t>
  </si>
  <si>
    <t>19-1890970</t>
  </si>
  <si>
    <t>18-1874683</t>
  </si>
  <si>
    <t>19-1891145</t>
  </si>
  <si>
    <t>18-1882696</t>
  </si>
  <si>
    <t>18-1875757</t>
  </si>
  <si>
    <t>18-1882693</t>
  </si>
  <si>
    <t>19-1891564</t>
  </si>
  <si>
    <t>19-1891563</t>
  </si>
  <si>
    <t>19-1900676</t>
  </si>
  <si>
    <t>19-1891457</t>
  </si>
  <si>
    <t>19-1904268</t>
  </si>
  <si>
    <t>19-1895330</t>
  </si>
  <si>
    <t>19-1891193</t>
  </si>
  <si>
    <t>19-1891616</t>
  </si>
  <si>
    <t>19-1891944</t>
  </si>
  <si>
    <t>19-1897341</t>
  </si>
  <si>
    <t>19-1890628</t>
  </si>
  <si>
    <t>19-1891940</t>
  </si>
  <si>
    <t>19-1897337</t>
  </si>
  <si>
    <t>19-1888587</t>
  </si>
  <si>
    <t>18-1871571</t>
  </si>
  <si>
    <t>18-1880592</t>
  </si>
  <si>
    <t>19-1900428</t>
  </si>
  <si>
    <t>18-1871869</t>
  </si>
  <si>
    <t>19-1899097</t>
  </si>
  <si>
    <t>19-1895821</t>
  </si>
  <si>
    <t>19-1898333</t>
  </si>
  <si>
    <t>19-1898331</t>
  </si>
  <si>
    <t>19-1898370</t>
  </si>
  <si>
    <t>19-1898368</t>
  </si>
  <si>
    <t>18-1880271</t>
  </si>
  <si>
    <t>19-1888317</t>
  </si>
  <si>
    <t>18-1878669</t>
  </si>
  <si>
    <t>18-1878674</t>
  </si>
  <si>
    <t>18-1876938</t>
  </si>
  <si>
    <t>18-1885572</t>
  </si>
  <si>
    <t>18-1871285</t>
  </si>
  <si>
    <t>18-1876326</t>
  </si>
  <si>
    <t>19-1901179</t>
  </si>
  <si>
    <t>19-1904260</t>
  </si>
  <si>
    <t>19-1895344</t>
  </si>
  <si>
    <t>19-1897606</t>
  </si>
  <si>
    <t>19-1897605</t>
  </si>
  <si>
    <t>19-1892569</t>
  </si>
  <si>
    <t>19-1896017</t>
  </si>
  <si>
    <t>19-1899062</t>
  </si>
  <si>
    <t>19-1903287</t>
  </si>
  <si>
    <t>19-1891151</t>
  </si>
  <si>
    <t>19-1899106</t>
  </si>
  <si>
    <t>19-1900549</t>
  </si>
  <si>
    <t>18-1868401</t>
  </si>
  <si>
    <t>19-1897390</t>
  </si>
  <si>
    <t>19-1900727</t>
  </si>
  <si>
    <t>19-1891544</t>
  </si>
  <si>
    <t>19-1891541</t>
  </si>
  <si>
    <t>19-1897064</t>
  </si>
  <si>
    <t>19-1897069</t>
  </si>
  <si>
    <t>19-1892865</t>
  </si>
  <si>
    <t>19-1892863</t>
  </si>
  <si>
    <t>18-1878946</t>
  </si>
  <si>
    <t>18-1878950</t>
  </si>
  <si>
    <t>18-1878953</t>
  </si>
  <si>
    <t>18-1880625</t>
  </si>
  <si>
    <t>18-1885720</t>
  </si>
  <si>
    <t>18-1875115</t>
  </si>
  <si>
    <t>18-1883414</t>
  </si>
  <si>
    <t>19-1892433</t>
  </si>
  <si>
    <t>19-1892158</t>
  </si>
  <si>
    <t>18-1877573</t>
  </si>
  <si>
    <t>18-1876342</t>
  </si>
  <si>
    <t>19-1892517</t>
  </si>
  <si>
    <t>19-1897686</t>
  </si>
  <si>
    <t>19-1891044</t>
  </si>
  <si>
    <t>19-1891589</t>
  </si>
  <si>
    <t>19-1891586</t>
  </si>
  <si>
    <t>18-1881067</t>
  </si>
  <si>
    <t>18-1885229</t>
  </si>
  <si>
    <t>19-1900516</t>
  </si>
  <si>
    <t>19-1895980</t>
  </si>
  <si>
    <t>19-1889601</t>
  </si>
  <si>
    <t>18-1879974</t>
  </si>
  <si>
    <t>18-1867935</t>
  </si>
  <si>
    <t>19-1890526</t>
  </si>
  <si>
    <t>18-1878057</t>
  </si>
  <si>
    <t>18-1878058</t>
  </si>
  <si>
    <t>18-1881824</t>
  </si>
  <si>
    <t>19-1887883</t>
  </si>
  <si>
    <t>19-1892828</t>
  </si>
  <si>
    <t>19-1891485</t>
  </si>
  <si>
    <t>19-1890550</t>
  </si>
  <si>
    <t>18-1882158</t>
  </si>
  <si>
    <t>19-1891597</t>
  </si>
  <si>
    <t>19-1890581</t>
  </si>
  <si>
    <t>19-1891590</t>
  </si>
  <si>
    <t>19-1899127</t>
  </si>
  <si>
    <t>19-1890575</t>
  </si>
  <si>
    <t>19-1891610</t>
  </si>
  <si>
    <t>19-1890587</t>
  </si>
  <si>
    <t>19-1890994</t>
  </si>
  <si>
    <t>19-1889260</t>
  </si>
  <si>
    <t>19-1889094</t>
  </si>
  <si>
    <t>19-1892403</t>
  </si>
  <si>
    <t>19-1891975</t>
  </si>
  <si>
    <t>19-1887590</t>
  </si>
  <si>
    <t>18-1876925</t>
  </si>
  <si>
    <t>19-1887586</t>
  </si>
  <si>
    <t>18-1876927</t>
  </si>
  <si>
    <t>18-1881553</t>
  </si>
  <si>
    <t>19-1893262</t>
  </si>
  <si>
    <t>19-1893258</t>
  </si>
  <si>
    <t>19-1901226</t>
  </si>
  <si>
    <t>18-1885317</t>
  </si>
  <si>
    <t>19-1889794</t>
  </si>
  <si>
    <t>18-1880097</t>
  </si>
  <si>
    <t>19-1893215</t>
  </si>
  <si>
    <t>18-1871454</t>
  </si>
  <si>
    <t>19-1901091</t>
  </si>
  <si>
    <t>19-1899643</t>
  </si>
  <si>
    <t>18-1874267</t>
  </si>
  <si>
    <t>19-1891920</t>
  </si>
  <si>
    <t>19-1891914</t>
  </si>
  <si>
    <t>18-1874350</t>
  </si>
  <si>
    <t>19-1892467</t>
  </si>
  <si>
    <t>18-1876211</t>
  </si>
  <si>
    <t>19-1894310</t>
  </si>
  <si>
    <t>19-1900045</t>
  </si>
  <si>
    <t>19-1903227</t>
  </si>
  <si>
    <t>19-1891554</t>
  </si>
  <si>
    <t>19-1889801</t>
  </si>
  <si>
    <t>19-1890005</t>
  </si>
  <si>
    <t>19-1889994</t>
  </si>
  <si>
    <t>19-1889605</t>
  </si>
  <si>
    <t>18-1882523</t>
  </si>
  <si>
    <t>18-1886506</t>
  </si>
  <si>
    <t>18-1876913</t>
  </si>
  <si>
    <t>18-1879657</t>
  </si>
  <si>
    <t>18-1879662</t>
  </si>
  <si>
    <t>18-1879665</t>
  </si>
  <si>
    <t>18-1879667</t>
  </si>
  <si>
    <t>18-1876914</t>
  </si>
  <si>
    <t>18-1879671</t>
  </si>
  <si>
    <t>18-1879674</t>
  </si>
  <si>
    <t>19-1894048</t>
  </si>
  <si>
    <t>19-1902191</t>
  </si>
  <si>
    <t>18-1877076</t>
  </si>
  <si>
    <t>19-1898399</t>
  </si>
  <si>
    <t>19-1898394</t>
  </si>
  <si>
    <t>18-1874809</t>
  </si>
  <si>
    <t>19-1896194</t>
  </si>
  <si>
    <t>19-1891861</t>
  </si>
  <si>
    <t>19-1890552</t>
  </si>
  <si>
    <t>19-1894051</t>
  </si>
  <si>
    <t>19-1894050</t>
  </si>
  <si>
    <t>18-1885657</t>
  </si>
  <si>
    <t>19-1898836</t>
  </si>
  <si>
    <t>19-1898826</t>
  </si>
  <si>
    <t>19-1896646</t>
  </si>
  <si>
    <t>19-1896648</t>
  </si>
  <si>
    <t>19-1896653</t>
  </si>
  <si>
    <t>19-1896656</t>
  </si>
  <si>
    <t>19-1900482</t>
  </si>
  <si>
    <t>19-1894525</t>
  </si>
  <si>
    <t>19-1894519</t>
  </si>
  <si>
    <t>18-1880520</t>
  </si>
  <si>
    <t>18-1878063</t>
  </si>
  <si>
    <t>18-1878068</t>
  </si>
  <si>
    <t>18-1886079</t>
  </si>
  <si>
    <t>19-1900143</t>
  </si>
  <si>
    <t>19-1898945</t>
  </si>
  <si>
    <t>19-1890836</t>
  </si>
  <si>
    <t>19-1895704</t>
  </si>
  <si>
    <t>19-1892920</t>
  </si>
  <si>
    <t>19-1896237</t>
  </si>
  <si>
    <t>18-1882725</t>
  </si>
  <si>
    <t>18-1882728</t>
  </si>
  <si>
    <t>19-1891795</t>
  </si>
  <si>
    <t>19-1892956</t>
  </si>
  <si>
    <t>18-1876577</t>
  </si>
  <si>
    <t>18-1876749</t>
  </si>
  <si>
    <t>18-1871396</t>
  </si>
  <si>
    <t>18-1876766</t>
  </si>
  <si>
    <t>18-1871390</t>
  </si>
  <si>
    <t>18-1874199</t>
  </si>
  <si>
    <t>19-1899152</t>
  </si>
  <si>
    <t>18-1876539</t>
  </si>
  <si>
    <t>19-1902983</t>
  </si>
  <si>
    <t>18-1876744</t>
  </si>
  <si>
    <t>18-1876746</t>
  </si>
  <si>
    <t>18-1876613</t>
  </si>
  <si>
    <t>18-1876618</t>
  </si>
  <si>
    <t>19-1889908</t>
  </si>
  <si>
    <t>19-1901465</t>
  </si>
  <si>
    <t>19-1889905</t>
  </si>
  <si>
    <t>18-1876602</t>
  </si>
  <si>
    <t>18-1876606</t>
  </si>
  <si>
    <t>18-1884053</t>
  </si>
  <si>
    <t>18-1883436</t>
  </si>
  <si>
    <t>19-1900472</t>
  </si>
  <si>
    <t>18-1878112</t>
  </si>
  <si>
    <t>18-1878115</t>
  </si>
  <si>
    <t>18-1876215</t>
  </si>
  <si>
    <t>19-1898855</t>
  </si>
  <si>
    <t>19-1901428</t>
  </si>
  <si>
    <t>19-1894881</t>
  </si>
  <si>
    <t>19-1893963</t>
  </si>
  <si>
    <t>19-1891988</t>
  </si>
  <si>
    <t>19-1891983</t>
  </si>
  <si>
    <t>18-1876837</t>
  </si>
  <si>
    <t>18-1876838</t>
  </si>
  <si>
    <t>18-1875224</t>
  </si>
  <si>
    <t>18-1876587</t>
  </si>
  <si>
    <t>19-1887688</t>
  </si>
  <si>
    <t>19-1887691</t>
  </si>
  <si>
    <t>18-1876591</t>
  </si>
  <si>
    <t>19-1890830</t>
  </si>
  <si>
    <t>18-1876806</t>
  </si>
  <si>
    <t>18-1876808</t>
  </si>
  <si>
    <t>19-1891992</t>
  </si>
  <si>
    <t>18-1871583</t>
  </si>
  <si>
    <t>19-1891629</t>
  </si>
  <si>
    <t>19-1894437</t>
  </si>
  <si>
    <t>18-1886348</t>
  </si>
  <si>
    <t>19-1887967</t>
  </si>
  <si>
    <t>19-1900598</t>
  </si>
  <si>
    <t>18-1878074</t>
  </si>
  <si>
    <t>18-1878081</t>
  </si>
  <si>
    <t>19-1890019</t>
  </si>
  <si>
    <t>19-1890015</t>
  </si>
  <si>
    <t>18-1856593</t>
  </si>
  <si>
    <t>19-1901474</t>
  </si>
  <si>
    <t>18-1877604</t>
  </si>
  <si>
    <t>18-1876344</t>
  </si>
  <si>
    <t>19-1891146</t>
  </si>
  <si>
    <t>17-1845585</t>
  </si>
  <si>
    <t>19-1899107</t>
  </si>
  <si>
    <t>19-1892363</t>
  </si>
  <si>
    <t>19-1892318</t>
  </si>
  <si>
    <t>19-1892896</t>
  </si>
  <si>
    <t>18-1880269</t>
  </si>
  <si>
    <t>18-1863061</t>
  </si>
  <si>
    <t>18-1876628</t>
  </si>
  <si>
    <t>18-1883398</t>
  </si>
  <si>
    <t>19-1891452</t>
  </si>
  <si>
    <t>19-1888421</t>
  </si>
  <si>
    <t>18-1886541</t>
  </si>
  <si>
    <t>19-1897050</t>
  </si>
  <si>
    <t>19-1891531</t>
  </si>
  <si>
    <t>19-1894909</t>
  </si>
  <si>
    <t>18-1881496</t>
  </si>
  <si>
    <t>18-1881503</t>
  </si>
  <si>
    <t>19-1895564</t>
  </si>
  <si>
    <t>19-1898269</t>
  </si>
  <si>
    <t>19-1898268</t>
  </si>
  <si>
    <t>19-1890497</t>
  </si>
  <si>
    <t>18-1874670</t>
  </si>
  <si>
    <t>18-1876918</t>
  </si>
  <si>
    <t>18-1879901</t>
  </si>
  <si>
    <t>19-1903289</t>
  </si>
  <si>
    <t>19-1889220</t>
  </si>
  <si>
    <t>18-1871582</t>
  </si>
  <si>
    <t>19-1891137</t>
  </si>
  <si>
    <t>19-1892946</t>
  </si>
  <si>
    <t>19-1901452</t>
  </si>
  <si>
    <t>18-1876541</t>
  </si>
  <si>
    <t>18-1883950</t>
  </si>
  <si>
    <t>18-1876799</t>
  </si>
  <si>
    <t>18-1876803</t>
  </si>
  <si>
    <t>18-1876828</t>
  </si>
  <si>
    <t>18-1876833</t>
  </si>
  <si>
    <t>19-1903635</t>
  </si>
  <si>
    <t>18-1871568</t>
  </si>
  <si>
    <t>18-1876793</t>
  </si>
  <si>
    <t>18-1876797</t>
  </si>
  <si>
    <t>18-1882803</t>
  </si>
  <si>
    <t>18-1879582</t>
  </si>
  <si>
    <t>19-1891458</t>
  </si>
  <si>
    <t>19-1889442</t>
  </si>
  <si>
    <t>19-1901164</t>
  </si>
  <si>
    <t>19-1901975</t>
  </si>
  <si>
    <t>18-1871586</t>
  </si>
  <si>
    <t>18-1876941</t>
  </si>
  <si>
    <t>18-1876947</t>
  </si>
  <si>
    <t>19-1901178</t>
  </si>
  <si>
    <t>18-1863360</t>
  </si>
  <si>
    <t>19-1891049</t>
  </si>
  <si>
    <t>18-1884554</t>
  </si>
  <si>
    <t>19-1900008</t>
  </si>
  <si>
    <t>19-1889415</t>
  </si>
  <si>
    <t>19-1889235</t>
  </si>
  <si>
    <t>19-1898263</t>
  </si>
  <si>
    <t>19-1892098</t>
  </si>
  <si>
    <t>19-1894378</t>
  </si>
  <si>
    <t>19-1892994</t>
  </si>
  <si>
    <t>19-1891818</t>
  </si>
  <si>
    <t>19-1887692</t>
  </si>
  <si>
    <t>18-1875591</t>
  </si>
  <si>
    <t>18-1876639</t>
  </si>
  <si>
    <t>18-1876299</t>
  </si>
  <si>
    <t>19-1895861</t>
  </si>
  <si>
    <t>18-1881948</t>
  </si>
  <si>
    <t>19-1900668</t>
  </si>
  <si>
    <t>19-1889305</t>
  </si>
  <si>
    <t>18-1885643</t>
  </si>
  <si>
    <t>18-1873866</t>
  </si>
  <si>
    <t>19-1887079</t>
  </si>
  <si>
    <t>18-1877054</t>
  </si>
  <si>
    <t>18-1875859</t>
  </si>
  <si>
    <t>19-1891366</t>
  </si>
  <si>
    <t>18-1869462</t>
  </si>
  <si>
    <t>18-1876969</t>
  </si>
  <si>
    <t>18-1881285</t>
  </si>
  <si>
    <t>19-1896031</t>
  </si>
  <si>
    <t>19-1893301</t>
  </si>
  <si>
    <t>18-1869477</t>
  </si>
  <si>
    <t>19-1894214</t>
  </si>
  <si>
    <t>19-1892386</t>
  </si>
  <si>
    <t>18-1873975</t>
  </si>
  <si>
    <t>19-1895910</t>
  </si>
  <si>
    <t>18-1885322</t>
  </si>
  <si>
    <t>19-1898191</t>
  </si>
  <si>
    <t>18-1876939</t>
  </si>
  <si>
    <t>19-1889974</t>
  </si>
  <si>
    <t>19-1901464</t>
  </si>
  <si>
    <t>19-1902917</t>
  </si>
  <si>
    <t>18-1873338</t>
  </si>
  <si>
    <t>18-1886470</t>
  </si>
  <si>
    <t>19-1897103</t>
  </si>
  <si>
    <t>18-1877660</t>
  </si>
  <si>
    <t>18-1883459</t>
  </si>
  <si>
    <t>19-1890692</t>
  </si>
  <si>
    <t>18-1880956</t>
  </si>
  <si>
    <t>19-1893912</t>
  </si>
  <si>
    <t>18-1864428</t>
  </si>
  <si>
    <t>18-1877489</t>
  </si>
  <si>
    <t>17-1841872</t>
  </si>
  <si>
    <t>18-1878318</t>
  </si>
  <si>
    <t>19-1898144</t>
  </si>
  <si>
    <t>18-1872486</t>
  </si>
  <si>
    <t>19-1894249</t>
  </si>
  <si>
    <t>18-1874724</t>
  </si>
  <si>
    <t>19-1900980</t>
  </si>
  <si>
    <t>18-1883603</t>
  </si>
  <si>
    <t>19-1891889</t>
  </si>
  <si>
    <t>19-1892542</t>
  </si>
  <si>
    <t>18-1878287</t>
  </si>
  <si>
    <t>18-1874185</t>
  </si>
  <si>
    <t>19-1903246</t>
  </si>
  <si>
    <t>19-1898356</t>
  </si>
  <si>
    <t>18-1871584</t>
  </si>
  <si>
    <t>19-1900415</t>
  </si>
  <si>
    <t>19-1890870</t>
  </si>
  <si>
    <t>19-1888436</t>
  </si>
  <si>
    <t>19-1895178</t>
  </si>
  <si>
    <t>19-1889349</t>
  </si>
  <si>
    <t>19-1894599</t>
  </si>
  <si>
    <t>19-1890025</t>
  </si>
  <si>
    <t>19-1893016</t>
  </si>
  <si>
    <t>19-1894024</t>
  </si>
  <si>
    <t>19-1901405</t>
  </si>
  <si>
    <t>18-1876566</t>
  </si>
  <si>
    <t>19-1896304</t>
  </si>
  <si>
    <t>19-1902355</t>
  </si>
  <si>
    <t>19-1898439</t>
  </si>
  <si>
    <t>18-1881577</t>
  </si>
  <si>
    <t>19-1889476</t>
  </si>
  <si>
    <t>18-1872628</t>
  </si>
  <si>
    <t>18-1881858</t>
  </si>
  <si>
    <t>18-1883452</t>
  </si>
  <si>
    <t>19-1888545</t>
  </si>
  <si>
    <t>18-1877580</t>
  </si>
  <si>
    <t>18-1871522</t>
  </si>
  <si>
    <t>19-1893787</t>
  </si>
  <si>
    <t>19-1894699</t>
  </si>
  <si>
    <t>19-1897809</t>
  </si>
  <si>
    <t>19-1893805</t>
  </si>
  <si>
    <t>19-1889315</t>
  </si>
  <si>
    <t>19-1893101</t>
  </si>
  <si>
    <t>18-1880901</t>
  </si>
  <si>
    <t>19-1893738</t>
  </si>
  <si>
    <t>19-1888503</t>
  </si>
  <si>
    <t>18-1877610</t>
  </si>
  <si>
    <t>19-1895286</t>
  </si>
  <si>
    <t>19-1893845</t>
  </si>
  <si>
    <t>19-1891494</t>
  </si>
  <si>
    <t>19-1891511</t>
  </si>
  <si>
    <t>19-1891534</t>
  </si>
  <si>
    <t>19-1897171</t>
  </si>
  <si>
    <t>19-1897190</t>
  </si>
  <si>
    <t>19-1897201</t>
  </si>
  <si>
    <t>19-1897530</t>
  </si>
  <si>
    <t>19-1901995</t>
  </si>
  <si>
    <t>19-1902021</t>
  </si>
  <si>
    <t>18-1879947</t>
  </si>
  <si>
    <t>18-1876016</t>
  </si>
  <si>
    <t>19-1899996</t>
  </si>
  <si>
    <t>19-1895289</t>
  </si>
  <si>
    <t>19-1889022</t>
  </si>
  <si>
    <t>19-1900732</t>
  </si>
  <si>
    <t>19-1894203</t>
  </si>
  <si>
    <t>18-1884428</t>
  </si>
  <si>
    <t>19-1889768</t>
  </si>
  <si>
    <t>18-1880749</t>
  </si>
  <si>
    <t>19-1897710</t>
  </si>
  <si>
    <t>18-1872177</t>
  </si>
  <si>
    <t>19-1895116</t>
  </si>
  <si>
    <t>18-1881592</t>
  </si>
  <si>
    <t>18-1881619</t>
  </si>
  <si>
    <t>18-1881626</t>
  </si>
  <si>
    <t>18-1881625</t>
  </si>
  <si>
    <t>19-1900158</t>
  </si>
  <si>
    <t>19-1899041</t>
  </si>
  <si>
    <t>18-1884282</t>
  </si>
  <si>
    <t>18-1879880</t>
  </si>
  <si>
    <t>18-1880403</t>
  </si>
  <si>
    <t>18-1880405</t>
  </si>
  <si>
    <t>19-1895026</t>
  </si>
  <si>
    <t>19-1898773</t>
  </si>
  <si>
    <t>19-1900526</t>
  </si>
  <si>
    <t>19-1890563</t>
  </si>
  <si>
    <t>19-1898089</t>
  </si>
  <si>
    <t>19-1893304</t>
  </si>
  <si>
    <t>19-1903492</t>
  </si>
  <si>
    <t>19-1891491</t>
  </si>
  <si>
    <t>19-1891507</t>
  </si>
  <si>
    <t>19-1897167</t>
  </si>
  <si>
    <t>19-1897185</t>
  </si>
  <si>
    <t>19-1897195</t>
  </si>
  <si>
    <t>19-1897528</t>
  </si>
  <si>
    <t>19-1901993</t>
  </si>
  <si>
    <t>19-1902020</t>
  </si>
  <si>
    <t>18-1884078</t>
  </si>
  <si>
    <t>19-1889282</t>
  </si>
  <si>
    <t>19-1889338</t>
  </si>
  <si>
    <t>19-1887085</t>
  </si>
  <si>
    <t>19-1887838</t>
  </si>
  <si>
    <t>18-1875678</t>
  </si>
  <si>
    <t>19-1901275</t>
  </si>
  <si>
    <t>18-1882654</t>
  </si>
  <si>
    <t>18-1882688</t>
  </si>
  <si>
    <t>18-1882734</t>
  </si>
  <si>
    <t>17-0824075</t>
  </si>
  <si>
    <t>18-1862841</t>
  </si>
  <si>
    <t>19-1887394</t>
  </si>
  <si>
    <t>19-1890574</t>
  </si>
  <si>
    <t>19-1895279</t>
  </si>
  <si>
    <t>19-1901085</t>
  </si>
  <si>
    <t>19-1898361</t>
  </si>
  <si>
    <t>18-1874602</t>
  </si>
  <si>
    <t>18-1885022</t>
  </si>
  <si>
    <t>18-1874841</t>
  </si>
  <si>
    <t>18-1878761</t>
  </si>
  <si>
    <t>16-0809096</t>
  </si>
  <si>
    <t>18-1870934</t>
  </si>
  <si>
    <t>18-1877972</t>
  </si>
  <si>
    <t>18-1882823</t>
  </si>
  <si>
    <t>19-1892003</t>
  </si>
  <si>
    <t>18-1876469</t>
  </si>
  <si>
    <t>19-1889716</t>
  </si>
  <si>
    <t>18-1881536</t>
  </si>
  <si>
    <t>19-1887530</t>
  </si>
  <si>
    <t>18-1879889</t>
  </si>
  <si>
    <t>19-1888169</t>
  </si>
  <si>
    <t>19-1900065</t>
  </si>
  <si>
    <t>19-1900061</t>
  </si>
  <si>
    <t>19-1895982</t>
  </si>
  <si>
    <t>18-1877165</t>
  </si>
  <si>
    <t>18-1879962</t>
  </si>
  <si>
    <t>18-1882574</t>
  </si>
  <si>
    <t>19-1887122</t>
  </si>
  <si>
    <t>19-1902025</t>
  </si>
  <si>
    <t>18-1883811</t>
  </si>
  <si>
    <t>18-1860383</t>
  </si>
  <si>
    <t>19-1893268</t>
  </si>
  <si>
    <t>19-1899775</t>
  </si>
  <si>
    <t>19-1899781</t>
  </si>
  <si>
    <t>19-1899784</t>
  </si>
  <si>
    <t>19-1899785</t>
  </si>
  <si>
    <t>19-1899835</t>
  </si>
  <si>
    <t>19-1899861</t>
  </si>
  <si>
    <t>19-1891794</t>
  </si>
  <si>
    <t>19-1889769</t>
  </si>
  <si>
    <t>19-1887311</t>
  </si>
  <si>
    <t>18-1883185</t>
  </si>
  <si>
    <t>19-1896403</t>
  </si>
  <si>
    <t>19-1893914</t>
  </si>
  <si>
    <t>19-1900499</t>
  </si>
  <si>
    <t>18-1875674</t>
  </si>
  <si>
    <t>18-1885683</t>
  </si>
  <si>
    <t>18-1882097</t>
  </si>
  <si>
    <t>18-1882687</t>
  </si>
  <si>
    <t>18-1882733</t>
  </si>
  <si>
    <t>18-1886131</t>
  </si>
  <si>
    <t>19-1890570</t>
  </si>
  <si>
    <t>19-1900199</t>
  </si>
  <si>
    <t>19-1894026</t>
  </si>
  <si>
    <t>19-1895588</t>
  </si>
  <si>
    <t>19-1892240</t>
  </si>
  <si>
    <t>19-1898133</t>
  </si>
  <si>
    <t>19-1891236</t>
  </si>
  <si>
    <t>19-1898486</t>
  </si>
  <si>
    <t>18-1871563</t>
  </si>
  <si>
    <t>18-1876150</t>
  </si>
  <si>
    <t>18-1878345</t>
  </si>
  <si>
    <t>19-1896730</t>
  </si>
  <si>
    <t>18-1882692</t>
  </si>
  <si>
    <t>18-1872015</t>
  </si>
  <si>
    <t>19-1898193</t>
  </si>
  <si>
    <t>18-1872502</t>
  </si>
  <si>
    <t>19-1895282</t>
  </si>
  <si>
    <t>18-1880194</t>
  </si>
  <si>
    <t>19-1892917</t>
  </si>
  <si>
    <t>18-1879764</t>
  </si>
  <si>
    <t>18-1881267</t>
  </si>
  <si>
    <t>19-1891009</t>
  </si>
  <si>
    <t>18-1873456</t>
  </si>
  <si>
    <t>19-1892732</t>
  </si>
  <si>
    <t>18-1884493</t>
  </si>
  <si>
    <t>19-1900690</t>
  </si>
  <si>
    <t>19-1890032</t>
  </si>
  <si>
    <t>19-1887787</t>
  </si>
  <si>
    <t>18-1869305</t>
  </si>
  <si>
    <t>18-1880957</t>
  </si>
  <si>
    <t>19-1887044</t>
  </si>
  <si>
    <t>18-1875261</t>
  </si>
  <si>
    <t>19-1900521</t>
  </si>
  <si>
    <t>19-1896780</t>
  </si>
  <si>
    <t>18-1875405</t>
  </si>
  <si>
    <t>18-1882298</t>
  </si>
  <si>
    <t>19-1895751</t>
  </si>
  <si>
    <t>19-1895768</t>
  </si>
  <si>
    <t>18-1877677</t>
  </si>
  <si>
    <t>19-1890990</t>
  </si>
  <si>
    <t>19-1901563</t>
  </si>
  <si>
    <t>19-1893711</t>
  </si>
  <si>
    <t>18-1883258</t>
  </si>
  <si>
    <t>18-1872924</t>
  </si>
  <si>
    <t>19-1892147</t>
  </si>
  <si>
    <t>18-1875333</t>
  </si>
  <si>
    <t>18-1885698</t>
  </si>
  <si>
    <t>18-1876972</t>
  </si>
  <si>
    <t>18-1880204</t>
  </si>
  <si>
    <t>19-1895370</t>
  </si>
  <si>
    <t>18-1874395</t>
  </si>
  <si>
    <t>18-1877271</t>
  </si>
  <si>
    <t>19-1896004</t>
  </si>
  <si>
    <t>19-1900935</t>
  </si>
  <si>
    <t>18-1879875</t>
  </si>
  <si>
    <t>18-1879864</t>
  </si>
  <si>
    <t>19-1887398</t>
  </si>
  <si>
    <t>19-1894602</t>
  </si>
  <si>
    <t>18-1877409</t>
  </si>
  <si>
    <t>19-1887017</t>
  </si>
  <si>
    <t>18-1884779</t>
  </si>
  <si>
    <t>18-1874150</t>
  </si>
  <si>
    <t>18-1882893</t>
  </si>
  <si>
    <t>18-1881386</t>
  </si>
  <si>
    <t>18-1882976</t>
  </si>
  <si>
    <t>18-1878211</t>
  </si>
  <si>
    <t>19-1900400</t>
  </si>
  <si>
    <t>19-1896452</t>
  </si>
  <si>
    <t>19-1898658</t>
  </si>
  <si>
    <t>19-1896718</t>
  </si>
  <si>
    <t>19-1895722</t>
  </si>
  <si>
    <t>18-1884409</t>
  </si>
  <si>
    <t>19-1898332</t>
  </si>
  <si>
    <t>18-1878210</t>
  </si>
  <si>
    <t>18-1874876</t>
  </si>
  <si>
    <t>18-1884001</t>
  </si>
  <si>
    <t>18-1872111</t>
  </si>
  <si>
    <t>19-1888389</t>
  </si>
  <si>
    <t>18-1882586</t>
  </si>
  <si>
    <t>19-1899049</t>
  </si>
  <si>
    <t>19-1890682</t>
  </si>
  <si>
    <t>18-1882800</t>
  </si>
  <si>
    <t>18-1880262</t>
  </si>
  <si>
    <t>18-1881030</t>
  </si>
  <si>
    <t>18-1877745</t>
  </si>
  <si>
    <t>18-1859311</t>
  </si>
  <si>
    <t>18-1874133</t>
  </si>
  <si>
    <t>19-1890105</t>
  </si>
  <si>
    <t>19-1899402</t>
  </si>
  <si>
    <t>19-1889653</t>
  </si>
  <si>
    <t>18-1881397</t>
  </si>
  <si>
    <t>19-1890777</t>
  </si>
  <si>
    <t>18-1882755</t>
  </si>
  <si>
    <t>18-1882756</t>
  </si>
  <si>
    <t>18-1881968</t>
  </si>
  <si>
    <t>18-1872303</t>
  </si>
  <si>
    <t>19-1899222</t>
  </si>
  <si>
    <t>18-1874993</t>
  </si>
  <si>
    <t>19-1889055</t>
  </si>
  <si>
    <t>18-1876435</t>
  </si>
  <si>
    <t>18-1879765</t>
  </si>
  <si>
    <t>18-1879768</t>
  </si>
  <si>
    <t>18-1881805</t>
  </si>
  <si>
    <t>18-1860498</t>
  </si>
  <si>
    <t>18-1871552</t>
  </si>
  <si>
    <t>18-1874553</t>
  </si>
  <si>
    <t>18-1880854</t>
  </si>
  <si>
    <t>18-1877877</t>
  </si>
  <si>
    <t>18-1885583</t>
  </si>
  <si>
    <t>19-1892407</t>
  </si>
  <si>
    <t>18-1881209</t>
  </si>
  <si>
    <t>18-1881190</t>
  </si>
  <si>
    <t>18-1882286</t>
  </si>
  <si>
    <t>18-1884754</t>
  </si>
  <si>
    <t>18-1883017</t>
  </si>
  <si>
    <t>19-1887724</t>
  </si>
  <si>
    <t>18-1872005</t>
  </si>
  <si>
    <t>19-1887641</t>
  </si>
  <si>
    <t>19-1889301</t>
  </si>
  <si>
    <t>19-1897307</t>
  </si>
  <si>
    <t>18-1879107</t>
  </si>
  <si>
    <t>18-1885067</t>
  </si>
  <si>
    <t>18-1871944</t>
  </si>
  <si>
    <t>18-1878642</t>
  </si>
  <si>
    <t>18-1868626</t>
  </si>
  <si>
    <t>19-1889854</t>
  </si>
  <si>
    <t>19-1899581</t>
  </si>
  <si>
    <t>19-1894184</t>
  </si>
  <si>
    <t>19-1887422</t>
  </si>
  <si>
    <t>18-1862877</t>
  </si>
  <si>
    <t>19-1897904</t>
  </si>
  <si>
    <t>18-1871997</t>
  </si>
  <si>
    <t>19-1896986</t>
  </si>
  <si>
    <t>19-1901514</t>
  </si>
  <si>
    <t>19-1891847</t>
  </si>
  <si>
    <t>18-1880227</t>
  </si>
  <si>
    <t>18-1876450</t>
  </si>
  <si>
    <t>19-1889826</t>
  </si>
  <si>
    <t>19-1889811</t>
  </si>
  <si>
    <t>18-1871691</t>
  </si>
  <si>
    <t>19-1893549</t>
  </si>
  <si>
    <t>16-0802155</t>
  </si>
  <si>
    <t>19-1893706</t>
  </si>
  <si>
    <t>18-1877020</t>
  </si>
  <si>
    <t>19-1895996</t>
  </si>
  <si>
    <t>18-1873178</t>
  </si>
  <si>
    <t>18-1878127</t>
  </si>
  <si>
    <t>19-1891035</t>
  </si>
  <si>
    <t>18-1871738</t>
  </si>
  <si>
    <t>19-1897652</t>
  </si>
  <si>
    <t>19-1897622</t>
  </si>
  <si>
    <t>19-1897636</t>
  </si>
  <si>
    <t>18-1881893</t>
  </si>
  <si>
    <t>18-1886330</t>
  </si>
  <si>
    <t>19-1898849</t>
  </si>
  <si>
    <t>19-1889318</t>
  </si>
  <si>
    <t>18-1882546</t>
  </si>
  <si>
    <t>18-1878493</t>
  </si>
  <si>
    <t>18-1883688</t>
  </si>
  <si>
    <t>19-1887107</t>
  </si>
  <si>
    <t>18-1882032</t>
  </si>
  <si>
    <t>19-1900523</t>
  </si>
  <si>
    <t>18-1881365</t>
  </si>
  <si>
    <t>18-1877277</t>
  </si>
  <si>
    <t>18-1863302</t>
  </si>
  <si>
    <t>18-1880512</t>
  </si>
  <si>
    <t>18-1882817</t>
  </si>
  <si>
    <t>18-1874668</t>
  </si>
  <si>
    <t>19-1900209</t>
  </si>
  <si>
    <t>19-1890793</t>
  </si>
  <si>
    <t>19-1889000</t>
  </si>
  <si>
    <t>18-1874194</t>
  </si>
  <si>
    <t>19-1899914</t>
  </si>
  <si>
    <t>19-1895955</t>
  </si>
  <si>
    <t>19-1891478</t>
  </si>
  <si>
    <t>19-1890543</t>
  </si>
  <si>
    <t>18-1884520</t>
  </si>
  <si>
    <t>18-1885681</t>
  </si>
  <si>
    <t>18-1882090</t>
  </si>
  <si>
    <t>18-1881236</t>
  </si>
  <si>
    <t>18-1871979</t>
  </si>
  <si>
    <t>18-1886699</t>
  </si>
  <si>
    <t>18-1873154</t>
  </si>
  <si>
    <t>18-1874679</t>
  </si>
  <si>
    <t>18-1872089</t>
  </si>
  <si>
    <t>18-1886182</t>
  </si>
  <si>
    <t>18-1884722</t>
  </si>
  <si>
    <t>19-1898843</t>
  </si>
  <si>
    <t>19-1898252</t>
  </si>
  <si>
    <t>19-1903703</t>
  </si>
  <si>
    <t>19-1898251</t>
  </si>
  <si>
    <t>18-1873216</t>
  </si>
  <si>
    <t>17-1837471</t>
  </si>
  <si>
    <t>18-1871602</t>
  </si>
  <si>
    <t>19-1900951</t>
  </si>
  <si>
    <t>18-1872934</t>
  </si>
  <si>
    <t>19-1895541</t>
  </si>
  <si>
    <t>19-1887329</t>
  </si>
  <si>
    <t>18-1884535</t>
  </si>
  <si>
    <t>18-1882145</t>
  </si>
  <si>
    <t>18-1875618</t>
  </si>
  <si>
    <t>18-1872836</t>
  </si>
  <si>
    <t>19-1893217</t>
  </si>
  <si>
    <t>18-1877592</t>
  </si>
  <si>
    <t>18-1874990</t>
  </si>
  <si>
    <t>18-1880865</t>
  </si>
  <si>
    <t>19-1890203</t>
  </si>
  <si>
    <t>19-1890415</t>
  </si>
  <si>
    <t>19-1890420</t>
  </si>
  <si>
    <t>18-1878564</t>
  </si>
  <si>
    <t>18-1884676</t>
  </si>
  <si>
    <t>18-1878934</t>
  </si>
  <si>
    <t>19-1887372</t>
  </si>
  <si>
    <t>19-1889042</t>
  </si>
  <si>
    <t>18-1872107</t>
  </si>
  <si>
    <t>19-1903789</t>
  </si>
  <si>
    <t>19-1895048</t>
  </si>
  <si>
    <t>19-1901980</t>
  </si>
  <si>
    <t>19-1899724</t>
  </si>
  <si>
    <t>19-1901977</t>
  </si>
  <si>
    <t>18-1890408</t>
  </si>
  <si>
    <t>19-1895562</t>
  </si>
  <si>
    <t>18-1874078</t>
  </si>
  <si>
    <t>16-0820634</t>
  </si>
  <si>
    <t>19-1904004</t>
  </si>
  <si>
    <t>19-1895314</t>
  </si>
  <si>
    <t>19-1900011</t>
  </si>
  <si>
    <t>19-1890691</t>
  </si>
  <si>
    <t>19-1902788</t>
  </si>
  <si>
    <t>18-1870238</t>
  </si>
  <si>
    <t>18-1878942</t>
  </si>
  <si>
    <t>19-1901303</t>
  </si>
  <si>
    <t>19-1900546</t>
  </si>
  <si>
    <t>19-1896739</t>
  </si>
  <si>
    <t>19-1896742</t>
  </si>
  <si>
    <t>19-1896744</t>
  </si>
  <si>
    <t>19-1896748</t>
  </si>
  <si>
    <t>19-1900468</t>
  </si>
  <si>
    <t>19-1901300</t>
  </si>
  <si>
    <t>19-1893686</t>
  </si>
  <si>
    <t>18-1885029</t>
  </si>
  <si>
    <t>18-1885048</t>
  </si>
  <si>
    <t>18-1875780</t>
  </si>
  <si>
    <t>18-1885024</t>
  </si>
  <si>
    <t>18-1874172</t>
  </si>
  <si>
    <t>18-1879757</t>
  </si>
  <si>
    <t>18-1886032</t>
  </si>
  <si>
    <t>19-1890030</t>
  </si>
  <si>
    <t>19-1893630</t>
  </si>
  <si>
    <t>19-1890332</t>
  </si>
  <si>
    <t>18-1869585</t>
  </si>
  <si>
    <t>19-1895331</t>
  </si>
  <si>
    <t>18-1873208</t>
  </si>
  <si>
    <t>18-1857039</t>
  </si>
  <si>
    <t>18-1876365</t>
  </si>
  <si>
    <t>19-1891396</t>
  </si>
  <si>
    <t>19-1891530</t>
  </si>
  <si>
    <t>18-1880762</t>
  </si>
  <si>
    <t>18-1880685</t>
  </si>
  <si>
    <t>19-1901408</t>
  </si>
  <si>
    <t>19-1890705</t>
  </si>
  <si>
    <t>19-1899475</t>
  </si>
  <si>
    <t>18-1886661</t>
  </si>
  <si>
    <t>19-1890386</t>
  </si>
  <si>
    <t>19-1890605</t>
  </si>
  <si>
    <t>19-1899841</t>
  </si>
  <si>
    <t>19-1888062</t>
  </si>
  <si>
    <t>18-1863305</t>
  </si>
  <si>
    <t>19-1903504</t>
  </si>
  <si>
    <t>18-1876801</t>
  </si>
  <si>
    <t>19-1895346</t>
  </si>
  <si>
    <t>19-1902945</t>
  </si>
  <si>
    <t>19-1899732</t>
  </si>
  <si>
    <t>18-1885593</t>
  </si>
  <si>
    <t>19-1888064</t>
  </si>
  <si>
    <t>18-1881163</t>
  </si>
  <si>
    <t>18-1883162</t>
  </si>
  <si>
    <t>19-1895985</t>
  </si>
  <si>
    <t>19-1897608</t>
  </si>
  <si>
    <t>19-1900610</t>
  </si>
  <si>
    <t>18-1876345</t>
  </si>
  <si>
    <t>18-1884221</t>
  </si>
  <si>
    <t>18-1873635</t>
  </si>
  <si>
    <t>18-1876794</t>
  </si>
  <si>
    <t>18-1872467</t>
  </si>
  <si>
    <t>18-1871432</t>
  </si>
  <si>
    <t>18-1875776</t>
  </si>
  <si>
    <t>18-1878529</t>
  </si>
  <si>
    <t>18-1882544</t>
  </si>
  <si>
    <t>18-1885788</t>
  </si>
  <si>
    <t>18-1876790</t>
  </si>
  <si>
    <t>18-1885587</t>
  </si>
  <si>
    <t>18-1872340</t>
  </si>
  <si>
    <t>19-1901172</t>
  </si>
  <si>
    <t>19-1899746</t>
  </si>
  <si>
    <t>19-1895285</t>
  </si>
  <si>
    <t>18-1871913</t>
  </si>
  <si>
    <t>18-1880028</t>
  </si>
  <si>
    <t>18-1878374</t>
  </si>
  <si>
    <t>18-1880018</t>
  </si>
  <si>
    <t>18-1880021</t>
  </si>
  <si>
    <t>18-1880023</t>
  </si>
  <si>
    <t>18-1880031</t>
  </si>
  <si>
    <t>18-1880033</t>
  </si>
  <si>
    <t>19-1895930</t>
  </si>
  <si>
    <t>18-1883952</t>
  </si>
  <si>
    <t>19-1902045</t>
  </si>
  <si>
    <t>19-1902042</t>
  </si>
  <si>
    <t>18-1876434</t>
  </si>
  <si>
    <t>18-1878534</t>
  </si>
  <si>
    <t>18-1885782</t>
  </si>
  <si>
    <t>18-1872000</t>
  </si>
  <si>
    <t>18-1882354</t>
  </si>
  <si>
    <t>18-1873840</t>
  </si>
  <si>
    <t>18-1894063</t>
  </si>
  <si>
    <t>19-1894066</t>
  </si>
  <si>
    <t>18-1885754</t>
  </si>
  <si>
    <t>19-1894064</t>
  </si>
  <si>
    <t>18-1883395</t>
  </si>
  <si>
    <t>19-1894538</t>
  </si>
  <si>
    <t>19-1898369</t>
  </si>
  <si>
    <t>18-1884964</t>
  </si>
  <si>
    <t>19-1897224</t>
  </si>
  <si>
    <t>19-1893852</t>
  </si>
  <si>
    <t>19-1898865</t>
  </si>
  <si>
    <t>19-1900437</t>
  </si>
  <si>
    <t>18-1879377</t>
  </si>
  <si>
    <t>18-1875194</t>
  </si>
  <si>
    <t>19-1895881</t>
  </si>
  <si>
    <t>19-1894735</t>
  </si>
  <si>
    <t>19-1895324</t>
  </si>
  <si>
    <t>19-1887202</t>
  </si>
  <si>
    <t>18-1880701</t>
  </si>
  <si>
    <t>19-1887819</t>
  </si>
  <si>
    <t>19-1893248</t>
  </si>
  <si>
    <t>19-1889053</t>
  </si>
  <si>
    <t>18-1882287</t>
  </si>
  <si>
    <t>19-1898722</t>
  </si>
  <si>
    <t>19-1889304</t>
  </si>
  <si>
    <t>19-1891985</t>
  </si>
  <si>
    <t>19-1892915</t>
  </si>
  <si>
    <t>18-1883970</t>
  </si>
  <si>
    <t>18-1871914</t>
  </si>
  <si>
    <t>19-1888033</t>
  </si>
  <si>
    <t>19-1892380</t>
  </si>
  <si>
    <t>19-1902616</t>
  </si>
  <si>
    <t>18-1886735</t>
  </si>
  <si>
    <t>18-1885030</t>
  </si>
  <si>
    <t>18-1885163</t>
  </si>
  <si>
    <t>18-1864586</t>
  </si>
  <si>
    <t>18-1885151</t>
  </si>
  <si>
    <t>19-1894962</t>
  </si>
  <si>
    <t>19-1888130</t>
  </si>
  <si>
    <t>19-1896243</t>
  </si>
  <si>
    <t>19-1896249</t>
  </si>
  <si>
    <t>19-1899977</t>
  </si>
  <si>
    <t>19-1901339</t>
  </si>
  <si>
    <t>19-1888040</t>
  </si>
  <si>
    <t>18-1882853</t>
  </si>
  <si>
    <t>18-1881986</t>
  </si>
  <si>
    <t>18-1873228</t>
  </si>
  <si>
    <t>18-1881809</t>
  </si>
  <si>
    <t>19-1902484</t>
  </si>
  <si>
    <t>18-1877083</t>
  </si>
  <si>
    <t>18-1875921</t>
  </si>
  <si>
    <t>19-1887831</t>
  </si>
  <si>
    <t>19-1895332</t>
  </si>
  <si>
    <t>18-1872335</t>
  </si>
  <si>
    <t>18-1881919</t>
  </si>
  <si>
    <t>19-1898149</t>
  </si>
  <si>
    <t>18-1885942</t>
  </si>
  <si>
    <t>18-1886339</t>
  </si>
  <si>
    <t>18-1886340</t>
  </si>
  <si>
    <t>19-1889325</t>
  </si>
  <si>
    <t>18-1885969</t>
  </si>
  <si>
    <t>19-1899950</t>
  </si>
  <si>
    <t>19-1886946</t>
  </si>
  <si>
    <t>18-1882288</t>
  </si>
  <si>
    <t>19-1897509</t>
  </si>
  <si>
    <t>19-1896456</t>
  </si>
  <si>
    <t>19-1901915</t>
  </si>
  <si>
    <t>18-1886087</t>
  </si>
  <si>
    <t>19-1902418</t>
  </si>
  <si>
    <t>18-1881620</t>
  </si>
  <si>
    <t>19-1890404</t>
  </si>
  <si>
    <t>19-1893334</t>
  </si>
  <si>
    <t>19-1890006</t>
  </si>
  <si>
    <t>19-1888851</t>
  </si>
  <si>
    <t>18-1878802</t>
  </si>
  <si>
    <t>19-1887126</t>
  </si>
  <si>
    <t>19-1893180</t>
  </si>
  <si>
    <t>19-1893172</t>
  </si>
  <si>
    <t>18-1873121</t>
  </si>
  <si>
    <t>18-1870806</t>
  </si>
  <si>
    <t>18-1883266</t>
  </si>
  <si>
    <t>19-1887512</t>
  </si>
  <si>
    <t>18-1872737</t>
  </si>
  <si>
    <t>18-1880771</t>
  </si>
  <si>
    <t>19-1890698</t>
  </si>
  <si>
    <t>18-1872300</t>
  </si>
  <si>
    <t>19-1892955</t>
  </si>
  <si>
    <t>19-1901153</t>
  </si>
  <si>
    <t>19-1890395</t>
  </si>
  <si>
    <t>19-1895718</t>
  </si>
  <si>
    <t>19-1895748</t>
  </si>
  <si>
    <t>18-1880263</t>
  </si>
  <si>
    <t>18-1871523</t>
  </si>
  <si>
    <t>19-1887981</t>
  </si>
  <si>
    <t>18-1863454</t>
  </si>
  <si>
    <t>18-1881101</t>
  </si>
  <si>
    <t>19-1895931</t>
  </si>
  <si>
    <t>19-1889687</t>
  </si>
  <si>
    <t>18-1871742</t>
  </si>
  <si>
    <t>19-1899633</t>
  </si>
  <si>
    <t>18-1877549</t>
  </si>
  <si>
    <t>19-1890831</t>
  </si>
  <si>
    <t>19-1886801</t>
  </si>
  <si>
    <t>19-1893532</t>
  </si>
  <si>
    <t>19-1891663</t>
  </si>
  <si>
    <t>19-1891662</t>
  </si>
  <si>
    <t>18-1878629</t>
  </si>
  <si>
    <t>18-1872333</t>
  </si>
  <si>
    <t>19-1895526</t>
  </si>
  <si>
    <t>19-1901756</t>
  </si>
  <si>
    <t>19-1901480</t>
  </si>
  <si>
    <t>19-1888465</t>
  </si>
  <si>
    <t>18-1882722</t>
  </si>
  <si>
    <t>18-1882717</t>
  </si>
  <si>
    <t>18-1875565</t>
  </si>
  <si>
    <t>19-1896321</t>
  </si>
  <si>
    <t>19-1898188</t>
  </si>
  <si>
    <t>19-1895976</t>
  </si>
  <si>
    <t>19-1890137</t>
  </si>
  <si>
    <t>19-1891782</t>
  </si>
  <si>
    <t>18-1880879</t>
  </si>
  <si>
    <t>18-1875092</t>
  </si>
  <si>
    <t>18-1884972</t>
  </si>
  <si>
    <t>18-1878600</t>
  </si>
  <si>
    <t>18-1874450</t>
  </si>
  <si>
    <t>19-1897842</t>
  </si>
  <si>
    <t>18-1874240</t>
  </si>
  <si>
    <t>19-1899865</t>
  </si>
  <si>
    <t>18-1879266</t>
  </si>
  <si>
    <t>18-1881514</t>
  </si>
  <si>
    <t>18-1881230</t>
  </si>
  <si>
    <t>18-1871940</t>
  </si>
  <si>
    <t>18-1876338</t>
  </si>
  <si>
    <t>18-1880605</t>
  </si>
  <si>
    <t>18-1886672</t>
  </si>
  <si>
    <t>18-1875487</t>
  </si>
  <si>
    <t>19-1889889</t>
  </si>
  <si>
    <t>19-1891295</t>
  </si>
  <si>
    <t>18-1863494</t>
  </si>
  <si>
    <t>18-1881254</t>
  </si>
  <si>
    <t>19-1900716</t>
  </si>
  <si>
    <t>19-1901519</t>
  </si>
  <si>
    <t>19-1891305</t>
  </si>
  <si>
    <t>19-1891302</t>
  </si>
  <si>
    <t>18-1880714</t>
  </si>
  <si>
    <t>18-1875631</t>
  </si>
  <si>
    <t>18-1879474</t>
  </si>
  <si>
    <t>19-1898118</t>
  </si>
  <si>
    <t>19-1897247</t>
  </si>
  <si>
    <t>18-1871392</t>
  </si>
  <si>
    <t>18-1885244</t>
  </si>
  <si>
    <t>19-1892385</t>
  </si>
  <si>
    <t>18-1886177</t>
  </si>
  <si>
    <t>19-1894173</t>
  </si>
  <si>
    <t>19-1896393</t>
  </si>
  <si>
    <t>19-1900558</t>
  </si>
  <si>
    <t>19-1901429</t>
  </si>
  <si>
    <t>19-1893534</t>
  </si>
  <si>
    <t>19-1892884</t>
  </si>
  <si>
    <t>19-1899848</t>
  </si>
  <si>
    <t>19-1900009</t>
  </si>
  <si>
    <t>19-1893348</t>
  </si>
  <si>
    <t>19-1902306</t>
  </si>
  <si>
    <t>19-1902329</t>
  </si>
  <si>
    <t>19-1889505</t>
  </si>
  <si>
    <t>19-1901484</t>
  </si>
  <si>
    <t>19-1897876</t>
  </si>
  <si>
    <t>19-1892328</t>
  </si>
  <si>
    <t>19-1895261</t>
  </si>
  <si>
    <t>19-1895799</t>
  </si>
  <si>
    <t>19-1900016</t>
  </si>
  <si>
    <t>18-1875536</t>
  </si>
  <si>
    <t>18-1880926</t>
  </si>
  <si>
    <t>18-1876415</t>
  </si>
  <si>
    <t>18-1880344</t>
  </si>
  <si>
    <t>18-1876791</t>
  </si>
  <si>
    <t>19-1892741</t>
  </si>
  <si>
    <t>19-1892743</t>
  </si>
  <si>
    <t>18-1881752</t>
  </si>
  <si>
    <t>19-1897678</t>
  </si>
  <si>
    <t>18-1876588</t>
  </si>
  <si>
    <t>18-1873594</t>
  </si>
  <si>
    <t>19-1902310</t>
  </si>
  <si>
    <t>18-1877272</t>
  </si>
  <si>
    <t>18-1883253</t>
  </si>
  <si>
    <t>18-1880117</t>
  </si>
  <si>
    <t>18-1882702</t>
  </si>
  <si>
    <t>18-1882698</t>
  </si>
  <si>
    <t>19-1904273</t>
  </si>
  <si>
    <t>19-1895335</t>
  </si>
  <si>
    <t>19-1895376</t>
  </si>
  <si>
    <t>18-1884809</t>
  </si>
  <si>
    <t>19-1891206</t>
  </si>
  <si>
    <t>19-1898867</t>
  </si>
  <si>
    <t>18-1881281</t>
  </si>
  <si>
    <t>19-1892507</t>
  </si>
  <si>
    <t>17-1853782</t>
  </si>
  <si>
    <t>19-1901037</t>
  </si>
  <si>
    <t>18-1884444</t>
  </si>
  <si>
    <t>19-1893493</t>
  </si>
  <si>
    <t>19-1900130</t>
  </si>
  <si>
    <t>18-1882291</t>
  </si>
  <si>
    <t>19-1891542</t>
  </si>
  <si>
    <t>19-1888339</t>
  </si>
  <si>
    <t>19-1896453</t>
  </si>
  <si>
    <t>19-1897658</t>
  </si>
  <si>
    <t>19-1894146</t>
  </si>
  <si>
    <t>19-1888887</t>
  </si>
  <si>
    <t>19-1900987</t>
  </si>
  <si>
    <t>19-1892880</t>
  </si>
  <si>
    <t>19-1896915</t>
  </si>
  <si>
    <t>19-1899795</t>
  </si>
  <si>
    <t>19-1900376</t>
  </si>
  <si>
    <t>19-1898747</t>
  </si>
  <si>
    <t>19-1900070</t>
  </si>
  <si>
    <t>19-1902419</t>
  </si>
  <si>
    <t>18-1874400</t>
  </si>
  <si>
    <t>18-1877435</t>
  </si>
  <si>
    <t>18-1872762</t>
  </si>
  <si>
    <t>18-1875349</t>
  </si>
  <si>
    <t>18-1875090</t>
  </si>
  <si>
    <t>18-1875902</t>
  </si>
  <si>
    <t>19-1887893</t>
  </si>
  <si>
    <t>19-1888496</t>
  </si>
  <si>
    <t>18-1874465</t>
  </si>
  <si>
    <t>19-1887795</t>
  </si>
  <si>
    <t>18-1874022</t>
  </si>
  <si>
    <t>18-1871836</t>
  </si>
  <si>
    <t>18-1886675</t>
  </si>
  <si>
    <t>18-1871854</t>
  </si>
  <si>
    <t>18-1886022</t>
  </si>
  <si>
    <t>18-1873217</t>
  </si>
  <si>
    <t>18-1872180</t>
  </si>
  <si>
    <t>18-1875764</t>
  </si>
  <si>
    <t>18-1875754</t>
  </si>
  <si>
    <t>18-1874696</t>
  </si>
  <si>
    <t>18-1878898</t>
  </si>
  <si>
    <t>18-1869405</t>
  </si>
  <si>
    <t>18-1879335</t>
  </si>
  <si>
    <t>18-1883057</t>
  </si>
  <si>
    <t>18-1872601</t>
  </si>
  <si>
    <t>18-1882569</t>
  </si>
  <si>
    <t>18-1885509</t>
  </si>
  <si>
    <t>18-1886507</t>
  </si>
  <si>
    <t>18-1886510</t>
  </si>
  <si>
    <t>18-1887686</t>
  </si>
  <si>
    <t>18-1881498</t>
  </si>
  <si>
    <t>18-1882293</t>
  </si>
  <si>
    <t>18-1871289</t>
  </si>
  <si>
    <t>19-1899982</t>
  </si>
  <si>
    <t>19-1893305</t>
  </si>
  <si>
    <t>19-1896502</t>
  </si>
  <si>
    <t>19-1893846</t>
  </si>
  <si>
    <t>19-1891445</t>
  </si>
  <si>
    <t>19-1899990</t>
  </si>
  <si>
    <t>19-1903229</t>
  </si>
  <si>
    <t>18-1880904</t>
  </si>
  <si>
    <t>18-1882292</t>
  </si>
  <si>
    <t>19-1897052</t>
  </si>
  <si>
    <t>19-1895460</t>
  </si>
  <si>
    <t>18-1874499</t>
  </si>
  <si>
    <t>18-1878653</t>
  </si>
  <si>
    <t>18-1878656</t>
  </si>
  <si>
    <t>18-1878659</t>
  </si>
  <si>
    <t>18-1876642</t>
  </si>
  <si>
    <t>19-1892373</t>
  </si>
  <si>
    <t>19-1891937</t>
  </si>
  <si>
    <t>18-1879311</t>
  </si>
  <si>
    <t>18-1881953</t>
  </si>
  <si>
    <t>18-1878126</t>
  </si>
  <si>
    <t>18-1880980</t>
  </si>
  <si>
    <t>19-1898121</t>
  </si>
  <si>
    <t>19-1897501</t>
  </si>
  <si>
    <t>17-1840397</t>
  </si>
  <si>
    <t>19-1888246</t>
  </si>
  <si>
    <t>19-1895203</t>
  </si>
  <si>
    <t>18-1871867</t>
  </si>
  <si>
    <t>18-1879972</t>
  </si>
  <si>
    <t>18-1884739</t>
  </si>
  <si>
    <t>18-1884730</t>
  </si>
  <si>
    <t>19-1889389</t>
  </si>
  <si>
    <t>19-1891776</t>
  </si>
  <si>
    <t>19-1898229</t>
  </si>
  <si>
    <t>19-1891759</t>
  </si>
  <si>
    <t>18-1880487</t>
  </si>
  <si>
    <t>18-1884790</t>
  </si>
  <si>
    <t>18-1880103</t>
  </si>
  <si>
    <t>18-1864902</t>
  </si>
  <si>
    <t>19-1900643</t>
  </si>
  <si>
    <t>19-1897378</t>
  </si>
  <si>
    <t>19-1892846</t>
  </si>
  <si>
    <t>19-1896527</t>
  </si>
  <si>
    <t>18-1872605</t>
  </si>
  <si>
    <t>18-1876946</t>
  </si>
  <si>
    <t>18-1885978</t>
  </si>
  <si>
    <t>18-1867832</t>
  </si>
  <si>
    <t>18-1881831</t>
  </si>
  <si>
    <t>18-1877946</t>
  </si>
  <si>
    <t>18-1871646</t>
  </si>
  <si>
    <t>19-1887993</t>
  </si>
  <si>
    <t>18-1867354</t>
  </si>
  <si>
    <t>18-1873237</t>
  </si>
  <si>
    <t>18-1874628</t>
  </si>
  <si>
    <t>18-1877029</t>
  </si>
  <si>
    <t>19-1888382</t>
  </si>
  <si>
    <t>18-1882296</t>
  </si>
  <si>
    <t>18-1871449</t>
  </si>
  <si>
    <t>18-1871444</t>
  </si>
  <si>
    <t>18-1879106</t>
  </si>
  <si>
    <t>19-1896079</t>
  </si>
  <si>
    <t>19-1887865</t>
  </si>
  <si>
    <t>18-1885983</t>
  </si>
  <si>
    <t>19-1892192</t>
  </si>
  <si>
    <t>19-1898074</t>
  </si>
  <si>
    <t>19-1894996</t>
  </si>
  <si>
    <t>19-1893577</t>
  </si>
  <si>
    <t>19-1891998</t>
  </si>
  <si>
    <t>19-1900646</t>
  </si>
  <si>
    <t>19-1899473</t>
  </si>
  <si>
    <t>18-1874188</t>
  </si>
  <si>
    <t>18-1876131</t>
  </si>
  <si>
    <t>18-1874174</t>
  </si>
  <si>
    <t>18-1883625</t>
  </si>
  <si>
    <t>19-1887291</t>
  </si>
  <si>
    <t>18-1875101</t>
  </si>
  <si>
    <t>19-1891999</t>
  </si>
  <si>
    <t>19-1891991</t>
  </si>
  <si>
    <t>19-1899942</t>
  </si>
  <si>
    <t>19-1904441</t>
  </si>
  <si>
    <t>18-1880639</t>
  </si>
  <si>
    <t>19-1889327</t>
  </si>
  <si>
    <t>19-1891990</t>
  </si>
  <si>
    <t>18-1881753</t>
  </si>
  <si>
    <t>18-1876399</t>
  </si>
  <si>
    <t>19-1895191</t>
  </si>
  <si>
    <t>18-1872321</t>
  </si>
  <si>
    <t>19-1888071</t>
  </si>
  <si>
    <t>19-1887014</t>
  </si>
  <si>
    <t>19-1901785</t>
  </si>
  <si>
    <t>18-1871525</t>
  </si>
  <si>
    <t>18-1873470</t>
  </si>
  <si>
    <t>18-1876002</t>
  </si>
  <si>
    <t>18-1879061</t>
  </si>
  <si>
    <t>18-1882531</t>
  </si>
  <si>
    <t>17-1833829</t>
  </si>
  <si>
    <t>18-1881171</t>
  </si>
  <si>
    <t>18-1871931</t>
  </si>
  <si>
    <t>18-1882868</t>
  </si>
  <si>
    <t>18-1885330</t>
  </si>
  <si>
    <t>18-1880289</t>
  </si>
  <si>
    <t>18-1878972</t>
  </si>
  <si>
    <t>18-1881117</t>
  </si>
  <si>
    <t>18-1877169</t>
  </si>
  <si>
    <t>18-1875568</t>
  </si>
  <si>
    <t>18-1875612</t>
  </si>
  <si>
    <t>18-1866214</t>
  </si>
  <si>
    <t>18-1878828</t>
  </si>
  <si>
    <t>18-1875609</t>
  </si>
  <si>
    <t>18-1880240</t>
  </si>
  <si>
    <t>18-1883701</t>
  </si>
  <si>
    <t>18-1870868</t>
  </si>
  <si>
    <t>19-1887646</t>
  </si>
  <si>
    <t>19-1887963</t>
  </si>
  <si>
    <t>19-1895895</t>
  </si>
  <si>
    <t>19-1896009</t>
  </si>
  <si>
    <t>19-1899522</t>
  </si>
  <si>
    <t>19-1899937</t>
  </si>
  <si>
    <t>18-1882568</t>
  </si>
  <si>
    <t>18-1880164</t>
  </si>
  <si>
    <t>18-1882243</t>
  </si>
  <si>
    <t>18-1885579</t>
  </si>
  <si>
    <t>19-1891154</t>
  </si>
  <si>
    <t>19-1899829</t>
  </si>
  <si>
    <t>19-1900993</t>
  </si>
  <si>
    <t>18-1875929</t>
  </si>
  <si>
    <t>18-1885944</t>
  </si>
  <si>
    <t>18-1855553</t>
  </si>
  <si>
    <t>19-1892361</t>
  </si>
  <si>
    <t>19-1888148</t>
  </si>
  <si>
    <t>18-1883112</t>
  </si>
  <si>
    <t>19-1892068</t>
  </si>
  <si>
    <t>19-1895755</t>
  </si>
  <si>
    <t>19-1897431</t>
  </si>
  <si>
    <t>19-1901989</t>
  </si>
  <si>
    <t>19-1897447</t>
  </si>
  <si>
    <t>19-1889254</t>
  </si>
  <si>
    <t>19-1899749</t>
  </si>
  <si>
    <t>19-1897637</t>
  </si>
  <si>
    <t>19-1901986</t>
  </si>
  <si>
    <t>19-1889208</t>
  </si>
  <si>
    <t>19-1897435</t>
  </si>
  <si>
    <t>19-1900474</t>
  </si>
  <si>
    <t>18-1872507</t>
  </si>
  <si>
    <t>18-1882807</t>
  </si>
  <si>
    <t>18-1882438</t>
  </si>
  <si>
    <t>18-1885059</t>
  </si>
  <si>
    <t>18-1878390</t>
  </si>
  <si>
    <t>18-1884756</t>
  </si>
  <si>
    <t>18-1880540</t>
  </si>
  <si>
    <t>18-1885146</t>
  </si>
  <si>
    <t>18-1884424</t>
  </si>
  <si>
    <t>19-1897751</t>
  </si>
  <si>
    <t>17-1853639</t>
  </si>
  <si>
    <t>19-1891647</t>
  </si>
  <si>
    <t>18-1885153</t>
  </si>
  <si>
    <t>18-1876050</t>
  </si>
  <si>
    <t>18-1872358</t>
  </si>
  <si>
    <t>18-1885507</t>
  </si>
  <si>
    <t>18-1879909</t>
  </si>
  <si>
    <t>19-1890347</t>
  </si>
  <si>
    <t>19-1891702</t>
  </si>
  <si>
    <t>18-1876453</t>
  </si>
  <si>
    <t>18-1880585</t>
  </si>
  <si>
    <t>18-1883370</t>
  </si>
  <si>
    <t>18-1882312</t>
  </si>
  <si>
    <t>19-1888883</t>
  </si>
  <si>
    <t>19-1887528</t>
  </si>
  <si>
    <t>18-1885402</t>
  </si>
  <si>
    <t>18-1885922</t>
  </si>
  <si>
    <t>19-1893447</t>
  </si>
  <si>
    <t>19-1893451</t>
  </si>
  <si>
    <t>19-1900129</t>
  </si>
  <si>
    <t>19-1891410</t>
  </si>
  <si>
    <t>19-1891056</t>
  </si>
  <si>
    <t>19-1891194</t>
  </si>
  <si>
    <t>19-1891409</t>
  </si>
  <si>
    <t>19-1899868</t>
  </si>
  <si>
    <t>19-1902778</t>
  </si>
  <si>
    <t>19-1898061</t>
  </si>
  <si>
    <t>19-1893170</t>
  </si>
  <si>
    <t>18-1877348</t>
  </si>
  <si>
    <t>18-1879584</t>
  </si>
  <si>
    <t>18-1884797</t>
  </si>
  <si>
    <t>18-1886237</t>
  </si>
  <si>
    <t>18-1885398</t>
  </si>
  <si>
    <t>18-1880819</t>
  </si>
  <si>
    <t>19-1888441</t>
  </si>
  <si>
    <t>18-1885575</t>
  </si>
  <si>
    <t>18-1880671</t>
  </si>
  <si>
    <t>18-1879985</t>
  </si>
  <si>
    <t>18-1876986</t>
  </si>
  <si>
    <t>18-1877731</t>
  </si>
  <si>
    <t>18-1872441</t>
  </si>
  <si>
    <t>18-1885719</t>
  </si>
  <si>
    <t>18-1882518</t>
  </si>
  <si>
    <t>18-1877738</t>
  </si>
  <si>
    <t>19-1888489</t>
  </si>
  <si>
    <t>18-1879814</t>
  </si>
  <si>
    <t>19-1899751</t>
  </si>
  <si>
    <t>18-1881179</t>
  </si>
  <si>
    <t>18-1882020</t>
  </si>
  <si>
    <t>18-1882024</t>
  </si>
  <si>
    <t>19-1889081</t>
  </si>
  <si>
    <t>19-1887657</t>
  </si>
  <si>
    <t>18-1875176</t>
  </si>
  <si>
    <t>18-1880588</t>
  </si>
  <si>
    <t>18-1876805</t>
  </si>
  <si>
    <t>18-1882662</t>
  </si>
  <si>
    <t>18-1881486</t>
  </si>
  <si>
    <t>18-1883103</t>
  </si>
  <si>
    <t>18-1872583</t>
  </si>
  <si>
    <t>18-1872059</t>
  </si>
  <si>
    <t>18-1876389</t>
  </si>
  <si>
    <t>18-1881489</t>
  </si>
  <si>
    <t>18-1883130</t>
  </si>
  <si>
    <t>18-1876802</t>
  </si>
  <si>
    <t>18-1882289</t>
  </si>
  <si>
    <t>18-1877861</t>
  </si>
  <si>
    <t>19-1899066</t>
  </si>
  <si>
    <t>19-1893538</t>
  </si>
  <si>
    <t>19-1891375</t>
  </si>
  <si>
    <t>19-1888910</t>
  </si>
  <si>
    <t>19-1891385</t>
  </si>
  <si>
    <t>19-1899537</t>
  </si>
  <si>
    <t>19-1892375</t>
  </si>
  <si>
    <t>18-1885374</t>
  </si>
  <si>
    <t>18-1874673</t>
  </si>
  <si>
    <t>18-1884635</t>
  </si>
  <si>
    <t>19-1892284</t>
  </si>
  <si>
    <t>19-1901229</t>
  </si>
  <si>
    <t>18-1886583</t>
  </si>
  <si>
    <t>18-1881097</t>
  </si>
  <si>
    <t>18-1871020</t>
  </si>
  <si>
    <t>18-1877569</t>
  </si>
  <si>
    <t>18-1874636</t>
  </si>
  <si>
    <t>18-1881834</t>
  </si>
  <si>
    <t>18-1869962</t>
  </si>
  <si>
    <t>18-1872463</t>
  </si>
  <si>
    <t>18-1875656</t>
  </si>
  <si>
    <t>18-1873294</t>
  </si>
  <si>
    <t>18-1876704</t>
  </si>
  <si>
    <t>18-1886350</t>
  </si>
  <si>
    <t>18-1876697</t>
  </si>
  <si>
    <t>18-1870264</t>
  </si>
  <si>
    <t>18-1877830</t>
  </si>
  <si>
    <t>18-1872283</t>
  </si>
  <si>
    <t>19-1888054</t>
  </si>
  <si>
    <t>19-1900560</t>
  </si>
  <si>
    <t>18-1877140</t>
  </si>
  <si>
    <t>18-1874661</t>
  </si>
  <si>
    <t>18-1872452</t>
  </si>
  <si>
    <t>18-1878954</t>
  </si>
  <si>
    <t>19-1900553</t>
  </si>
  <si>
    <t>19-1895077</t>
  </si>
  <si>
    <t>18-1866053</t>
  </si>
  <si>
    <t>18-1882276</t>
  </si>
  <si>
    <t>19-1887387</t>
  </si>
  <si>
    <t>18-1882883</t>
  </si>
  <si>
    <t>19-1893509</t>
  </si>
  <si>
    <t>19-1892729</t>
  </si>
  <si>
    <t>19-1892457</t>
  </si>
  <si>
    <t>19-1892480</t>
  </si>
  <si>
    <t>18-1886089</t>
  </si>
  <si>
    <t>18-1878029</t>
  </si>
  <si>
    <t>19-1891519</t>
  </si>
  <si>
    <t>18-1863313</t>
  </si>
  <si>
    <t>18-1877784</t>
  </si>
  <si>
    <t>18-1876787</t>
  </si>
  <si>
    <t>18-1873573</t>
  </si>
  <si>
    <t>19-1893393</t>
  </si>
  <si>
    <t>19-1893389</t>
  </si>
  <si>
    <t>19-1889049</t>
  </si>
  <si>
    <t>19-1902350</t>
  </si>
  <si>
    <t>18-1881478</t>
  </si>
  <si>
    <t>19-1901238</t>
  </si>
  <si>
    <t>18-1885676</t>
  </si>
  <si>
    <t>18-1882713</t>
  </si>
  <si>
    <t>18-1878082</t>
  </si>
  <si>
    <t>18-1874229</t>
  </si>
  <si>
    <t>18-1871057</t>
  </si>
  <si>
    <t>18-1872231</t>
  </si>
  <si>
    <t>19-1888208</t>
  </si>
  <si>
    <t>19-1892320</t>
  </si>
  <si>
    <t>19-1891900</t>
  </si>
  <si>
    <t>19-1902630</t>
  </si>
  <si>
    <t>18-1874524</t>
  </si>
  <si>
    <t>18-1873011</t>
  </si>
  <si>
    <t>18-1881819</t>
  </si>
  <si>
    <t>18-1867775</t>
  </si>
  <si>
    <t>19-1890302</t>
  </si>
  <si>
    <t>19-1891346</t>
  </si>
  <si>
    <t>19-1891344</t>
  </si>
  <si>
    <t>18-1874975</t>
  </si>
  <si>
    <t>17-0832363</t>
  </si>
  <si>
    <t>19-1891306</t>
  </si>
  <si>
    <t>19-1896446</t>
  </si>
  <si>
    <t>19-1901257</t>
  </si>
  <si>
    <t>18-1877831</t>
  </si>
  <si>
    <t>18-1871668</t>
  </si>
  <si>
    <t>18-1883471</t>
  </si>
  <si>
    <t>19-1887013</t>
  </si>
  <si>
    <t>18-1882290</t>
  </si>
  <si>
    <t>19-1901417</t>
  </si>
  <si>
    <t>18-1871354</t>
  </si>
  <si>
    <t>19-1900700</t>
  </si>
  <si>
    <t>19-1896324</t>
  </si>
  <si>
    <t>19-1898803</t>
  </si>
  <si>
    <t>19-1900433</t>
  </si>
  <si>
    <t>18-1885738</t>
  </si>
  <si>
    <t>19-1902208</t>
  </si>
  <si>
    <t>18-1883936</t>
  </si>
  <si>
    <t>18-1885736</t>
  </si>
  <si>
    <t>18-1879642</t>
  </si>
  <si>
    <t>18-1869143</t>
  </si>
  <si>
    <t>18-1871556</t>
  </si>
  <si>
    <t>18-1862752</t>
  </si>
  <si>
    <t>18-1873798</t>
  </si>
  <si>
    <t>18-1875668</t>
  </si>
  <si>
    <t>18-1877309</t>
  </si>
  <si>
    <t>18-1885320</t>
  </si>
  <si>
    <t>18-1885838</t>
  </si>
  <si>
    <t>19-1902063</t>
  </si>
  <si>
    <t>18-1872309</t>
  </si>
  <si>
    <t>19-1899272</t>
  </si>
  <si>
    <t>19-1891000</t>
  </si>
  <si>
    <t>19-1904000</t>
  </si>
  <si>
    <t>19-1902439</t>
  </si>
  <si>
    <t>19-1898899</t>
  </si>
  <si>
    <t>19-1900978</t>
  </si>
  <si>
    <t>19-1899826</t>
  </si>
  <si>
    <t>18-1874671</t>
  </si>
  <si>
    <t>18-1866060</t>
  </si>
  <si>
    <t>19-1898112</t>
  </si>
  <si>
    <t>18-1878913</t>
  </si>
  <si>
    <t>19-1895732</t>
  </si>
  <si>
    <t>19-1897179</t>
  </si>
  <si>
    <t>19-1897175</t>
  </si>
  <si>
    <t>18-1882730</t>
  </si>
  <si>
    <t>19-1904533</t>
  </si>
  <si>
    <t>19-1892359</t>
  </si>
  <si>
    <t>19-1894582</t>
  </si>
  <si>
    <t>19-1893083</t>
  </si>
  <si>
    <t>19-1899187</t>
  </si>
  <si>
    <t>18-1876348</t>
  </si>
  <si>
    <t>18-1877040</t>
  </si>
  <si>
    <t>19-1897089</t>
  </si>
  <si>
    <t>19-1888809</t>
  </si>
  <si>
    <t>19-1901098</t>
  </si>
  <si>
    <t>18-1863308</t>
  </si>
  <si>
    <t>19-1903017</t>
  </si>
  <si>
    <t>18-1866864</t>
  </si>
  <si>
    <t>19-1900587</t>
  </si>
  <si>
    <t>18-1873531</t>
  </si>
  <si>
    <t>18-1878299</t>
  </si>
  <si>
    <t>19-1898073</t>
  </si>
  <si>
    <t>18-1878888</t>
  </si>
  <si>
    <t>19-1899798</t>
  </si>
  <si>
    <t>19-1900058</t>
  </si>
  <si>
    <t>19-1898437</t>
  </si>
  <si>
    <t>19-1901128</t>
  </si>
  <si>
    <t>18-1876936</t>
  </si>
  <si>
    <t>19-1899191</t>
  </si>
  <si>
    <t>18-1872141</t>
  </si>
  <si>
    <t>19-1898095</t>
  </si>
  <si>
    <t>19-1895822</t>
  </si>
  <si>
    <t>19-1895829</t>
  </si>
  <si>
    <t>18-1885182</t>
  </si>
  <si>
    <t>19-1900606</t>
  </si>
  <si>
    <t>18-1871273</t>
  </si>
  <si>
    <t>19-1889519</t>
  </si>
  <si>
    <t>18-1878613</t>
  </si>
  <si>
    <t>19-1898553</t>
  </si>
  <si>
    <t>19-1899837</t>
  </si>
  <si>
    <t>18-1885539</t>
  </si>
  <si>
    <t>19-1899153</t>
  </si>
  <si>
    <t>18-1880842</t>
  </si>
  <si>
    <t>19-1903309</t>
  </si>
  <si>
    <t>18-1874063</t>
  </si>
  <si>
    <t>19-1898442</t>
  </si>
  <si>
    <t>19-1897584</t>
  </si>
  <si>
    <t>19-1892604</t>
  </si>
  <si>
    <t>19-1900594</t>
  </si>
  <si>
    <t>19-1892594</t>
  </si>
  <si>
    <t>18-1877117</t>
  </si>
  <si>
    <t>19-1887074</t>
  </si>
  <si>
    <t>18-1873030</t>
  </si>
  <si>
    <t>19-1887081</t>
  </si>
  <si>
    <t>19-1888079</t>
  </si>
  <si>
    <t>18-1883813</t>
  </si>
  <si>
    <t>19-1887235</t>
  </si>
  <si>
    <t>19-1894701</t>
  </si>
  <si>
    <t>18-1882714</t>
  </si>
  <si>
    <t>18-1885749</t>
  </si>
  <si>
    <t>18-1882709</t>
  </si>
  <si>
    <t>18-1885444</t>
  </si>
  <si>
    <t>18-1881908</t>
  </si>
  <si>
    <t>18-1875266</t>
  </si>
  <si>
    <t>18-1874710</t>
  </si>
  <si>
    <t>18-1884207</t>
  </si>
  <si>
    <t>18-1885581</t>
  </si>
  <si>
    <t>18-1886091</t>
  </si>
  <si>
    <t>18-1874297</t>
  </si>
  <si>
    <t>18-1880614</t>
  </si>
  <si>
    <t>18-1882565</t>
  </si>
  <si>
    <t>18-1894068</t>
  </si>
  <si>
    <t>19-1894073</t>
  </si>
  <si>
    <t>19-1894071</t>
  </si>
  <si>
    <t>18-1880927</t>
  </si>
  <si>
    <t>18-1884045</t>
  </si>
  <si>
    <t>18-1884681</t>
  </si>
  <si>
    <t>19-1890123</t>
  </si>
  <si>
    <t>18-1874329</t>
  </si>
  <si>
    <t>18-1872575</t>
  </si>
  <si>
    <t>18-1857086</t>
  </si>
  <si>
    <t>19-1892728</t>
  </si>
  <si>
    <t>19-1900969</t>
  </si>
  <si>
    <t>19-1897620</t>
  </si>
  <si>
    <t>19-1904439</t>
  </si>
  <si>
    <t>19-1904817</t>
  </si>
  <si>
    <t>19-1893266</t>
  </si>
  <si>
    <t>19-1903788</t>
  </si>
  <si>
    <t>19-1896228</t>
  </si>
  <si>
    <t>18-1877456</t>
  </si>
  <si>
    <t>19-1895714</t>
  </si>
  <si>
    <t>19-1896222</t>
  </si>
  <si>
    <t>19-1898939</t>
  </si>
  <si>
    <t>18-1881008</t>
  </si>
  <si>
    <t>18-1883614</t>
  </si>
  <si>
    <t>18-1878905</t>
  </si>
  <si>
    <t>18-1881801</t>
  </si>
  <si>
    <t>19-1904006</t>
  </si>
  <si>
    <t>19-1895329</t>
  </si>
  <si>
    <t>18-1871503</t>
  </si>
  <si>
    <t>18-1881114</t>
  </si>
  <si>
    <t>18-1866488</t>
  </si>
  <si>
    <t>19-1899592</t>
  </si>
  <si>
    <t>18-1884117</t>
  </si>
  <si>
    <t>19-1898960</t>
  </si>
  <si>
    <t>19-1898956</t>
  </si>
  <si>
    <t>18-1872666</t>
  </si>
  <si>
    <t>19-1898667</t>
  </si>
  <si>
    <t>19-1899885</t>
  </si>
  <si>
    <t>19-1895933</t>
  </si>
  <si>
    <t>17-1851528</t>
  </si>
  <si>
    <t>18-1877708</t>
  </si>
  <si>
    <t>18-1875260</t>
  </si>
  <si>
    <t>19-1887315</t>
  </si>
  <si>
    <t>18-1886615</t>
  </si>
  <si>
    <t>18-1880408</t>
  </si>
  <si>
    <t>18-1872608</t>
  </si>
  <si>
    <t>18-1872532</t>
  </si>
  <si>
    <t>18-1883248</t>
  </si>
  <si>
    <t>18-1878687</t>
  </si>
  <si>
    <t>19-1896785</t>
  </si>
  <si>
    <t>19-1891393</t>
  </si>
  <si>
    <t>19-1891395</t>
  </si>
  <si>
    <t>18-1885061</t>
  </si>
  <si>
    <t>18-1882906</t>
  </si>
  <si>
    <t>19-1901495</t>
  </si>
  <si>
    <t>19-1890235</t>
  </si>
  <si>
    <t>18-1885994</t>
  </si>
  <si>
    <t>18-1875542</t>
  </si>
  <si>
    <t>19-1895189</t>
  </si>
  <si>
    <t>19-1896282</t>
  </si>
  <si>
    <t>19-1897794</t>
  </si>
  <si>
    <t>19-1888423</t>
  </si>
  <si>
    <t>19-1900608</t>
  </si>
  <si>
    <t>19-1903490</t>
  </si>
  <si>
    <t>18-1883473</t>
  </si>
  <si>
    <t>19-1899842</t>
  </si>
  <si>
    <t>18-1886679</t>
  </si>
  <si>
    <t>18-1882699</t>
  </si>
  <si>
    <t>19-1891537</t>
  </si>
  <si>
    <t>19-1890017</t>
  </si>
  <si>
    <t>18-1861206</t>
  </si>
  <si>
    <t>19-1903881</t>
  </si>
  <si>
    <t>18-1872385</t>
  </si>
  <si>
    <t>19-1887018</t>
  </si>
  <si>
    <t>18-1878072</t>
  </si>
  <si>
    <t>18-1873476</t>
  </si>
  <si>
    <t>18-1873123</t>
  </si>
  <si>
    <t>18-1864271</t>
  </si>
  <si>
    <t>19-1899824</t>
  </si>
  <si>
    <t>18-1882340</t>
  </si>
  <si>
    <t>18-1866458</t>
  </si>
  <si>
    <t>18-1885977</t>
  </si>
  <si>
    <t>18-1879651</t>
  </si>
  <si>
    <t>19-1893391</t>
  </si>
  <si>
    <t>18-1885751</t>
  </si>
  <si>
    <t>18-1884607</t>
  </si>
  <si>
    <t>18-1872536</t>
  </si>
  <si>
    <t>18-1874650</t>
  </si>
  <si>
    <t>18-1881294</t>
  </si>
  <si>
    <t>18-1884755</t>
  </si>
  <si>
    <t>18-1886508</t>
  </si>
  <si>
    <t>18-1875216</t>
  </si>
  <si>
    <t>19-1894727</t>
  </si>
  <si>
    <t>19-1895194</t>
  </si>
  <si>
    <t>19-1889312</t>
  </si>
  <si>
    <t>19-1889882</t>
  </si>
  <si>
    <t>17-1846660</t>
  </si>
  <si>
    <t>19-1891108</t>
  </si>
  <si>
    <t>18-1875806</t>
  </si>
  <si>
    <t>18-1877511</t>
  </si>
  <si>
    <t>19-1895962</t>
  </si>
  <si>
    <t>19-1888681</t>
  </si>
  <si>
    <t>19-1896270</t>
  </si>
  <si>
    <t>19-1897145</t>
  </si>
  <si>
    <t>19-1895534</t>
  </si>
  <si>
    <t>19-1897591</t>
  </si>
  <si>
    <t>18-1885042</t>
  </si>
  <si>
    <t>18-1885045</t>
  </si>
  <si>
    <t>19-1892251</t>
  </si>
  <si>
    <t>18-1872588</t>
  </si>
  <si>
    <t>18-1877587</t>
  </si>
  <si>
    <t>19-1895470</t>
  </si>
  <si>
    <t>19-1895467</t>
  </si>
  <si>
    <t>19-1902483</t>
  </si>
  <si>
    <t>18-1874579</t>
  </si>
  <si>
    <t>19-1889136</t>
  </si>
  <si>
    <t>18-1882221</t>
  </si>
  <si>
    <t>18-1877938</t>
  </si>
  <si>
    <t>18-1874084</t>
  </si>
  <si>
    <t>18-1884301</t>
  </si>
  <si>
    <t>18-1877654</t>
  </si>
  <si>
    <t>18-1882850</t>
  </si>
  <si>
    <t>19-1888138</t>
  </si>
  <si>
    <t>18-1874704</t>
  </si>
  <si>
    <t>18-1876457</t>
  </si>
  <si>
    <t>18-1876334</t>
  </si>
  <si>
    <t>19-1898119</t>
  </si>
  <si>
    <t>19-1892712</t>
  </si>
  <si>
    <t>18-1860004</t>
  </si>
  <si>
    <t>19-1893351</t>
  </si>
  <si>
    <t>19-1889309</t>
  </si>
  <si>
    <t>19-1894904</t>
  </si>
  <si>
    <t>19-1894291</t>
  </si>
  <si>
    <t>19-1902471</t>
  </si>
  <si>
    <t>19-1899120</t>
  </si>
  <si>
    <t>19-1887998</t>
  </si>
  <si>
    <t>18-1884699</t>
  </si>
  <si>
    <t>18-1880203</t>
  </si>
  <si>
    <t>19-1894185</t>
  </si>
  <si>
    <t>19-1889313</t>
  </si>
  <si>
    <t>19-1900574</t>
  </si>
  <si>
    <t>18-1885608</t>
  </si>
  <si>
    <t>19-1889603</t>
  </si>
  <si>
    <t>19-1887304</t>
  </si>
  <si>
    <t>18-1860318</t>
  </si>
  <si>
    <t>18-1876811</t>
  </si>
  <si>
    <t>18-1886108</t>
  </si>
  <si>
    <t>18-1876810</t>
  </si>
  <si>
    <t>18-1872469</t>
  </si>
  <si>
    <t>18-1886359</t>
  </si>
  <si>
    <t>19-1897803</t>
  </si>
  <si>
    <t>19-1895557</t>
  </si>
  <si>
    <t>18-1877225</t>
  </si>
  <si>
    <t>18-1860309</t>
  </si>
  <si>
    <t>18-1883424</t>
  </si>
  <si>
    <t>18-1872494</t>
  </si>
  <si>
    <t>19-1898707</t>
  </si>
  <si>
    <t>19-1889861</t>
  </si>
  <si>
    <t>19-1889917</t>
  </si>
  <si>
    <t>19-1900159</t>
  </si>
  <si>
    <t>19-1893440</t>
  </si>
  <si>
    <t>19-1892967</t>
  </si>
  <si>
    <t>19-1886947</t>
  </si>
  <si>
    <t>19-1901624</t>
  </si>
  <si>
    <t>19-1898967</t>
  </si>
  <si>
    <t>19-1893763</t>
  </si>
  <si>
    <t>18-1873845</t>
  </si>
  <si>
    <t>19-1902767</t>
  </si>
  <si>
    <t>19-1891140</t>
  </si>
  <si>
    <t>19-1900025</t>
  </si>
  <si>
    <t>19-1888376</t>
  </si>
  <si>
    <t>19-1898185</t>
  </si>
  <si>
    <t>19-1890810</t>
  </si>
  <si>
    <t>19-1890798</t>
  </si>
  <si>
    <t>19-1890807</t>
  </si>
  <si>
    <t>19-1889539</t>
  </si>
  <si>
    <t>19-1892085</t>
  </si>
  <si>
    <t>19-1892080</t>
  </si>
  <si>
    <t>18-1875192</t>
  </si>
  <si>
    <t>19-1887069</t>
  </si>
  <si>
    <t>19-1887065</t>
  </si>
  <si>
    <t>19-1887063</t>
  </si>
  <si>
    <t>19-1894609</t>
  </si>
  <si>
    <t>19-1897148</t>
  </si>
  <si>
    <t>18-1882553</t>
  </si>
  <si>
    <t>19-1890808</t>
  </si>
  <si>
    <t>19-1896960</t>
  </si>
  <si>
    <t>19-1902028</t>
  </si>
  <si>
    <t>19-1902026</t>
  </si>
  <si>
    <t>18-1885141</t>
  </si>
  <si>
    <t>18-1860590</t>
  </si>
  <si>
    <t>18-1881390</t>
  </si>
  <si>
    <t>19-1887694</t>
  </si>
  <si>
    <t>19-1899195</t>
  </si>
  <si>
    <t>18-1873016</t>
  </si>
  <si>
    <t>18-1872542</t>
  </si>
  <si>
    <t>18-1875076</t>
  </si>
  <si>
    <t>18-1867777</t>
  </si>
  <si>
    <t>18-1880430</t>
  </si>
  <si>
    <t>18-1878265</t>
  </si>
  <si>
    <t>18-1886664</t>
  </si>
  <si>
    <t>18-1881813</t>
  </si>
  <si>
    <t>18-1868131</t>
  </si>
  <si>
    <t>18-1882955</t>
  </si>
  <si>
    <t>18-1871489</t>
  </si>
  <si>
    <t>19-1887119</t>
  </si>
  <si>
    <t>18-1886107</t>
  </si>
  <si>
    <t>19-1896200</t>
  </si>
  <si>
    <t>18-1877371</t>
  </si>
  <si>
    <t>18-1878708</t>
  </si>
  <si>
    <t>19-1901246</t>
  </si>
  <si>
    <t>18-1873755</t>
  </si>
  <si>
    <t>18-1866290</t>
  </si>
  <si>
    <t>18-1871492</t>
  </si>
  <si>
    <t>19-1895050</t>
  </si>
  <si>
    <t>18-1871037</t>
  </si>
  <si>
    <t>18-1883668</t>
  </si>
  <si>
    <t>18-1881449</t>
  </si>
  <si>
    <t>19-1896498</t>
  </si>
  <si>
    <t>19-1890026</t>
  </si>
  <si>
    <t>19-1894094</t>
  </si>
  <si>
    <t>19-1889124</t>
  </si>
  <si>
    <t>19-1902207</t>
  </si>
  <si>
    <t>18-1879874</t>
  </si>
  <si>
    <t>18-1871868</t>
  </si>
  <si>
    <t>18-1875570</t>
  </si>
  <si>
    <t>18-1874056</t>
  </si>
  <si>
    <t>18-1874697</t>
  </si>
  <si>
    <t>18-1881598</t>
  </si>
  <si>
    <t>18-1880942</t>
  </si>
  <si>
    <t>18-1885139</t>
  </si>
  <si>
    <t>18-1885142</t>
  </si>
  <si>
    <t>18-1880120</t>
  </si>
  <si>
    <t>19-1899389</t>
  </si>
  <si>
    <t>18-1881670</t>
  </si>
  <si>
    <t>18-1882190</t>
  </si>
  <si>
    <t>18-1885286</t>
  </si>
  <si>
    <t>19-1892356</t>
  </si>
  <si>
    <t>19-1903493</t>
  </si>
  <si>
    <t>18-1881411</t>
  </si>
  <si>
    <t>19-1901243</t>
  </si>
  <si>
    <t>18-1878288</t>
  </si>
  <si>
    <t>18-1872408</t>
  </si>
  <si>
    <t>19-1887292</t>
  </si>
  <si>
    <t>18-1877323</t>
  </si>
  <si>
    <t>19-1899623</t>
  </si>
  <si>
    <t>19-1895304</t>
  </si>
  <si>
    <t>19-1893382</t>
  </si>
  <si>
    <t>19-1887570</t>
  </si>
  <si>
    <t>18-1881323</t>
  </si>
  <si>
    <t>18-1886304</t>
  </si>
  <si>
    <t>19-1891100</t>
  </si>
  <si>
    <t>19-1895443</t>
  </si>
  <si>
    <t>19-1889466</t>
  </si>
  <si>
    <t>18-1875367</t>
  </si>
  <si>
    <t>19-1889425</t>
  </si>
  <si>
    <t>18-1872323</t>
  </si>
  <si>
    <t>18-1873835</t>
  </si>
  <si>
    <t>18-1871565</t>
  </si>
  <si>
    <t>19-1892836</t>
  </si>
  <si>
    <t>19-1900520</t>
  </si>
  <si>
    <t>19-1896375</t>
  </si>
  <si>
    <t>19-1891532</t>
  </si>
  <si>
    <t>19-1891359</t>
  </si>
  <si>
    <t>19-1891355</t>
  </si>
  <si>
    <t>19-1891354</t>
  </si>
  <si>
    <t>19-1891373</t>
  </si>
  <si>
    <t>19-1893500</t>
  </si>
  <si>
    <t>19-1893565</t>
  </si>
  <si>
    <t>19-1901265</t>
  </si>
  <si>
    <t>19-1889043</t>
  </si>
  <si>
    <t>19-1900038</t>
  </si>
  <si>
    <t>19-1889066</t>
  </si>
  <si>
    <t>19-1900452</t>
  </si>
  <si>
    <t>19-1894211</t>
  </si>
  <si>
    <t>19-1900540</t>
  </si>
  <si>
    <t>18-1877574</t>
  </si>
  <si>
    <t>19-1894943</t>
  </si>
  <si>
    <t>18-1880596</t>
  </si>
  <si>
    <t>18-1886690</t>
  </si>
  <si>
    <t>18-1877313</t>
  </si>
  <si>
    <t>18-1886593</t>
  </si>
  <si>
    <t>18-1874030</t>
  </si>
  <si>
    <t>18-1886637</t>
  </si>
  <si>
    <t>18-1872981</t>
  </si>
  <si>
    <t>18-1886222</t>
  </si>
  <si>
    <t>18-1880947</t>
  </si>
  <si>
    <t>18-1875189</t>
  </si>
  <si>
    <t>18-1884456</t>
  </si>
  <si>
    <t>18-1885677</t>
  </si>
  <si>
    <t>19-1901324</t>
  </si>
  <si>
    <t>19-1895440</t>
  </si>
  <si>
    <t>19-1901313</t>
  </si>
  <si>
    <t>18-1867711</t>
  </si>
  <si>
    <t>19-1902666</t>
  </si>
  <si>
    <t>18-1884968</t>
  </si>
  <si>
    <t>18-1874289</t>
  </si>
  <si>
    <t>18-1874717</t>
  </si>
  <si>
    <t>18-1874719</t>
  </si>
  <si>
    <t>18-1873098</t>
  </si>
  <si>
    <t>18-1885564</t>
  </si>
  <si>
    <t>18-1883803</t>
  </si>
  <si>
    <t>18-1874049</t>
  </si>
  <si>
    <t>18-1882478</t>
  </si>
  <si>
    <t>18-1880801</t>
  </si>
  <si>
    <t>18-1882185</t>
  </si>
  <si>
    <t>18-1890467</t>
  </si>
  <si>
    <t>19-1890504</t>
  </si>
  <si>
    <t>18-1882610</t>
  </si>
  <si>
    <t>18-1886767</t>
  </si>
  <si>
    <t>18-1886503</t>
  </si>
  <si>
    <t>19-1890503</t>
  </si>
  <si>
    <t>18-1871925</t>
  </si>
  <si>
    <t>18-1870112</t>
  </si>
  <si>
    <t>18-1863643</t>
  </si>
  <si>
    <t>19-1900152</t>
  </si>
  <si>
    <t>19-1895840</t>
  </si>
  <si>
    <t>19-1895844</t>
  </si>
  <si>
    <t>19-1895977</t>
  </si>
  <si>
    <t>18-1884677</t>
  </si>
  <si>
    <t>18-1884673</t>
  </si>
  <si>
    <t>19-1899675</t>
  </si>
  <si>
    <t>18-1869644</t>
  </si>
  <si>
    <t>18-1880914</t>
  </si>
  <si>
    <t>18-1885716</t>
  </si>
  <si>
    <t>18-1884355</t>
  </si>
  <si>
    <t>19-1895196</t>
  </si>
  <si>
    <t>18-1882352</t>
  </si>
  <si>
    <t>18-1882747</t>
  </si>
  <si>
    <t>18-1865436</t>
  </si>
  <si>
    <t>18-1882070</t>
  </si>
  <si>
    <t>18-1883938</t>
  </si>
  <si>
    <t>19-1903020</t>
  </si>
  <si>
    <t>18-1868430</t>
  </si>
  <si>
    <t>18-1877651</t>
  </si>
  <si>
    <t>18-1880305</t>
  </si>
  <si>
    <t>18-1880351</t>
  </si>
  <si>
    <t>19-1891460</t>
  </si>
  <si>
    <t>19-1890177</t>
  </si>
  <si>
    <t>18-1875659</t>
  </si>
  <si>
    <t>19-1891216</t>
  </si>
  <si>
    <t>19-1895274</t>
  </si>
  <si>
    <t>19-1890366</t>
  </si>
  <si>
    <t>19-1898822</t>
  </si>
  <si>
    <t>18-1875835</t>
  </si>
  <si>
    <t>18-1878816</t>
  </si>
  <si>
    <t>18-1874017</t>
  </si>
  <si>
    <t>19-1896717</t>
  </si>
  <si>
    <t>19-1896713</t>
  </si>
  <si>
    <t>19-1898384</t>
  </si>
  <si>
    <t>19-1900613</t>
  </si>
  <si>
    <t>18-1875703</t>
  </si>
  <si>
    <t>18-1879855</t>
  </si>
  <si>
    <t>18-1876256</t>
  </si>
  <si>
    <t>19-1891213</t>
  </si>
  <si>
    <t>18-1874460</t>
  </si>
  <si>
    <t>18-1885377</t>
  </si>
  <si>
    <t>19-1894371</t>
  </si>
  <si>
    <t>18-1879421</t>
  </si>
  <si>
    <t>18-1874036</t>
  </si>
  <si>
    <t>19-1889678</t>
  </si>
  <si>
    <t>19-1901242</t>
  </si>
  <si>
    <t>18-1879146</t>
  </si>
  <si>
    <t>19-1888492</t>
  </si>
  <si>
    <t>18-1878269</t>
  </si>
  <si>
    <t>18-1871510</t>
  </si>
  <si>
    <t>18-1886391</t>
  </si>
  <si>
    <t>19-1888825</t>
  </si>
  <si>
    <t>18-1874611</t>
  </si>
  <si>
    <t>18-1877546</t>
  </si>
  <si>
    <t>18-1876323</t>
  </si>
  <si>
    <t>19-1897956</t>
  </si>
  <si>
    <t>18-1886204</t>
  </si>
  <si>
    <t>18-1880616</t>
  </si>
  <si>
    <t>18-1872462</t>
  </si>
  <si>
    <t>19-1903272</t>
  </si>
  <si>
    <t>19-1900463</t>
  </si>
  <si>
    <t>19-1891939</t>
  </si>
  <si>
    <t>19-1895660</t>
  </si>
  <si>
    <t>19-1895966</t>
  </si>
  <si>
    <t>19-1896160</t>
  </si>
  <si>
    <t>19-1896172</t>
  </si>
  <si>
    <t>18-1880916</t>
  </si>
  <si>
    <t>19-1903544</t>
  </si>
  <si>
    <t>19-1900930</t>
  </si>
  <si>
    <t>18-1875865</t>
  </si>
  <si>
    <t>18-1883827</t>
  </si>
  <si>
    <t>18-1873786</t>
  </si>
  <si>
    <t>18-1874712</t>
  </si>
  <si>
    <t>18-1877570</t>
  </si>
  <si>
    <t>19-1900547</t>
  </si>
  <si>
    <t>19-1897232</t>
  </si>
  <si>
    <t>19-1897235</t>
  </si>
  <si>
    <t>19-1899812</t>
  </si>
  <si>
    <t>19-1893923</t>
  </si>
  <si>
    <t>19-1892391</t>
  </si>
  <si>
    <t>19-1895973</t>
  </si>
  <si>
    <t>19-1894712</t>
  </si>
  <si>
    <t>18-1879221</t>
  </si>
  <si>
    <t>18-1885567</t>
  </si>
  <si>
    <t>18-1881605</t>
  </si>
  <si>
    <t>18-1886111</t>
  </si>
  <si>
    <t>18-1885138</t>
  </si>
  <si>
    <t>19-1893494</t>
  </si>
  <si>
    <t>18-1872427</t>
  </si>
  <si>
    <t>19-1898325</t>
  </si>
  <si>
    <t>19-1895342</t>
  </si>
  <si>
    <t>19-1898941</t>
  </si>
  <si>
    <t>19-1889400</t>
  </si>
  <si>
    <t>18-1876135</t>
  </si>
  <si>
    <t>18-1875882</t>
  </si>
  <si>
    <t>18-1886233</t>
  </si>
  <si>
    <t>19-1887980</t>
  </si>
  <si>
    <t>18-1872259</t>
  </si>
  <si>
    <t>18-1884536</t>
  </si>
  <si>
    <t>19-1891897</t>
  </si>
  <si>
    <t>19-1889777</t>
  </si>
  <si>
    <t>19-1891890</t>
  </si>
  <si>
    <t>19-1888987</t>
  </si>
  <si>
    <t>18-1876234</t>
  </si>
  <si>
    <t>18-1884060</t>
  </si>
  <si>
    <t>19-1895764</t>
  </si>
  <si>
    <t>19-1890992</t>
  </si>
  <si>
    <t>19-1894261</t>
  </si>
  <si>
    <t>19-1902340</t>
  </si>
  <si>
    <t>19-1898099</t>
  </si>
  <si>
    <t>19-1903497</t>
  </si>
  <si>
    <t>19-1904276</t>
  </si>
  <si>
    <t>19-1895338</t>
  </si>
  <si>
    <t>19-1899912</t>
  </si>
  <si>
    <t>18-1880387</t>
  </si>
  <si>
    <t>18-1873831</t>
  </si>
  <si>
    <t>18-1875321</t>
  </si>
  <si>
    <t>18-1882686</t>
  </si>
  <si>
    <t>18-1881291</t>
  </si>
  <si>
    <t>18-1875437</t>
  </si>
  <si>
    <t>18-1885569</t>
  </si>
  <si>
    <t>18-1882685</t>
  </si>
  <si>
    <t>19-1891971</t>
  </si>
  <si>
    <t>18-1881794</t>
  </si>
  <si>
    <t>19-1900664</t>
  </si>
  <si>
    <t>19-1893909</t>
  </si>
  <si>
    <t>19-1899947</t>
  </si>
  <si>
    <t>18-1877030</t>
  </si>
  <si>
    <t>18-1886385</t>
  </si>
  <si>
    <t>18-1879989</t>
  </si>
  <si>
    <t>18-1880847</t>
  </si>
  <si>
    <t>19-1892301</t>
  </si>
  <si>
    <t>19-1892734</t>
  </si>
  <si>
    <t>18-1872457</t>
  </si>
  <si>
    <t>18-1883833</t>
  </si>
  <si>
    <t>18-1872229</t>
  </si>
  <si>
    <t>18-1872745</t>
  </si>
  <si>
    <t>19-1893742</t>
  </si>
  <si>
    <t>19-1904257</t>
  </si>
  <si>
    <t>19-1895320</t>
  </si>
  <si>
    <t>18-1857547</t>
  </si>
  <si>
    <t>19-1891916</t>
  </si>
  <si>
    <t>18-1878637</t>
  </si>
  <si>
    <t>18-1878647</t>
  </si>
  <si>
    <t>18-1878651</t>
  </si>
  <si>
    <t>19-1893340</t>
  </si>
  <si>
    <t>19-1902775</t>
  </si>
  <si>
    <t>19-1901820</t>
  </si>
  <si>
    <t>18-1879356</t>
  </si>
  <si>
    <t>18-1872562</t>
  </si>
  <si>
    <t>19-1901440</t>
  </si>
  <si>
    <t>19-1892541</t>
  </si>
  <si>
    <t>19-1894446</t>
  </si>
  <si>
    <t>19-1894534</t>
  </si>
  <si>
    <t>19-1894028</t>
  </si>
  <si>
    <t>18-1885956</t>
  </si>
  <si>
    <t>18-1870401</t>
  </si>
  <si>
    <t>18-1876951</t>
  </si>
  <si>
    <t>18-1875971</t>
  </si>
  <si>
    <t>19-1904076</t>
  </si>
  <si>
    <t>18-1873325</t>
  </si>
  <si>
    <t>18-1879049</t>
  </si>
  <si>
    <t>18-1879051</t>
  </si>
  <si>
    <t>18-1879052</t>
  </si>
  <si>
    <t>18-1880302</t>
  </si>
  <si>
    <t>18-1883259</t>
  </si>
  <si>
    <t>19-1889161</t>
  </si>
  <si>
    <t>19-1892489</t>
  </si>
  <si>
    <t>19-1902990</t>
  </si>
  <si>
    <t>19-1898591</t>
  </si>
  <si>
    <t>19-1888687</t>
  </si>
  <si>
    <t>19-1893990</t>
  </si>
  <si>
    <t>19-1902219</t>
  </si>
  <si>
    <t>19-1893820</t>
  </si>
  <si>
    <t>18-1882939</t>
  </si>
  <si>
    <t>19-1900382</t>
  </si>
  <si>
    <t>18-1879434</t>
  </si>
  <si>
    <t>19-1889089</t>
  </si>
  <si>
    <t>18-1873682</t>
  </si>
  <si>
    <t>19-1897899</t>
  </si>
  <si>
    <t>18-1877897</t>
  </si>
  <si>
    <t>18-1871808</t>
  </si>
  <si>
    <t>18-1882682</t>
  </si>
  <si>
    <t>18-1870938</t>
  </si>
  <si>
    <t>18-1882659</t>
  </si>
  <si>
    <t>18-1882299</t>
  </si>
  <si>
    <t>19-1887937</t>
  </si>
  <si>
    <t>18-1878781</t>
  </si>
  <si>
    <t>18-1871387</t>
  </si>
  <si>
    <t>18-1875869</t>
  </si>
  <si>
    <t>18-1877706</t>
  </si>
  <si>
    <t>18-1882936</t>
  </si>
  <si>
    <t>18-1877106</t>
  </si>
  <si>
    <t>19-1900440</t>
  </si>
  <si>
    <t>19-1899225</t>
  </si>
  <si>
    <t>19-1896408</t>
  </si>
  <si>
    <t>18-1873148</t>
  </si>
  <si>
    <t>18-1879536</t>
  </si>
  <si>
    <t>18-1877003</t>
  </si>
  <si>
    <t>19-1891605</t>
  </si>
  <si>
    <t>19-1890585</t>
  </si>
  <si>
    <t>19-1902749</t>
  </si>
  <si>
    <t>19-1901211</t>
  </si>
  <si>
    <t>19-1897413</t>
  </si>
  <si>
    <t>19-1898386</t>
  </si>
  <si>
    <t>19-1897816</t>
  </si>
  <si>
    <t>19-1901004</t>
  </si>
  <si>
    <t>19-1902440</t>
  </si>
  <si>
    <t>19-1898383</t>
  </si>
  <si>
    <t>18-1881329</t>
  </si>
  <si>
    <t>18-1874442</t>
  </si>
  <si>
    <t>19-1888518</t>
  </si>
  <si>
    <t>18-1875523</t>
  </si>
  <si>
    <t>19-1892166</t>
  </si>
  <si>
    <t>19-1891986</t>
  </si>
  <si>
    <t>18-1875858</t>
  </si>
  <si>
    <t>18-1884147</t>
  </si>
  <si>
    <t>19-1901723</t>
  </si>
  <si>
    <t>18-1877510</t>
  </si>
  <si>
    <t>19-1900420</t>
  </si>
  <si>
    <t>19-1888349</t>
  </si>
  <si>
    <t>18-1882252</t>
  </si>
  <si>
    <t>19-1902423</t>
  </si>
  <si>
    <t>19-1900722</t>
  </si>
  <si>
    <t>19-1889877</t>
  </si>
  <si>
    <t>19-1895811</t>
  </si>
  <si>
    <t>19-1895817</t>
  </si>
  <si>
    <t>18-1874705</t>
  </si>
  <si>
    <t>18-1869551</t>
  </si>
  <si>
    <t>19-1899588</t>
  </si>
  <si>
    <t>18-1872412</t>
  </si>
  <si>
    <t>18-1881226</t>
  </si>
  <si>
    <t>18-1880682</t>
  </si>
  <si>
    <t>19-1899297</t>
  </si>
  <si>
    <t>19-1889697</t>
  </si>
  <si>
    <t>18-1878536</t>
  </si>
  <si>
    <t>19-1888303</t>
  </si>
  <si>
    <t>19-1897797</t>
  </si>
  <si>
    <t>19-1903614</t>
  </si>
  <si>
    <t>19-1895312</t>
  </si>
  <si>
    <t>18-1881235</t>
  </si>
  <si>
    <t>19-1890689</t>
  </si>
  <si>
    <t>19-1904239</t>
  </si>
  <si>
    <t>19-1895385</t>
  </si>
  <si>
    <t>19-1900567</t>
  </si>
  <si>
    <t>19-1904223</t>
  </si>
  <si>
    <t>18-1873214</t>
  </si>
  <si>
    <t>19-1891624</t>
  </si>
  <si>
    <t>19-1890637</t>
  </si>
  <si>
    <t>19-1895803</t>
  </si>
  <si>
    <t>19-1895808</t>
  </si>
  <si>
    <t>19-1892495</t>
  </si>
  <si>
    <t>19-1890618</t>
  </si>
  <si>
    <t>19-1895477</t>
  </si>
  <si>
    <t>19-1895463</t>
  </si>
  <si>
    <t>18-1882015</t>
  </si>
  <si>
    <t>18-1876512</t>
  </si>
  <si>
    <t>18-1884560</t>
  </si>
  <si>
    <t>19-1899161</t>
  </si>
  <si>
    <t>18-1880323</t>
  </si>
  <si>
    <t>18-1872225</t>
  </si>
  <si>
    <t>19-1891682</t>
  </si>
  <si>
    <t>19-1901968</t>
  </si>
  <si>
    <t>19-1891715</t>
  </si>
  <si>
    <t>18-1876855</t>
  </si>
  <si>
    <t>18-1876857</t>
  </si>
  <si>
    <t>19-1891688</t>
  </si>
  <si>
    <t>18-1881708</t>
  </si>
  <si>
    <t>18-1884940</t>
  </si>
  <si>
    <t>18-1881710</t>
  </si>
  <si>
    <t>19-1893434</t>
  </si>
  <si>
    <t>19-1890363</t>
  </si>
  <si>
    <t>19-1891718</t>
  </si>
  <si>
    <t>18-1869794</t>
  </si>
  <si>
    <t>18-1873258</t>
  </si>
  <si>
    <t>19-1892124</t>
  </si>
  <si>
    <t>18-1873746</t>
  </si>
  <si>
    <t>19-1887550</t>
  </si>
  <si>
    <t>18-1884939</t>
  </si>
  <si>
    <t>18-1880702</t>
  </si>
  <si>
    <t>18-1863782</t>
  </si>
  <si>
    <t>18-1864898</t>
  </si>
  <si>
    <t>18-1873153</t>
  </si>
  <si>
    <t>18-1871844</t>
  </si>
  <si>
    <t>18-1879898</t>
  </si>
  <si>
    <t>18-1867788</t>
  </si>
  <si>
    <t>18-1876008</t>
  </si>
  <si>
    <t>19-1902194</t>
  </si>
  <si>
    <t>19-1900602</t>
  </si>
  <si>
    <t>18-1879944</t>
  </si>
  <si>
    <t>18-1872328</t>
  </si>
  <si>
    <t>19-1895258</t>
  </si>
  <si>
    <t>19-1903999</t>
  </si>
  <si>
    <t>19-1895629</t>
  </si>
  <si>
    <t>19-1900984</t>
  </si>
  <si>
    <t>19-1902030</t>
  </si>
  <si>
    <t>19-1900103</t>
  </si>
  <si>
    <t>18-1884993</t>
  </si>
  <si>
    <t>18-1886444</t>
  </si>
  <si>
    <t>18-1886536</t>
  </si>
  <si>
    <t>19-1901217</t>
  </si>
  <si>
    <t>18-1861899</t>
  </si>
  <si>
    <t>19-1895929</t>
  </si>
  <si>
    <t>19-1887097</t>
  </si>
  <si>
    <t>19-1900691</t>
  </si>
  <si>
    <t>18-1883360</t>
  </si>
  <si>
    <t>18-1873795</t>
  </si>
  <si>
    <t>18-1873265</t>
  </si>
  <si>
    <t>19-1899846</t>
  </si>
  <si>
    <t>19-1896837</t>
  </si>
  <si>
    <t>19-1900813</t>
  </si>
  <si>
    <t>18-1873222</t>
  </si>
  <si>
    <t>18-1873224</t>
  </si>
  <si>
    <t>18-1875252</t>
  </si>
  <si>
    <t>19-1894711</t>
  </si>
  <si>
    <t>19-1896120</t>
  </si>
  <si>
    <t>18-1872615</t>
  </si>
  <si>
    <t>18-1874233</t>
  </si>
  <si>
    <t>19-1886968</t>
  </si>
  <si>
    <t>19-1900693</t>
  </si>
  <si>
    <t>19-1891871</t>
  </si>
  <si>
    <t>19-1890572</t>
  </si>
  <si>
    <t>19-1898818</t>
  </si>
  <si>
    <t>18-1880060</t>
  </si>
  <si>
    <t>19-1902199</t>
  </si>
  <si>
    <t>19-1903496</t>
  </si>
  <si>
    <t>18-1886622</t>
  </si>
  <si>
    <t>19-1889508</t>
  </si>
  <si>
    <t>18-1877540</t>
  </si>
  <si>
    <t>18-1886574</t>
  </si>
  <si>
    <t>18-1872604</t>
  </si>
  <si>
    <t>18-1874396</t>
  </si>
  <si>
    <t>19-1901019</t>
  </si>
  <si>
    <t>18-1882161</t>
  </si>
  <si>
    <t>18-1867470</t>
  </si>
  <si>
    <t>18-1883176</t>
  </si>
  <si>
    <t>18-1880681</t>
  </si>
  <si>
    <t>18-1877960</t>
  </si>
  <si>
    <t>18-1885589</t>
  </si>
  <si>
    <t>19-1891698</t>
  </si>
  <si>
    <t>19-1892005</t>
  </si>
  <si>
    <t>18-1880776</t>
  </si>
  <si>
    <t>19-1901181</t>
  </si>
  <si>
    <t>19-1898805</t>
  </si>
  <si>
    <t>18-1882142</t>
  </si>
  <si>
    <t>18-1880693</t>
  </si>
  <si>
    <t>19-1900631</t>
  </si>
  <si>
    <t>18-1882164</t>
  </si>
  <si>
    <t>18-1886128</t>
  </si>
  <si>
    <t>18-1875857</t>
  </si>
  <si>
    <t>18-1890431</t>
  </si>
  <si>
    <t>19-1890441</t>
  </si>
  <si>
    <t>19-1890433</t>
  </si>
  <si>
    <t>18-1881268</t>
  </si>
  <si>
    <t>19-1897061</t>
  </si>
  <si>
    <t>17-1849721</t>
  </si>
  <si>
    <t>19-1888399</t>
  </si>
  <si>
    <t>19-1893322</t>
  </si>
  <si>
    <t>19-1893312</t>
  </si>
  <si>
    <t>19-1899661</t>
  </si>
  <si>
    <t>19-1890547</t>
  </si>
  <si>
    <t>18-1878313</t>
  </si>
  <si>
    <t>19-1889030</t>
  </si>
  <si>
    <t>19-1889954</t>
  </si>
  <si>
    <t>18-1876963</t>
  </si>
  <si>
    <t>19-1895315</t>
  </si>
  <si>
    <t>19-1889980</t>
  </si>
  <si>
    <t>19-1898973</t>
  </si>
  <si>
    <t>19-1895560</t>
  </si>
  <si>
    <t>18-1877180</t>
  </si>
  <si>
    <t>19-1891717</t>
  </si>
  <si>
    <t>18-1875602</t>
  </si>
  <si>
    <t>18-1875562</t>
  </si>
  <si>
    <t>19-1903983</t>
  </si>
  <si>
    <t>19-1895303</t>
  </si>
  <si>
    <t>19-1900641</t>
  </si>
  <si>
    <t>18-1876715</t>
  </si>
  <si>
    <t>18-1876718</t>
  </si>
  <si>
    <t>19-1888896</t>
  </si>
  <si>
    <t>18-1886688</t>
  </si>
  <si>
    <t>19-1894836</t>
  </si>
  <si>
    <t>19-1895413</t>
  </si>
  <si>
    <t>19-1899366</t>
  </si>
  <si>
    <t>19-1891835</t>
  </si>
  <si>
    <t>19-1891826</t>
  </si>
  <si>
    <t>18-1879323</t>
  </si>
  <si>
    <t>18-1875983</t>
  </si>
  <si>
    <t>18-1880618</t>
  </si>
  <si>
    <t>18-1875210</t>
  </si>
  <si>
    <t>18-1875679</t>
  </si>
  <si>
    <t>18-1881667</t>
  </si>
  <si>
    <t>18-1875483</t>
  </si>
  <si>
    <t>18-1883696</t>
  </si>
  <si>
    <t>18-1876143</t>
  </si>
  <si>
    <t>18-1880273</t>
  </si>
  <si>
    <t>19-1903704</t>
  </si>
  <si>
    <t>19-1900983</t>
  </si>
  <si>
    <t>19-1900677</t>
  </si>
  <si>
    <t>18-1884541</t>
  </si>
  <si>
    <t>18-1880089</t>
  </si>
  <si>
    <t>18-1873362</t>
  </si>
  <si>
    <t>19-1897091</t>
  </si>
  <si>
    <t>19-1897102</t>
  </si>
  <si>
    <t>18-1875209</t>
  </si>
  <si>
    <t>18-1882511</t>
  </si>
  <si>
    <t>19-1889610</t>
  </si>
  <si>
    <t>18-1886734</t>
  </si>
  <si>
    <t>19-1890827</t>
  </si>
  <si>
    <t>18-1885027</t>
  </si>
  <si>
    <t>18-1885020</t>
  </si>
  <si>
    <t>19-1894821</t>
  </si>
  <si>
    <t>18-1875683</t>
  </si>
  <si>
    <t>19-1889370</t>
  </si>
  <si>
    <t>19-1903393</t>
  </si>
  <si>
    <t>19-1895278</t>
  </si>
  <si>
    <t>19-1902260</t>
  </si>
  <si>
    <t>18-1884698</t>
  </si>
  <si>
    <t>18-1872357</t>
  </si>
  <si>
    <t>18-1870199</t>
  </si>
  <si>
    <t>19-1891872</t>
  </si>
  <si>
    <t>19-1890579</t>
  </si>
  <si>
    <t>19-1902651</t>
  </si>
  <si>
    <t>19-1900617</t>
  </si>
  <si>
    <t>18-1881597</t>
  </si>
  <si>
    <t>18-1866708</t>
  </si>
  <si>
    <t>18-1875272</t>
  </si>
  <si>
    <t>19-1891859</t>
  </si>
  <si>
    <t>19-1890540</t>
  </si>
  <si>
    <t>18-1884601</t>
  </si>
  <si>
    <t>19-1902738</t>
  </si>
  <si>
    <t>18-1880274</t>
  </si>
  <si>
    <t>18-1886018</t>
  </si>
  <si>
    <t>18-1880272</t>
  </si>
  <si>
    <t>18-1876894</t>
  </si>
  <si>
    <t>19-1891660</t>
  </si>
  <si>
    <t>19-1891635</t>
  </si>
  <si>
    <t>18-1878945</t>
  </si>
  <si>
    <t>19-1901185</t>
  </si>
  <si>
    <t>19-1887522</t>
  </si>
  <si>
    <t>19-1894414</t>
  </si>
  <si>
    <t>18-1885560</t>
  </si>
  <si>
    <t>18-1878486</t>
  </si>
  <si>
    <t>19-1891324</t>
  </si>
  <si>
    <t>19-1888629</t>
  </si>
  <si>
    <t>19-1888601</t>
  </si>
  <si>
    <t>19-1891319</t>
  </si>
  <si>
    <t>19-1900037</t>
  </si>
  <si>
    <t>18-1880163</t>
  </si>
  <si>
    <t>18-1877261</t>
  </si>
  <si>
    <t>18-1880686</t>
  </si>
  <si>
    <t>18-1886037</t>
  </si>
  <si>
    <t>18-1879126</t>
  </si>
  <si>
    <t>18-1874885</t>
  </si>
  <si>
    <t>18-1885156</t>
  </si>
  <si>
    <t>18-1872923</t>
  </si>
  <si>
    <t>18-1871201</t>
  </si>
  <si>
    <t>18-1873418</t>
  </si>
  <si>
    <t>18-1874072</t>
  </si>
  <si>
    <t>18-1871016</t>
  </si>
  <si>
    <t>18-1882836</t>
  </si>
  <si>
    <t>19-1900672</t>
  </si>
  <si>
    <t>19-1892748</t>
  </si>
  <si>
    <t>18-1881696</t>
  </si>
  <si>
    <t>18-1875551</t>
  </si>
  <si>
    <t>19-1897727</t>
  </si>
  <si>
    <t>19-1888152</t>
  </si>
  <si>
    <t>18-1874218</t>
  </si>
  <si>
    <t>18-1874407</t>
  </si>
  <si>
    <t>19-1898372</t>
  </si>
  <si>
    <t>19-1892034</t>
  </si>
  <si>
    <t>19-1902417</t>
  </si>
  <si>
    <t>19-1899896</t>
  </si>
  <si>
    <t>19-1898451</t>
  </si>
  <si>
    <t>19-1894638</t>
  </si>
  <si>
    <t>19-1894656</t>
  </si>
  <si>
    <t>19-1895658</t>
  </si>
  <si>
    <t>19-1900996</t>
  </si>
  <si>
    <t>19-1899509</t>
  </si>
  <si>
    <t>19-1896146</t>
  </si>
  <si>
    <t>18-1877969</t>
  </si>
  <si>
    <t>18-1873972</t>
  </si>
  <si>
    <t>19-1898480</t>
  </si>
  <si>
    <t>18-1885383</t>
  </si>
  <si>
    <t>18-1875022</t>
  </si>
  <si>
    <t>19-1888395</t>
  </si>
  <si>
    <t>18-1872878</t>
  </si>
  <si>
    <t>18-1875938</t>
  </si>
  <si>
    <t>18-1876436</t>
  </si>
  <si>
    <t>19-1890375</t>
  </si>
  <si>
    <t>19-1893966</t>
  </si>
  <si>
    <t>18-1876564</t>
  </si>
  <si>
    <t>18-1873379</t>
  </si>
  <si>
    <t>19-1897359</t>
  </si>
  <si>
    <t>19-1887529</t>
  </si>
  <si>
    <t>19-1893733</t>
  </si>
  <si>
    <t>19-1889595</t>
  </si>
  <si>
    <t>19-1889808</t>
  </si>
  <si>
    <t>19-1893152</t>
  </si>
  <si>
    <t>19-1902753</t>
  </si>
  <si>
    <t>19-1896386</t>
  </si>
  <si>
    <t>19-1897717</t>
  </si>
  <si>
    <t>19-1899275</t>
  </si>
  <si>
    <t>18-1882667</t>
  </si>
  <si>
    <t>19-1900522</t>
  </si>
  <si>
    <t>18-1881643</t>
  </si>
  <si>
    <t>18-1877819</t>
  </si>
  <si>
    <t>18-1877823</t>
  </si>
  <si>
    <t>18-1882891</t>
  </si>
  <si>
    <t>18-1875726</t>
  </si>
  <si>
    <t>18-1866809</t>
  </si>
  <si>
    <t>18-1879361</t>
  </si>
  <si>
    <t>18-1875110</t>
  </si>
  <si>
    <t>18-1880673</t>
  </si>
  <si>
    <t>18-1886104</t>
  </si>
  <si>
    <t>19-1899962</t>
  </si>
  <si>
    <t>18-1885679</t>
  </si>
  <si>
    <t>18-1886582</t>
  </si>
  <si>
    <t>18-1879510</t>
  </si>
  <si>
    <t>18-1881829</t>
  </si>
  <si>
    <t>19-1893767</t>
  </si>
  <si>
    <t>18-1882165</t>
  </si>
  <si>
    <t>19-1888604</t>
  </si>
  <si>
    <t>19-1897898</t>
  </si>
  <si>
    <t>02/16/2019</t>
  </si>
  <si>
    <t>03/06/2018</t>
  </si>
  <si>
    <t>05/21/2018</t>
  </si>
  <si>
    <t>05/22/2018</t>
  </si>
  <si>
    <t>09/26/2016</t>
  </si>
  <si>
    <t>05/24/2018</t>
  </si>
  <si>
    <t>05/16/2018</t>
  </si>
  <si>
    <t>11/21/2017</t>
  </si>
  <si>
    <t>04/09/2018</t>
  </si>
  <si>
    <t>02/20/2018</t>
  </si>
  <si>
    <t>02/17/2019</t>
  </si>
  <si>
    <t>08/17/2018</t>
  </si>
  <si>
    <t>07/25/2018</t>
  </si>
  <si>
    <t>06/21/2018</t>
  </si>
  <si>
    <t>05/02/2017</t>
  </si>
  <si>
    <t>07/03/2017</t>
  </si>
  <si>
    <t>04/27/2018</t>
  </si>
  <si>
    <t>03/27/2017</t>
  </si>
  <si>
    <t>01/24/2018</t>
  </si>
  <si>
    <t>04/26/2018</t>
  </si>
  <si>
    <t>03/28/2018</t>
  </si>
  <si>
    <t>04/04/2017</t>
  </si>
  <si>
    <t>03/26/2018</t>
  </si>
  <si>
    <t>11/18/2018</t>
  </si>
  <si>
    <t>11/03/2018</t>
  </si>
  <si>
    <t>07/06/2017</t>
  </si>
  <si>
    <t>09/29/2018</t>
  </si>
  <si>
    <t>04/18/2017</t>
  </si>
  <si>
    <t>01/05/2019</t>
  </si>
  <si>
    <t>05/31/2018</t>
  </si>
  <si>
    <t>07/09/2018</t>
  </si>
  <si>
    <t>06/29/2018</t>
  </si>
  <si>
    <t>06/01/2018</t>
  </si>
  <si>
    <t>12/18/2019</t>
  </si>
  <si>
    <t>08/10/2018</t>
  </si>
  <si>
    <t>01/19/2018</t>
  </si>
  <si>
    <t>09/11/2017</t>
  </si>
  <si>
    <t>03/29/2018</t>
  </si>
  <si>
    <t>04/02/2018</t>
  </si>
  <si>
    <t>06/08/2018</t>
  </si>
  <si>
    <t>12/15/2018</t>
  </si>
  <si>
    <t>01/06/2017</t>
  </si>
  <si>
    <t>06/30/2016</t>
  </si>
  <si>
    <t>06/26/2018</t>
  </si>
  <si>
    <t>03/01/2018</t>
  </si>
  <si>
    <t>06/06/2018</t>
  </si>
  <si>
    <t>05/30/2018</t>
  </si>
  <si>
    <t>01/27/2019</t>
  </si>
  <si>
    <t>03/31/2016</t>
  </si>
  <si>
    <t>06/06/2017</t>
  </si>
  <si>
    <t>11/23/2016</t>
  </si>
  <si>
    <t>04/16/2018</t>
  </si>
  <si>
    <t>04/03/2018</t>
  </si>
  <si>
    <t>11/17/2018</t>
  </si>
  <si>
    <t>06/07/2018</t>
  </si>
  <si>
    <t>07/11/2017</t>
  </si>
  <si>
    <t>04/18/2018</t>
  </si>
  <si>
    <t>05/15/2018</t>
  </si>
  <si>
    <t>04/26/2017</t>
  </si>
  <si>
    <t>05/02/2018</t>
  </si>
  <si>
    <t>11/21/2018</t>
  </si>
  <si>
    <t>01/09/2018</t>
  </si>
  <si>
    <t>12/21/2017</t>
  </si>
  <si>
    <t>06/14/2018</t>
  </si>
  <si>
    <t>06/18/2018</t>
  </si>
  <si>
    <t>03/27/2019</t>
  </si>
  <si>
    <t>04/30/2018</t>
  </si>
  <si>
    <t>05/18/2018</t>
  </si>
  <si>
    <t>04/07/2017</t>
  </si>
  <si>
    <t>06/05/2018</t>
  </si>
  <si>
    <t>05/01/2018</t>
  </si>
  <si>
    <t>05/09/2018</t>
  </si>
  <si>
    <t>05/04/2018</t>
  </si>
  <si>
    <t>11/17/2017</t>
  </si>
  <si>
    <t>04/11/2018</t>
  </si>
  <si>
    <t>09/21/2017</t>
  </si>
  <si>
    <t>02/27/2018</t>
  </si>
  <si>
    <t>02/12/2019</t>
  </si>
  <si>
    <t>03/05/2018</t>
  </si>
  <si>
    <t>02/11/2018</t>
  </si>
  <si>
    <t>04/24/2018</t>
  </si>
  <si>
    <t>05/29/2018</t>
  </si>
  <si>
    <t>08/19/2018</t>
  </si>
  <si>
    <t>11/04/2018</t>
  </si>
  <si>
    <t>06/19/2018</t>
  </si>
  <si>
    <t>06/12/2018</t>
  </si>
  <si>
    <t>04/06/2018</t>
  </si>
  <si>
    <t>03/19/2018</t>
  </si>
  <si>
    <t>10/26/2017</t>
  </si>
  <si>
    <t>05/08/2018</t>
  </si>
  <si>
    <t>06/28/2018</t>
  </si>
  <si>
    <t>09/03/2018</t>
  </si>
  <si>
    <t>19-1891038</t>
  </si>
  <si>
    <t>19-1901479</t>
  </si>
  <si>
    <t>19-1899003</t>
  </si>
  <si>
    <t>18-1885580</t>
  </si>
  <si>
    <t>18-1886259</t>
  </si>
  <si>
    <t>18-1876689</t>
  </si>
  <si>
    <t>18-1886102</t>
  </si>
  <si>
    <t>18-1876683</t>
  </si>
  <si>
    <t>19-1890898</t>
  </si>
  <si>
    <t>18-1876863</t>
  </si>
  <si>
    <t>18-1876929</t>
  </si>
  <si>
    <t>19-1887872</t>
  </si>
  <si>
    <t>19-1894728</t>
  </si>
  <si>
    <t>19-1892872</t>
  </si>
  <si>
    <t>19-1890309</t>
  </si>
  <si>
    <t>18-1881339</t>
  </si>
  <si>
    <t>18-1883662</t>
  </si>
  <si>
    <t>19-1899554</t>
  </si>
  <si>
    <t>19-1901212</t>
  </si>
  <si>
    <t>19-1888329</t>
  </si>
  <si>
    <t>18-1882115</t>
  </si>
  <si>
    <t>18-1885309</t>
  </si>
  <si>
    <t>18-1881520</t>
  </si>
  <si>
    <t>18-1874095</t>
  </si>
  <si>
    <t>18-1880333</t>
  </si>
  <si>
    <t>18-1871483</t>
  </si>
  <si>
    <t>18-1885304</t>
  </si>
  <si>
    <t>19-1896135</t>
  </si>
  <si>
    <t>19-1897227</t>
  </si>
  <si>
    <t>19-1895215</t>
  </si>
  <si>
    <t>19-1898933</t>
  </si>
  <si>
    <t>19-1898032</t>
  </si>
  <si>
    <t>18-1880726</t>
  </si>
  <si>
    <t>19-1890884</t>
  </si>
  <si>
    <t>19-1893537</t>
  </si>
  <si>
    <t>19-1892757</t>
  </si>
  <si>
    <t>18-1882669</t>
  </si>
  <si>
    <t>19-1902729</t>
  </si>
  <si>
    <t>19-1899226</t>
  </si>
  <si>
    <t>19-1900309</t>
  </si>
  <si>
    <t>18-1874586</t>
  </si>
  <si>
    <t>19-1897394</t>
  </si>
  <si>
    <t>19-1891952</t>
  </si>
  <si>
    <t>19-1889192</t>
  </si>
  <si>
    <t>18-1880061</t>
  </si>
  <si>
    <t>19-1889657</t>
  </si>
  <si>
    <t>18-1881903</t>
  </si>
  <si>
    <t>19-1887131</t>
  </si>
  <si>
    <t>18-1882435</t>
  </si>
  <si>
    <t>19-1896691</t>
  </si>
  <si>
    <t>19-1897124</t>
  </si>
  <si>
    <t>18-1882917</t>
  </si>
  <si>
    <t>19-1891259</t>
  </si>
  <si>
    <t>18-1884912</t>
  </si>
  <si>
    <t>18-1879532</t>
  </si>
  <si>
    <t>19-1896163</t>
  </si>
  <si>
    <t>18-1872714</t>
  </si>
  <si>
    <t>19-1896637</t>
  </si>
  <si>
    <t>18-1882131</t>
  </si>
  <si>
    <t>18-1883131</t>
  </si>
  <si>
    <t>18-1881618</t>
  </si>
  <si>
    <t>19-1895735</t>
  </si>
  <si>
    <t>18-1886336</t>
  </si>
  <si>
    <t>19-1887301</t>
  </si>
  <si>
    <t>18-1886203</t>
  </si>
  <si>
    <t>18-1873803</t>
  </si>
  <si>
    <t>18-1874744</t>
  </si>
  <si>
    <t>18-1882302</t>
  </si>
  <si>
    <t>18-1879125</t>
  </si>
  <si>
    <t>18-1880379</t>
  </si>
  <si>
    <t>18-1883573</t>
  </si>
  <si>
    <t>19-1889330</t>
  </si>
  <si>
    <t>19-1892699</t>
  </si>
  <si>
    <t>19-1894548</t>
  </si>
  <si>
    <t>19-1902269</t>
  </si>
  <si>
    <t>19-1896526</t>
  </si>
  <si>
    <t>18-1870838</t>
  </si>
  <si>
    <t>18-1881892</t>
  </si>
  <si>
    <t>19-1889837</t>
  </si>
  <si>
    <t>19-1894669</t>
  </si>
  <si>
    <t>19-1899115</t>
  </si>
  <si>
    <t>18-1883400</t>
  </si>
  <si>
    <t>18-1884061</t>
  </si>
  <si>
    <t>19-1902750</t>
  </si>
  <si>
    <t>19-1898008</t>
  </si>
  <si>
    <t>19-1900614</t>
  </si>
  <si>
    <t>18-1877700</t>
  </si>
  <si>
    <t>18-1877662</t>
  </si>
  <si>
    <t>18-1876892</t>
  </si>
  <si>
    <t>19-1896382</t>
  </si>
  <si>
    <t>18-1875625</t>
  </si>
  <si>
    <t>19-1891083</t>
  </si>
  <si>
    <t>18-1878793</t>
  </si>
  <si>
    <t>19-1887798</t>
  </si>
  <si>
    <t>19-1898897</t>
  </si>
  <si>
    <t>18-1875590</t>
  </si>
  <si>
    <t>18-1886471</t>
  </si>
  <si>
    <t>18-1873909</t>
  </si>
  <si>
    <t>19-1889424</t>
  </si>
  <si>
    <t>18-1878588</t>
  </si>
  <si>
    <t>18-1875244</t>
  </si>
  <si>
    <t>18-1872146</t>
  </si>
  <si>
    <t>18-1873432</t>
  </si>
  <si>
    <t>18-1873754</t>
  </si>
  <si>
    <t>19-1887762</t>
  </si>
  <si>
    <t>18-1882311</t>
  </si>
  <si>
    <t>18-1881125</t>
  </si>
  <si>
    <t>18-1880542</t>
  </si>
  <si>
    <t>19-1895909</t>
  </si>
  <si>
    <t>19-1894235</t>
  </si>
  <si>
    <t>18-1872640</t>
  </si>
  <si>
    <t>18-1884239</t>
  </si>
  <si>
    <t>18-1880340</t>
  </si>
  <si>
    <t>18-1869425</t>
  </si>
  <si>
    <t>19-1887450</t>
  </si>
  <si>
    <t>18-1877981</t>
  </si>
  <si>
    <t>18-1875217</t>
  </si>
  <si>
    <t>18-1879352</t>
  </si>
  <si>
    <t>18-1881509</t>
  </si>
  <si>
    <t>19-1903379</t>
  </si>
  <si>
    <t>18-1878798</t>
  </si>
  <si>
    <t>19-1900864</t>
  </si>
  <si>
    <t>18-1881194</t>
  </si>
  <si>
    <t>18-1885563</t>
  </si>
  <si>
    <t>19-1891492</t>
  </si>
  <si>
    <t>18-1870035</t>
  </si>
  <si>
    <t>18-1874385</t>
  </si>
  <si>
    <t>19-1901861</t>
  </si>
  <si>
    <t>18-1874940</t>
  </si>
  <si>
    <t>19-1894948</t>
  </si>
  <si>
    <t>18-1878213</t>
  </si>
  <si>
    <t>18-1880036</t>
  </si>
  <si>
    <t>18-1877760</t>
  </si>
  <si>
    <t>19-1896425</t>
  </si>
  <si>
    <t>19-1889626</t>
  </si>
  <si>
    <t>18-1882561</t>
  </si>
  <si>
    <t>18-1876282</t>
  </si>
  <si>
    <t>18-1879487</t>
  </si>
  <si>
    <t>19-1899511</t>
  </si>
  <si>
    <t>18-1869983</t>
  </si>
  <si>
    <t>19-1895185</t>
  </si>
  <si>
    <t>18-1885460</t>
  </si>
  <si>
    <t>18-1866254</t>
  </si>
  <si>
    <t>18-1879919</t>
  </si>
  <si>
    <t>18-1878187</t>
  </si>
  <si>
    <t>19-1890201</t>
  </si>
  <si>
    <t>18-1879340</t>
  </si>
  <si>
    <t>18-1885376</t>
  </si>
  <si>
    <t>18-1866186</t>
  </si>
  <si>
    <t>19-1900750</t>
  </si>
  <si>
    <t>19-1891533</t>
  </si>
  <si>
    <t>19-1895214</t>
  </si>
  <si>
    <t>18-1881279</t>
  </si>
  <si>
    <t>19-1899384</t>
  </si>
  <si>
    <t>18-1873162</t>
  </si>
  <si>
    <t>19-1887095</t>
  </si>
  <si>
    <t>18-1886611</t>
  </si>
  <si>
    <t>18-1870205</t>
  </si>
  <si>
    <t>19-1894682</t>
  </si>
  <si>
    <t>19-1896712</t>
  </si>
  <si>
    <t>18-1881967</t>
  </si>
  <si>
    <t>18-1874480</t>
  </si>
  <si>
    <t>18-1878440</t>
  </si>
  <si>
    <t>19-1886889</t>
  </si>
  <si>
    <t>18-1881691</t>
  </si>
  <si>
    <t>18-1875328</t>
  </si>
  <si>
    <t>19-1903835</t>
  </si>
  <si>
    <t>18-1881669</t>
  </si>
  <si>
    <t>18-1863697</t>
  </si>
  <si>
    <t>18-1877948</t>
  </si>
  <si>
    <t>18-1876949</t>
  </si>
  <si>
    <t>18-1875830</t>
  </si>
  <si>
    <t>18-1885393</t>
  </si>
  <si>
    <t>18-1881098</t>
  </si>
  <si>
    <t>19-1890304</t>
  </si>
  <si>
    <t>18-1881344</t>
  </si>
  <si>
    <t>18-1873550</t>
  </si>
  <si>
    <t>18-1883812</t>
  </si>
  <si>
    <t>17-1853765</t>
  </si>
  <si>
    <t>18-1873452</t>
  </si>
  <si>
    <t>19-1903424</t>
  </si>
  <si>
    <t>19-1903528</t>
  </si>
  <si>
    <t>19-1897121</t>
  </si>
  <si>
    <t>18-1885990</t>
  </si>
  <si>
    <t>19-1895890</t>
  </si>
  <si>
    <t>18-1866767</t>
  </si>
  <si>
    <t>18-1878422</t>
  </si>
  <si>
    <t>18-1877008</t>
  </si>
  <si>
    <t>18-1881019</t>
  </si>
  <si>
    <t>18-1879512</t>
  </si>
  <si>
    <t>19-1896674</t>
  </si>
  <si>
    <t>18-1879523</t>
  </si>
  <si>
    <t>18-1873907</t>
  </si>
  <si>
    <t>19-1887510</t>
  </si>
  <si>
    <t>18-1879466</t>
  </si>
  <si>
    <t>18-1876575</t>
  </si>
  <si>
    <t>19-1886920</t>
  </si>
  <si>
    <t>18-1863498</t>
  </si>
  <si>
    <t>19-1894615</t>
  </si>
  <si>
    <t>18-1885649</t>
  </si>
  <si>
    <t>18-1872251</t>
  </si>
  <si>
    <t>19-1899975</t>
  </si>
  <si>
    <t>18-1880650</t>
  </si>
  <si>
    <t>18-1875390</t>
  </si>
  <si>
    <t>18-1873770</t>
  </si>
  <si>
    <t>18-1880247</t>
  </si>
  <si>
    <t>19-1887246</t>
  </si>
  <si>
    <t>19-1896576</t>
  </si>
  <si>
    <t>18-1874137</t>
  </si>
  <si>
    <t>18-1882383</t>
  </si>
  <si>
    <t>18-1875043</t>
  </si>
  <si>
    <t>18-1873273</t>
  </si>
  <si>
    <t>18-1873617</t>
  </si>
  <si>
    <t>19-1900955</t>
  </si>
  <si>
    <t>18-1878640</t>
  </si>
  <si>
    <t>18-1872859</t>
  </si>
  <si>
    <t>18-1882916</t>
  </si>
  <si>
    <t>19-1902615</t>
  </si>
  <si>
    <t>19-1898093</t>
  </si>
  <si>
    <t>18-1878094</t>
  </si>
  <si>
    <t>19-1902289</t>
  </si>
  <si>
    <t>19-1895730</t>
  </si>
  <si>
    <t>18-1880140</t>
  </si>
  <si>
    <t>18-1874880</t>
  </si>
  <si>
    <t>18-1872513</t>
  </si>
  <si>
    <t>18-1878021</t>
  </si>
  <si>
    <t>19-1895229</t>
  </si>
  <si>
    <t>18-1880580</t>
  </si>
  <si>
    <t>18-1880507</t>
  </si>
  <si>
    <t>18-1880493</t>
  </si>
  <si>
    <t>18-1880080</t>
  </si>
  <si>
    <t>19-1896478</t>
  </si>
  <si>
    <t>19-1888717</t>
  </si>
  <si>
    <t>18-1880603</t>
  </si>
  <si>
    <t>19-1888474</t>
  </si>
  <si>
    <t>18-1883104</t>
  </si>
  <si>
    <t>19-1896462</t>
  </si>
  <si>
    <t>18-1878835</t>
  </si>
  <si>
    <t>18-1880665</t>
  </si>
  <si>
    <t>18-1885367</t>
  </si>
  <si>
    <t>18-1880546</t>
  </si>
  <si>
    <t>19-1899822</t>
  </si>
  <si>
    <t>18-1872683</t>
  </si>
  <si>
    <t>19-1889163</t>
  </si>
  <si>
    <t>18-1885571</t>
  </si>
  <si>
    <t>19-1888094</t>
  </si>
  <si>
    <t>18-1882304</t>
  </si>
  <si>
    <t>18-1876753</t>
  </si>
  <si>
    <t>19-1900776</t>
  </si>
  <si>
    <t>19-1891498</t>
  </si>
  <si>
    <t>19-1901364</t>
  </si>
  <si>
    <t>19-1898772</t>
  </si>
  <si>
    <t>18-1882501</t>
  </si>
  <si>
    <t>18-1881373</t>
  </si>
  <si>
    <t>18-1881932</t>
  </si>
  <si>
    <t>18-1880898</t>
  </si>
  <si>
    <t>18-1881096</t>
  </si>
  <si>
    <t>18-1881240</t>
  </si>
  <si>
    <t>18-1874438</t>
  </si>
  <si>
    <t>18-1872938</t>
  </si>
  <si>
    <t>18-1869957</t>
  </si>
  <si>
    <t>19-1898924</t>
  </si>
  <si>
    <t>18-1875314</t>
  </si>
  <si>
    <t>19-1893768</t>
  </si>
  <si>
    <t>18-1878682</t>
  </si>
  <si>
    <t>19-1897120</t>
  </si>
  <si>
    <t>19-1900576</t>
  </si>
  <si>
    <t>18-1875102</t>
  </si>
  <si>
    <t>18-1868578</t>
  </si>
  <si>
    <t>18-1872290</t>
  </si>
  <si>
    <t>18-1879187</t>
  </si>
  <si>
    <t>18-1872232</t>
  </si>
  <si>
    <t>18-1871030</t>
  </si>
  <si>
    <t>18-1880278</t>
  </si>
  <si>
    <t>18-1879295</t>
  </si>
  <si>
    <t>18-1871332</t>
  </si>
  <si>
    <t>18-1875020</t>
  </si>
  <si>
    <t>18-1878750</t>
  </si>
  <si>
    <t>18-1873954</t>
  </si>
  <si>
    <t>18-1881333</t>
  </si>
  <si>
    <t>18-1875269</t>
  </si>
  <si>
    <t>18-1878862</t>
  </si>
  <si>
    <t>19-1896561</t>
  </si>
  <si>
    <t>19-1892138</t>
  </si>
  <si>
    <t>18-1880516</t>
  </si>
  <si>
    <t>19-1896003</t>
  </si>
  <si>
    <t>18-1883227</t>
  </si>
  <si>
    <t>19-1902606</t>
  </si>
  <si>
    <t>19-1889730</t>
  </si>
  <si>
    <t>19-1892335</t>
  </si>
  <si>
    <t>19-1891772</t>
  </si>
  <si>
    <t>19-1893887</t>
  </si>
  <si>
    <t>19-1902273</t>
  </si>
  <si>
    <t>18-1878994</t>
  </si>
  <si>
    <t>18-1875885</t>
  </si>
  <si>
    <t>18-1873894</t>
  </si>
  <si>
    <t>18-1880283</t>
  </si>
  <si>
    <t>18-1877463</t>
  </si>
  <si>
    <t>18-1877995</t>
  </si>
  <si>
    <t>18-1879490</t>
  </si>
  <si>
    <t>19-1892877</t>
  </si>
  <si>
    <t>18-1871877</t>
  </si>
  <si>
    <t>18-1873284</t>
  </si>
  <si>
    <t>18-1883969</t>
  </si>
  <si>
    <t>19-1893460</t>
  </si>
  <si>
    <t>18-1876295</t>
  </si>
  <si>
    <t>19-1896815</t>
  </si>
  <si>
    <t>18-1863331</t>
  </si>
  <si>
    <t>18-1879115</t>
  </si>
  <si>
    <t>19-1904262</t>
  </si>
  <si>
    <t>19-1895348</t>
  </si>
  <si>
    <t>18-1878916</t>
  </si>
  <si>
    <t>18-1878919</t>
  </si>
  <si>
    <t>18-1878923</t>
  </si>
  <si>
    <t>18-1884304</t>
  </si>
  <si>
    <t>19-1891015</t>
  </si>
  <si>
    <t>19-1891007</t>
  </si>
  <si>
    <t>18-1866406</t>
  </si>
  <si>
    <t>18-1871674</t>
  </si>
  <si>
    <t>18-1874691</t>
  </si>
  <si>
    <t>18-1866069</t>
  </si>
  <si>
    <t>18-1878786</t>
  </si>
  <si>
    <t>18-1872795</t>
  </si>
  <si>
    <t>18-1884434</t>
  </si>
  <si>
    <t>19-1894799</t>
  </si>
  <si>
    <t>19-1893044</t>
  </si>
  <si>
    <t>18-1859332</t>
  </si>
  <si>
    <t>17-0827777</t>
  </si>
  <si>
    <t>19-1896358</t>
  </si>
  <si>
    <t>19-1901850</t>
  </si>
  <si>
    <t>18-1873195</t>
  </si>
  <si>
    <t>19-1902959</t>
  </si>
  <si>
    <t>18-1878223</t>
  </si>
  <si>
    <t>18-1874463</t>
  </si>
  <si>
    <t>19-1888301</t>
  </si>
  <si>
    <t>18-1873622</t>
  </si>
  <si>
    <t>19-1887178</t>
  </si>
  <si>
    <t>19-1897598</t>
  </si>
  <si>
    <t>18-1886701</t>
  </si>
  <si>
    <t>18-1876401</t>
  </si>
  <si>
    <t>19-1890266</t>
  </si>
  <si>
    <t>18-1886210</t>
  </si>
  <si>
    <t>18-1884534</t>
  </si>
  <si>
    <t>19-1895355</t>
  </si>
  <si>
    <t>18-1883912</t>
  </si>
  <si>
    <t>18-1875756</t>
  </si>
  <si>
    <t>18-1871581</t>
  </si>
  <si>
    <t>19-1888792</t>
  </si>
  <si>
    <t>19-1888975</t>
  </si>
  <si>
    <t>18-1874052</t>
  </si>
  <si>
    <t>19-1887728</t>
  </si>
  <si>
    <t>18-1863486</t>
  </si>
  <si>
    <t>18-1878616</t>
  </si>
  <si>
    <t>19-1887420</t>
  </si>
  <si>
    <t>19-1895111</t>
  </si>
  <si>
    <t>18-1885385</t>
  </si>
  <si>
    <t>18-1874714</t>
  </si>
  <si>
    <t>19-1887093</t>
  </si>
  <si>
    <t>19-1887040</t>
  </si>
  <si>
    <t>18-1883368</t>
  </si>
  <si>
    <t>19-1894817</t>
  </si>
  <si>
    <t>18-1871791</t>
  </si>
  <si>
    <t>19-1902821</t>
  </si>
  <si>
    <t>19-1887744</t>
  </si>
  <si>
    <t>18-1879590</t>
  </si>
  <si>
    <t>18-1875112</t>
  </si>
  <si>
    <t>18-1875714</t>
  </si>
  <si>
    <t>19-1895654</t>
  </si>
  <si>
    <t>19-1887322</t>
  </si>
  <si>
    <t>18-1873518</t>
  </si>
  <si>
    <t>19-1901369</t>
  </si>
  <si>
    <t>19-1900393</t>
  </si>
  <si>
    <t>19-1897127</t>
  </si>
  <si>
    <t>19-1899083</t>
  </si>
  <si>
    <t>18-1883535</t>
  </si>
  <si>
    <t>19-1895954</t>
  </si>
  <si>
    <t>19-1903011</t>
  </si>
  <si>
    <t>18-1870310</t>
  </si>
  <si>
    <t>18-1877644</t>
  </si>
  <si>
    <t>19-1890948</t>
  </si>
  <si>
    <t>19-1890939</t>
  </si>
  <si>
    <t>19-1890943</t>
  </si>
  <si>
    <t>19-1894374</t>
  </si>
  <si>
    <t>19-1894369</t>
  </si>
  <si>
    <t>19-1888003</t>
  </si>
  <si>
    <t>19-1892508</t>
  </si>
  <si>
    <t>19-1892505</t>
  </si>
  <si>
    <t>19-1895025</t>
  </si>
  <si>
    <t>19-1901083</t>
  </si>
  <si>
    <t>19-1903936</t>
  </si>
  <si>
    <t>19-1894373</t>
  </si>
  <si>
    <t>19-1892236</t>
  </si>
  <si>
    <t>18-1882716</t>
  </si>
  <si>
    <t>18-1877025</t>
  </si>
  <si>
    <t>19-1902003</t>
  </si>
  <si>
    <t>19-1902001</t>
  </si>
  <si>
    <t>18-1877221</t>
  </si>
  <si>
    <t>18-1877402</t>
  </si>
  <si>
    <t>19-1900448</t>
  </si>
  <si>
    <t>19-1896778</t>
  </si>
  <si>
    <t>19-1896791</t>
  </si>
  <si>
    <t>19-1896793</t>
  </si>
  <si>
    <t>19-1896797</t>
  </si>
  <si>
    <t>19-1900458</t>
  </si>
  <si>
    <t>19-1889927</t>
  </si>
  <si>
    <t>18-1871654</t>
  </si>
  <si>
    <t>19-1894505</t>
  </si>
  <si>
    <t>19-1897943</t>
  </si>
  <si>
    <t>19-1900563</t>
  </si>
  <si>
    <t>19-1898821</t>
  </si>
  <si>
    <t>19-1898732</t>
  </si>
  <si>
    <t>19-1903330</t>
  </si>
  <si>
    <t>19-1886953</t>
  </si>
  <si>
    <t>18-1886442</t>
  </si>
  <si>
    <t>18-1864205</t>
  </si>
  <si>
    <t>18-1864890</t>
  </si>
  <si>
    <t>19-1898713</t>
  </si>
  <si>
    <t>19-1892008</t>
  </si>
  <si>
    <t>19-1892004</t>
  </si>
  <si>
    <t>19-1892681</t>
  </si>
  <si>
    <t>19-1892678</t>
  </si>
  <si>
    <t>18-1878325</t>
  </si>
  <si>
    <t>19-1899593</t>
  </si>
  <si>
    <t>19-1897985</t>
  </si>
  <si>
    <t>19-1897843</t>
  </si>
  <si>
    <t>19-1897159</t>
  </si>
  <si>
    <t>19-1897154</t>
  </si>
  <si>
    <t>18-1882846</t>
  </si>
  <si>
    <t>19-1901398</t>
  </si>
  <si>
    <t>18-1877755</t>
  </si>
  <si>
    <t>19-1888044</t>
  </si>
  <si>
    <t>18-1874181</t>
  </si>
  <si>
    <t>19-1901077</t>
  </si>
  <si>
    <t>19-1892416</t>
  </si>
  <si>
    <t>19-1893423</t>
  </si>
  <si>
    <t>19-1894929</t>
  </si>
  <si>
    <t>19-1901500</t>
  </si>
  <si>
    <t>18-1883364</t>
  </si>
  <si>
    <t>18-1878909</t>
  </si>
  <si>
    <t>19-1900603</t>
  </si>
  <si>
    <t>18-1885744</t>
  </si>
  <si>
    <t>19-1901481</t>
  </si>
  <si>
    <t>19-1891325</t>
  </si>
  <si>
    <t>19-1891294</t>
  </si>
  <si>
    <t>18-1874439</t>
  </si>
  <si>
    <t>19-1890333</t>
  </si>
  <si>
    <t>19-1891875</t>
  </si>
  <si>
    <t>19-1890630</t>
  </si>
  <si>
    <t>19-1898037</t>
  </si>
  <si>
    <t>19-1898030</t>
  </si>
  <si>
    <t>19-1892672</t>
  </si>
  <si>
    <t>19-1892667</t>
  </si>
  <si>
    <t>19-1901561</t>
  </si>
  <si>
    <t>19-1889616</t>
  </si>
  <si>
    <t>19-1897521</t>
  </si>
  <si>
    <t>19-1897518</t>
  </si>
  <si>
    <t>19-1890315</t>
  </si>
  <si>
    <t>19-1901880</t>
  </si>
  <si>
    <t>18-1871917</t>
  </si>
  <si>
    <t>19-1890296</t>
  </si>
  <si>
    <t>19-1897787</t>
  </si>
  <si>
    <t>19-1889346</t>
  </si>
  <si>
    <t>18-1863481</t>
  </si>
  <si>
    <t>19-1889950</t>
  </si>
  <si>
    <t>18-1870234</t>
  </si>
  <si>
    <t>19-1899697</t>
  </si>
  <si>
    <t>19-1887144</t>
  </si>
  <si>
    <t>19-1894421</t>
  </si>
  <si>
    <t>19-1899158</t>
  </si>
  <si>
    <t>19-1902332</t>
  </si>
  <si>
    <t>18-1880115</t>
  </si>
  <si>
    <t>19-1886881</t>
  </si>
  <si>
    <t>19-1891856</t>
  </si>
  <si>
    <t>19-1890532</t>
  </si>
  <si>
    <t>18-1874758</t>
  </si>
  <si>
    <t>19-1890555</t>
  </si>
  <si>
    <t>18-1873802</t>
  </si>
  <si>
    <t>19-1889923</t>
  </si>
  <si>
    <t>18-1880276</t>
  </si>
  <si>
    <t>18-1879823</t>
  </si>
  <si>
    <t>18-1882859</t>
  </si>
  <si>
    <t>19-1890460</t>
  </si>
  <si>
    <t>19-1902859</t>
  </si>
  <si>
    <t>19-1890052</t>
  </si>
  <si>
    <t>19-1890043</t>
  </si>
  <si>
    <t>19-1891606</t>
  </si>
  <si>
    <t>19-1891604</t>
  </si>
  <si>
    <t>19-1891926</t>
  </si>
  <si>
    <t>19-1892367</t>
  </si>
  <si>
    <t>19-1898989</t>
  </si>
  <si>
    <t>19-1898987</t>
  </si>
  <si>
    <t>18-1874429</t>
  </si>
  <si>
    <t>19-1899021</t>
  </si>
  <si>
    <t>18-1863490</t>
  </si>
  <si>
    <t>19-1891865</t>
  </si>
  <si>
    <t>19-1897704</t>
  </si>
  <si>
    <t>19-1897702</t>
  </si>
  <si>
    <t>19-1890900</t>
  </si>
  <si>
    <t>18-1885512</t>
  </si>
  <si>
    <t>19-1892316</t>
  </si>
  <si>
    <t>19-1891850</t>
  </si>
  <si>
    <t>19-1894896</t>
  </si>
  <si>
    <t>19-1891880</t>
  </si>
  <si>
    <t>19-1892727</t>
  </si>
  <si>
    <t>19-1892185</t>
  </si>
  <si>
    <t>19-1892458</t>
  </si>
  <si>
    <t>18-1879905</t>
  </si>
  <si>
    <t>18-1885062</t>
  </si>
  <si>
    <t>19-1902052</t>
  </si>
  <si>
    <t>19-1902048</t>
  </si>
  <si>
    <t>19-1895988</t>
  </si>
  <si>
    <t>19-1887469</t>
  </si>
  <si>
    <t>18-1882937</t>
  </si>
  <si>
    <t>18-1879820</t>
  </si>
  <si>
    <t>18-1885362</t>
  </si>
  <si>
    <t>19-1889189</t>
  </si>
  <si>
    <t>19-1899959</t>
  </si>
  <si>
    <t>18-1886719</t>
  </si>
  <si>
    <t>18-1877704</t>
  </si>
  <si>
    <t>18-1880056</t>
  </si>
  <si>
    <t>18-1880041</t>
  </si>
  <si>
    <t>18-1880052</t>
  </si>
  <si>
    <t>18-1880054</t>
  </si>
  <si>
    <t>18-1880059</t>
  </si>
  <si>
    <t>18-1880062</t>
  </si>
  <si>
    <t>19-1903681</t>
  </si>
  <si>
    <t>19-1891980</t>
  </si>
  <si>
    <t>17-1839675</t>
  </si>
  <si>
    <t>19-1900683</t>
  </si>
  <si>
    <t>18-1882154</t>
  </si>
  <si>
    <t>19-1892653</t>
  </si>
  <si>
    <t>19-1892650</t>
  </si>
  <si>
    <t>18-1864743</t>
  </si>
  <si>
    <t>18-1872389</t>
  </si>
  <si>
    <t>18-1876981</t>
  </si>
  <si>
    <t>19-1897517</t>
  </si>
  <si>
    <t>19-1897516</t>
  </si>
  <si>
    <t>19-1897042</t>
  </si>
  <si>
    <t>19-1902163</t>
  </si>
  <si>
    <t>19-1902158</t>
  </si>
  <si>
    <t>19-1893754</t>
  </si>
  <si>
    <t>19-1893387</t>
  </si>
  <si>
    <t>19-1898695</t>
  </si>
  <si>
    <t>02/10/2019</t>
  </si>
  <si>
    <t>12/09/2018</t>
  </si>
  <si>
    <t>04/13/2019</t>
  </si>
  <si>
    <t>07/26/2018</t>
  </si>
  <si>
    <t>06/15/2019</t>
  </si>
  <si>
    <t>05/27/2019</t>
  </si>
  <si>
    <t>12/16/2018</t>
  </si>
  <si>
    <t>09/09/2018</t>
  </si>
  <si>
    <t>12/22/2018</t>
  </si>
  <si>
    <t>12/08/2018</t>
  </si>
  <si>
    <t>11/12/2018</t>
  </si>
  <si>
    <t>04/12/2018</t>
  </si>
  <si>
    <t>12/15/2017</t>
  </si>
  <si>
    <t>05/03/2018</t>
  </si>
  <si>
    <t>04/10/2018</t>
  </si>
  <si>
    <t>04/17/2018</t>
  </si>
  <si>
    <t>Lori</t>
  </si>
  <si>
    <t>Maricela</t>
  </si>
  <si>
    <t>Deryl</t>
  </si>
  <si>
    <t>Moren</t>
  </si>
  <si>
    <t>Julie</t>
  </si>
  <si>
    <t>George</t>
  </si>
  <si>
    <t>Elisa</t>
  </si>
  <si>
    <t>Aleksandra</t>
  </si>
  <si>
    <t>Sadatu</t>
  </si>
  <si>
    <t>Lisa</t>
  </si>
  <si>
    <t>Lynn Marie</t>
  </si>
  <si>
    <t>Maisie</t>
  </si>
  <si>
    <t>Mary Ann</t>
  </si>
  <si>
    <t>Joyette</t>
  </si>
  <si>
    <t>Alfred</t>
  </si>
  <si>
    <t>Shanelle</t>
  </si>
  <si>
    <t>Beverley</t>
  </si>
  <si>
    <t>Mst. Farida</t>
  </si>
  <si>
    <t>Clara</t>
  </si>
  <si>
    <t>Robert</t>
  </si>
  <si>
    <t>Vernetta</t>
  </si>
  <si>
    <t>Marcela</t>
  </si>
  <si>
    <t>Antoine</t>
  </si>
  <si>
    <t>Rochelle</t>
  </si>
  <si>
    <t>Sedina</t>
  </si>
  <si>
    <t>Victoria</t>
  </si>
  <si>
    <t>Gregory</t>
  </si>
  <si>
    <t>Jackson</t>
  </si>
  <si>
    <t>Ivette</t>
  </si>
  <si>
    <t>Linneth</t>
  </si>
  <si>
    <t>Nydia</t>
  </si>
  <si>
    <t>Saralyn</t>
  </si>
  <si>
    <t>Rosalind</t>
  </si>
  <si>
    <t>Seifeldin</t>
  </si>
  <si>
    <t>Belkis</t>
  </si>
  <si>
    <t>Norman</t>
  </si>
  <si>
    <t>Shauna</t>
  </si>
  <si>
    <t>Adrienne</t>
  </si>
  <si>
    <t>Latrice</t>
  </si>
  <si>
    <t>Haja</t>
  </si>
  <si>
    <t>Rosalia</t>
  </si>
  <si>
    <t>Wilky</t>
  </si>
  <si>
    <t>Kissi</t>
  </si>
  <si>
    <t>Jamell</t>
  </si>
  <si>
    <t>Taquan</t>
  </si>
  <si>
    <t>Chris</t>
  </si>
  <si>
    <t>Octavia</t>
  </si>
  <si>
    <t>Susana</t>
  </si>
  <si>
    <t>Faizullah</t>
  </si>
  <si>
    <t>Leoncio</t>
  </si>
  <si>
    <t>Wayne</t>
  </si>
  <si>
    <t>Ysabel</t>
  </si>
  <si>
    <t>Vladimir</t>
  </si>
  <si>
    <t>Rufus</t>
  </si>
  <si>
    <t>Mireya</t>
  </si>
  <si>
    <t>Genelle</t>
  </si>
  <si>
    <t>Rahman</t>
  </si>
  <si>
    <t>Seon</t>
  </si>
  <si>
    <t>Evetta</t>
  </si>
  <si>
    <t>Cacia</t>
  </si>
  <si>
    <t>Denise</t>
  </si>
  <si>
    <t>Jeannine</t>
  </si>
  <si>
    <t>Pramilla</t>
  </si>
  <si>
    <t>Cinthia</t>
  </si>
  <si>
    <t>Roshay</t>
  </si>
  <si>
    <t>Catalina</t>
  </si>
  <si>
    <t>Steve</t>
  </si>
  <si>
    <t>Vera</t>
  </si>
  <si>
    <t>Hector</t>
  </si>
  <si>
    <t>Khadijah</t>
  </si>
  <si>
    <t>Cindy</t>
  </si>
  <si>
    <t>Joi</t>
  </si>
  <si>
    <t>Milagros</t>
  </si>
  <si>
    <t>Janice</t>
  </si>
  <si>
    <t>Patrick</t>
  </si>
  <si>
    <t>Raoul</t>
  </si>
  <si>
    <t>Dora</t>
  </si>
  <si>
    <t>Jannette</t>
  </si>
  <si>
    <t>Lydia</t>
  </si>
  <si>
    <t>Raquel</t>
  </si>
  <si>
    <t>Tawana</t>
  </si>
  <si>
    <t>Abelardo</t>
  </si>
  <si>
    <t>Renee</t>
  </si>
  <si>
    <t>Judith</t>
  </si>
  <si>
    <t>Aracelis</t>
  </si>
  <si>
    <t>Selvyn</t>
  </si>
  <si>
    <t>Ioulia</t>
  </si>
  <si>
    <t>Yvonnia</t>
  </si>
  <si>
    <t>Winifred</t>
  </si>
  <si>
    <t>Yrenes</t>
  </si>
  <si>
    <t>Christopher</t>
  </si>
  <si>
    <t>Margarita</t>
  </si>
  <si>
    <t>Gretelle</t>
  </si>
  <si>
    <t>Heather</t>
  </si>
  <si>
    <t>Antonnette</t>
  </si>
  <si>
    <t>Jazmin</t>
  </si>
  <si>
    <t>Packysha</t>
  </si>
  <si>
    <t>Gretchen</t>
  </si>
  <si>
    <t>Margaret</t>
  </si>
  <si>
    <t>Tammy</t>
  </si>
  <si>
    <t>You Ying</t>
  </si>
  <si>
    <t>Coleen</t>
  </si>
  <si>
    <t>Antisha</t>
  </si>
  <si>
    <t>Irina</t>
  </si>
  <si>
    <t>Joseph</t>
  </si>
  <si>
    <t>Vanessa</t>
  </si>
  <si>
    <t>Betsy</t>
  </si>
  <si>
    <t>Erenia</t>
  </si>
  <si>
    <t>Roxanna</t>
  </si>
  <si>
    <t>Tashawna</t>
  </si>
  <si>
    <t>Tanisha</t>
  </si>
  <si>
    <t>Howard</t>
  </si>
  <si>
    <t>Tenisha</t>
  </si>
  <si>
    <t>Magdalen</t>
  </si>
  <si>
    <t>Leonardi</t>
  </si>
  <si>
    <t>Colleen</t>
  </si>
  <si>
    <t>Myra</t>
  </si>
  <si>
    <t>Starlena</t>
  </si>
  <si>
    <t>Teasha</t>
  </si>
  <si>
    <t>Shanikqua</t>
  </si>
  <si>
    <t>Alwin</t>
  </si>
  <si>
    <t>Hyacinth</t>
  </si>
  <si>
    <t>Sherifat</t>
  </si>
  <si>
    <t>Cheryl</t>
  </si>
  <si>
    <t>Tishawna</t>
  </si>
  <si>
    <t>Damien</t>
  </si>
  <si>
    <t>Claire</t>
  </si>
  <si>
    <t>Latonya</t>
  </si>
  <si>
    <t>Teofilo</t>
  </si>
  <si>
    <t>Andres</t>
  </si>
  <si>
    <t>Helena</t>
  </si>
  <si>
    <t>Antrice</t>
  </si>
  <si>
    <t>Yolanda</t>
  </si>
  <si>
    <t>Yelitza</t>
  </si>
  <si>
    <t>Virginia</t>
  </si>
  <si>
    <t>Kim</t>
  </si>
  <si>
    <t>Sherina</t>
  </si>
  <si>
    <t>Steven</t>
  </si>
  <si>
    <t>Blanch</t>
  </si>
  <si>
    <t>Rafael</t>
  </si>
  <si>
    <t>Lurilla</t>
  </si>
  <si>
    <t>Jazmel</t>
  </si>
  <si>
    <t>Santana</t>
  </si>
  <si>
    <t>Shaniyia</t>
  </si>
  <si>
    <t>Abdul</t>
  </si>
  <si>
    <t>Alfonso</t>
  </si>
  <si>
    <t>Vernestine</t>
  </si>
  <si>
    <t>Javier</t>
  </si>
  <si>
    <t>JASON</t>
  </si>
  <si>
    <t>Alex</t>
  </si>
  <si>
    <t>Ernesto</t>
  </si>
  <si>
    <t>Lennie</t>
  </si>
  <si>
    <t>Ytalina</t>
  </si>
  <si>
    <t>Debra</t>
  </si>
  <si>
    <t>Alison</t>
  </si>
  <si>
    <t>Manuel</t>
  </si>
  <si>
    <t>Luis Angel</t>
  </si>
  <si>
    <t>Uguis</t>
  </si>
  <si>
    <t>Edward</t>
  </si>
  <si>
    <t>Lord</t>
  </si>
  <si>
    <t>Gladys</t>
  </si>
  <si>
    <t>Alton</t>
  </si>
  <si>
    <t>Nathalie</t>
  </si>
  <si>
    <t>Trudy</t>
  </si>
  <si>
    <t>Hattie</t>
  </si>
  <si>
    <t>Stacey</t>
  </si>
  <si>
    <t>Leonora</t>
  </si>
  <si>
    <t>Jackie</t>
  </si>
  <si>
    <t>Jaquonne</t>
  </si>
  <si>
    <t>Monique</t>
  </si>
  <si>
    <t>Matilde</t>
  </si>
  <si>
    <t>Bernadette</t>
  </si>
  <si>
    <t>Antonia</t>
  </si>
  <si>
    <t>Verine</t>
  </si>
  <si>
    <t>Taisha</t>
  </si>
  <si>
    <t>Ervin</t>
  </si>
  <si>
    <t>Darrell</t>
  </si>
  <si>
    <t>Daisy</t>
  </si>
  <si>
    <t>Betty</t>
  </si>
  <si>
    <t>Jean</t>
  </si>
  <si>
    <t>Iliana</t>
  </si>
  <si>
    <t>Chrysanthius</t>
  </si>
  <si>
    <t>Alfredo</t>
  </si>
  <si>
    <t>Yovanny</t>
  </si>
  <si>
    <t>Miranda</t>
  </si>
  <si>
    <t>Yanira</t>
  </si>
  <si>
    <t>Cleather</t>
  </si>
  <si>
    <t>Carla</t>
  </si>
  <si>
    <t>Shaun</t>
  </si>
  <si>
    <t>Hope</t>
  </si>
  <si>
    <t>Teodoso</t>
  </si>
  <si>
    <t>Laura</t>
  </si>
  <si>
    <t>Delfina</t>
  </si>
  <si>
    <t>Glennis</t>
  </si>
  <si>
    <t>Mamuna</t>
  </si>
  <si>
    <t>Kiera</t>
  </si>
  <si>
    <t>Merle</t>
  </si>
  <si>
    <t>Fitzroy</t>
  </si>
  <si>
    <t>Ricardo</t>
  </si>
  <si>
    <t>Andre</t>
  </si>
  <si>
    <t>Jewell</t>
  </si>
  <si>
    <t>Belva</t>
  </si>
  <si>
    <t>Craig</t>
  </si>
  <si>
    <t>Camella</t>
  </si>
  <si>
    <t>Alec</t>
  </si>
  <si>
    <t>Rukiya</t>
  </si>
  <si>
    <t>Mazie</t>
  </si>
  <si>
    <t>Vashiti</t>
  </si>
  <si>
    <t>Radasha</t>
  </si>
  <si>
    <t>Antoinette</t>
  </si>
  <si>
    <t>Gwenda</t>
  </si>
  <si>
    <t>Asseth</t>
  </si>
  <si>
    <t>Chesevah</t>
  </si>
  <si>
    <t>Otilia</t>
  </si>
  <si>
    <t>Francisco</t>
  </si>
  <si>
    <t>Allan</t>
  </si>
  <si>
    <t>Jezena</t>
  </si>
  <si>
    <t>Jeavon</t>
  </si>
  <si>
    <t>Ellice</t>
  </si>
  <si>
    <t>Katherine</t>
  </si>
  <si>
    <t>Rebecca</t>
  </si>
  <si>
    <t>Lois</t>
  </si>
  <si>
    <t>Estela</t>
  </si>
  <si>
    <t>Maira</t>
  </si>
  <si>
    <t>Enrique</t>
  </si>
  <si>
    <t>Mirza</t>
  </si>
  <si>
    <t>Darrylin</t>
  </si>
  <si>
    <t>Nicolina</t>
  </si>
  <si>
    <t>Seerajie</t>
  </si>
  <si>
    <t>Joyce</t>
  </si>
  <si>
    <t>Victor</t>
  </si>
  <si>
    <t>Harold</t>
  </si>
  <si>
    <t>Erica</t>
  </si>
  <si>
    <t>Rossana</t>
  </si>
  <si>
    <t>Rene</t>
  </si>
  <si>
    <t>Pamela</t>
  </si>
  <si>
    <t>Debbie</t>
  </si>
  <si>
    <t>Chaunte</t>
  </si>
  <si>
    <t>Justin</t>
  </si>
  <si>
    <t>Tsering</t>
  </si>
  <si>
    <t>Mary-Beth</t>
  </si>
  <si>
    <t>Morgen</t>
  </si>
  <si>
    <t>Fernando</t>
  </si>
  <si>
    <t>Yvette</t>
  </si>
  <si>
    <t>Moraima</t>
  </si>
  <si>
    <t>Leon</t>
  </si>
  <si>
    <t>Cesar</t>
  </si>
  <si>
    <t>Janith</t>
  </si>
  <si>
    <t>Lucienne</t>
  </si>
  <si>
    <t>Becky</t>
  </si>
  <si>
    <t>Winona</t>
  </si>
  <si>
    <t>Othniel</t>
  </si>
  <si>
    <t>Kimberly</t>
  </si>
  <si>
    <t>Mikkia</t>
  </si>
  <si>
    <t>Rolanda</t>
  </si>
  <si>
    <t>William</t>
  </si>
  <si>
    <t>Janarys</t>
  </si>
  <si>
    <t>Pauline</t>
  </si>
  <si>
    <t>Rashid</t>
  </si>
  <si>
    <t>Paola</t>
  </si>
  <si>
    <t>Donnika</t>
  </si>
  <si>
    <t>Rosemary</t>
  </si>
  <si>
    <t>Shazzia</t>
  </si>
  <si>
    <t>Edie</t>
  </si>
  <si>
    <t>Renier</t>
  </si>
  <si>
    <t>Sara</t>
  </si>
  <si>
    <t>Joseline</t>
  </si>
  <si>
    <t>Jeanette</t>
  </si>
  <si>
    <t>Zondra</t>
  </si>
  <si>
    <t>Vernice</t>
  </si>
  <si>
    <t>Dakeisha</t>
  </si>
  <si>
    <t>Sanabe</t>
  </si>
  <si>
    <t>Natalie</t>
  </si>
  <si>
    <t>Louisia</t>
  </si>
  <si>
    <t>Wahlia</t>
  </si>
  <si>
    <t>Bukunmi</t>
  </si>
  <si>
    <t>Abigail</t>
  </si>
  <si>
    <t>Jocelyn</t>
  </si>
  <si>
    <t>Noel</t>
  </si>
  <si>
    <t>Ezequiel</t>
  </si>
  <si>
    <t>Nora</t>
  </si>
  <si>
    <t>Manuela</t>
  </si>
  <si>
    <t>Maebell</t>
  </si>
  <si>
    <t>Kwabwo</t>
  </si>
  <si>
    <t>Fannye</t>
  </si>
  <si>
    <t>Anna</t>
  </si>
  <si>
    <t>Loana</t>
  </si>
  <si>
    <t>Everett</t>
  </si>
  <si>
    <t>Jay</t>
  </si>
  <si>
    <t>Sergei</t>
  </si>
  <si>
    <t>Joanna</t>
  </si>
  <si>
    <t>Brunilda</t>
  </si>
  <si>
    <t>Shahera</t>
  </si>
  <si>
    <t>Alexandra</t>
  </si>
  <si>
    <t>Jacylin</t>
  </si>
  <si>
    <t>Maurice</t>
  </si>
  <si>
    <t>Viola</t>
  </si>
  <si>
    <t>Marta</t>
  </si>
  <si>
    <t>Matthew</t>
  </si>
  <si>
    <t>Baudilia</t>
  </si>
  <si>
    <t>Arlene</t>
  </si>
  <si>
    <t>Ramon</t>
  </si>
  <si>
    <t>Quemly</t>
  </si>
  <si>
    <t>Mincalene</t>
  </si>
  <si>
    <t>Lourine</t>
  </si>
  <si>
    <t>Icemae</t>
  </si>
  <si>
    <t>Eugenio</t>
  </si>
  <si>
    <t>Reginald</t>
  </si>
  <si>
    <t>Alondrea</t>
  </si>
  <si>
    <t>Shaquana</t>
  </si>
  <si>
    <t>Nelson</t>
  </si>
  <si>
    <t>Andrew</t>
  </si>
  <si>
    <t>Miriam</t>
  </si>
  <si>
    <t>Keesha</t>
  </si>
  <si>
    <t>Brandon</t>
  </si>
  <si>
    <t>Siu Lan</t>
  </si>
  <si>
    <t>Mudasiru</t>
  </si>
  <si>
    <t>Reette</t>
  </si>
  <si>
    <t>Dionne</t>
  </si>
  <si>
    <t>Bianca</t>
  </si>
  <si>
    <t>Deneen</t>
  </si>
  <si>
    <t>Moises</t>
  </si>
  <si>
    <t>Ramsey</t>
  </si>
  <si>
    <t>Altagrace</t>
  </si>
  <si>
    <t>Jake</t>
  </si>
  <si>
    <t>Shelley</t>
  </si>
  <si>
    <t>Nigel</t>
  </si>
  <si>
    <t>Marjorie</t>
  </si>
  <si>
    <t>Gisela</t>
  </si>
  <si>
    <t>Makuna</t>
  </si>
  <si>
    <t>Irene</t>
  </si>
  <si>
    <t>Junie</t>
  </si>
  <si>
    <t>Frances</t>
  </si>
  <si>
    <t>Rachel</t>
  </si>
  <si>
    <t>James</t>
  </si>
  <si>
    <t>Camille</t>
  </si>
  <si>
    <t>Vanderlyn</t>
  </si>
  <si>
    <t>Colin</t>
  </si>
  <si>
    <t>Maretta</t>
  </si>
  <si>
    <t>Anne</t>
  </si>
  <si>
    <t>Melanie</t>
  </si>
  <si>
    <t>Phyllis</t>
  </si>
  <si>
    <t>Sandy</t>
  </si>
  <si>
    <t>Isabelle</t>
  </si>
  <si>
    <t>Sydnee</t>
  </si>
  <si>
    <t>Susie</t>
  </si>
  <si>
    <t>Abby</t>
  </si>
  <si>
    <t>Salvacion</t>
  </si>
  <si>
    <t>Tamishia</t>
  </si>
  <si>
    <t>Johnnymae</t>
  </si>
  <si>
    <t>Sherry-Ann</t>
  </si>
  <si>
    <t>Bryan</t>
  </si>
  <si>
    <t>Renet</t>
  </si>
  <si>
    <t>Joy</t>
  </si>
  <si>
    <t>Gary</t>
  </si>
  <si>
    <t>Rhotochia</t>
  </si>
  <si>
    <t>Paul</t>
  </si>
  <si>
    <t>Candyce</t>
  </si>
  <si>
    <t>Samantha</t>
  </si>
  <si>
    <t>Theodore</t>
  </si>
  <si>
    <t>Bleuberthol</t>
  </si>
  <si>
    <t>WHITNEY</t>
  </si>
  <si>
    <t>Joalsi</t>
  </si>
  <si>
    <t>Tranae</t>
  </si>
  <si>
    <t>Digna</t>
  </si>
  <si>
    <t>Hilary</t>
  </si>
  <si>
    <t>Ernest</t>
  </si>
  <si>
    <t>Emily</t>
  </si>
  <si>
    <t>Suzanna</t>
  </si>
  <si>
    <t>Willie</t>
  </si>
  <si>
    <t>Sun</t>
  </si>
  <si>
    <t>Sernomia</t>
  </si>
  <si>
    <t>Julian</t>
  </si>
  <si>
    <t>Lester</t>
  </si>
  <si>
    <t>Aiden</t>
  </si>
  <si>
    <t>Allana</t>
  </si>
  <si>
    <t>Martina</t>
  </si>
  <si>
    <t>Elaine</t>
  </si>
  <si>
    <t>Fermin</t>
  </si>
  <si>
    <t>Susan</t>
  </si>
  <si>
    <t>Eliane</t>
  </si>
  <si>
    <t>Morenike</t>
  </si>
  <si>
    <t>Stephany</t>
  </si>
  <si>
    <t>Ednice</t>
  </si>
  <si>
    <t>Elson</t>
  </si>
  <si>
    <t>Loida</t>
  </si>
  <si>
    <t>Joel</t>
  </si>
  <si>
    <t>Jervine</t>
  </si>
  <si>
    <t>Shoshana</t>
  </si>
  <si>
    <t>Eliyahu</t>
  </si>
  <si>
    <t>Kelly</t>
  </si>
  <si>
    <t>Malasia</t>
  </si>
  <si>
    <t>Milly</t>
  </si>
  <si>
    <t>Marilyn</t>
  </si>
  <si>
    <t>Kaitlin</t>
  </si>
  <si>
    <t>Basma</t>
  </si>
  <si>
    <t>Susanna</t>
  </si>
  <si>
    <t>Iris</t>
  </si>
  <si>
    <t>Marley</t>
  </si>
  <si>
    <t>Emmett</t>
  </si>
  <si>
    <t>Gerardo</t>
  </si>
  <si>
    <t>Xonana</t>
  </si>
  <si>
    <t>Charles</t>
  </si>
  <si>
    <t>Marcos</t>
  </si>
  <si>
    <t>Lawrence</t>
  </si>
  <si>
    <t>Laurel</t>
  </si>
  <si>
    <t>Ryan</t>
  </si>
  <si>
    <t>Aimee</t>
  </si>
  <si>
    <t>Joselina</t>
  </si>
  <si>
    <t>Ximena</t>
  </si>
  <si>
    <t>Chinequa</t>
  </si>
  <si>
    <t>Shavonne</t>
  </si>
  <si>
    <t>Federick</t>
  </si>
  <si>
    <t>Nathan</t>
  </si>
  <si>
    <t>Renata</t>
  </si>
  <si>
    <t>Tanis</t>
  </si>
  <si>
    <t>Nucleo</t>
  </si>
  <si>
    <t>Jarrett</t>
  </si>
  <si>
    <t>Iho</t>
  </si>
  <si>
    <t>Gloria Maria</t>
  </si>
  <si>
    <t>Erin</t>
  </si>
  <si>
    <t>Fabian</t>
  </si>
  <si>
    <t>Jerome</t>
  </si>
  <si>
    <t>Jonathan</t>
  </si>
  <si>
    <t>Dara</t>
  </si>
  <si>
    <t>Terrence</t>
  </si>
  <si>
    <t>Roma</t>
  </si>
  <si>
    <t>Antiellia</t>
  </si>
  <si>
    <t>Jason</t>
  </si>
  <si>
    <t>Lorie</t>
  </si>
  <si>
    <t>Ayesha</t>
  </si>
  <si>
    <t>Hemwattee</t>
  </si>
  <si>
    <t>Ameer</t>
  </si>
  <si>
    <t>Georgina</t>
  </si>
  <si>
    <t>Noah</t>
  </si>
  <si>
    <t>Shu</t>
  </si>
  <si>
    <t>Donyele</t>
  </si>
  <si>
    <t>Keith</t>
  </si>
  <si>
    <t>Shanequa</t>
  </si>
  <si>
    <t>Lozada</t>
  </si>
  <si>
    <t>Franklin</t>
  </si>
  <si>
    <t>Maxine</t>
  </si>
  <si>
    <t>Teodoro</t>
  </si>
  <si>
    <t>Shelia</t>
  </si>
  <si>
    <t>Raul</t>
  </si>
  <si>
    <t>Adelina</t>
  </si>
  <si>
    <t>Alejandro</t>
  </si>
  <si>
    <t>Efren</t>
  </si>
  <si>
    <t>Dave</t>
  </si>
  <si>
    <t>Kenya</t>
  </si>
  <si>
    <t>Moussa</t>
  </si>
  <si>
    <t>Dasean</t>
  </si>
  <si>
    <t>Ernie</t>
  </si>
  <si>
    <t>Ekaterina</t>
  </si>
  <si>
    <t>Amarilis</t>
  </si>
  <si>
    <t>Claudina</t>
  </si>
  <si>
    <t>Patrice</t>
  </si>
  <si>
    <t>Gerad</t>
  </si>
  <si>
    <t>Amoy</t>
  </si>
  <si>
    <t>Deborah</t>
  </si>
  <si>
    <t>Jillian</t>
  </si>
  <si>
    <t>Natalya</t>
  </si>
  <si>
    <t>Gabby</t>
  </si>
  <si>
    <t>Josue</t>
  </si>
  <si>
    <t>Miguel</t>
  </si>
  <si>
    <t>Nadia</t>
  </si>
  <si>
    <t>Jon</t>
  </si>
  <si>
    <t>Jamia</t>
  </si>
  <si>
    <t>Edwin</t>
  </si>
  <si>
    <t>Abbey</t>
  </si>
  <si>
    <t>Bonnie</t>
  </si>
  <si>
    <t>Francesco</t>
  </si>
  <si>
    <t>Antron</t>
  </si>
  <si>
    <t>Osifo</t>
  </si>
  <si>
    <t>Sarah</t>
  </si>
  <si>
    <t>Samuel</t>
  </si>
  <si>
    <t>Katie</t>
  </si>
  <si>
    <t>Margo</t>
  </si>
  <si>
    <t>Abibatu</t>
  </si>
  <si>
    <t>Kearra</t>
  </si>
  <si>
    <t>Ruth</t>
  </si>
  <si>
    <t>Amjad</t>
  </si>
  <si>
    <t>Carl</t>
  </si>
  <si>
    <t>Catalano</t>
  </si>
  <si>
    <t>Emilia</t>
  </si>
  <si>
    <t>Honori</t>
  </si>
  <si>
    <t>Lopsang</t>
  </si>
  <si>
    <t>Lobsang</t>
  </si>
  <si>
    <t>Jacqalin</t>
  </si>
  <si>
    <t>Paulette</t>
  </si>
  <si>
    <t>Oscar</t>
  </si>
  <si>
    <t>Sherley</t>
  </si>
  <si>
    <t>Yvonne</t>
  </si>
  <si>
    <t>Mustafa</t>
  </si>
  <si>
    <t>Starquaisa</t>
  </si>
  <si>
    <t>Sheri</t>
  </si>
  <si>
    <t>Lorraine</t>
  </si>
  <si>
    <t>Mariela</t>
  </si>
  <si>
    <t>Soon Ja</t>
  </si>
  <si>
    <t>Suzanne</t>
  </si>
  <si>
    <t>Walesca</t>
  </si>
  <si>
    <t>Myron</t>
  </si>
  <si>
    <t>Nagina</t>
  </si>
  <si>
    <t>Lakisha</t>
  </si>
  <si>
    <t>Darren</t>
  </si>
  <si>
    <t>Bertin</t>
  </si>
  <si>
    <t>Reggie</t>
  </si>
  <si>
    <t>Janea</t>
  </si>
  <si>
    <t>Cassandra</t>
  </si>
  <si>
    <t>Nilsa</t>
  </si>
  <si>
    <t>Pearlina</t>
  </si>
  <si>
    <t>Diogenes</t>
  </si>
  <si>
    <t>Lilith</t>
  </si>
  <si>
    <t>Rigoberto</t>
  </si>
  <si>
    <t>Gerard</t>
  </si>
  <si>
    <t>Mars</t>
  </si>
  <si>
    <t>Benecia</t>
  </si>
  <si>
    <t>Edgardo</t>
  </si>
  <si>
    <t>Letisha</t>
  </si>
  <si>
    <t>Troy</t>
  </si>
  <si>
    <t>Modesto</t>
  </si>
  <si>
    <t>Carolyn</t>
  </si>
  <si>
    <t>Hendrick</t>
  </si>
  <si>
    <t>Gerald</t>
  </si>
  <si>
    <t>Julia</t>
  </si>
  <si>
    <t>Leesa</t>
  </si>
  <si>
    <t>Esther</t>
  </si>
  <si>
    <t>Athena</t>
  </si>
  <si>
    <t>Omari</t>
  </si>
  <si>
    <t>Francia</t>
  </si>
  <si>
    <t>Dean</t>
  </si>
  <si>
    <t>Delsy</t>
  </si>
  <si>
    <t>Hernan</t>
  </si>
  <si>
    <t>Kinny</t>
  </si>
  <si>
    <t>Marina</t>
  </si>
  <si>
    <t>Olga</t>
  </si>
  <si>
    <t>Rodney</t>
  </si>
  <si>
    <t>Tina</t>
  </si>
  <si>
    <t>Doretha</t>
  </si>
  <si>
    <t>Basilio</t>
  </si>
  <si>
    <t>Ross</t>
  </si>
  <si>
    <t>Bienvenida</t>
  </si>
  <si>
    <t>Xiomara</t>
  </si>
  <si>
    <t>Valesia</t>
  </si>
  <si>
    <t>Katheleen</t>
  </si>
  <si>
    <t>Naida</t>
  </si>
  <si>
    <t>Armando</t>
  </si>
  <si>
    <t>Valicia</t>
  </si>
  <si>
    <t>Westly</t>
  </si>
  <si>
    <t>Fabiana</t>
  </si>
  <si>
    <t>Roman</t>
  </si>
  <si>
    <t>Adrianne</t>
  </si>
  <si>
    <t>Eli</t>
  </si>
  <si>
    <t>Davon</t>
  </si>
  <si>
    <t>Kerry</t>
  </si>
  <si>
    <t>Queyen</t>
  </si>
  <si>
    <t>Un Chu</t>
  </si>
  <si>
    <t>Janiene</t>
  </si>
  <si>
    <t>Cleophuss</t>
  </si>
  <si>
    <t>Kai Ming</t>
  </si>
  <si>
    <t>Kathy</t>
  </si>
  <si>
    <t>Brunella</t>
  </si>
  <si>
    <t>Chaka</t>
  </si>
  <si>
    <t>XueYun</t>
  </si>
  <si>
    <t>Marlene</t>
  </si>
  <si>
    <t>Jennette</t>
  </si>
  <si>
    <t>Susanne</t>
  </si>
  <si>
    <t>Paris</t>
  </si>
  <si>
    <t>Zunilda</t>
  </si>
  <si>
    <t>Rastko</t>
  </si>
  <si>
    <t>Nkrumah</t>
  </si>
  <si>
    <t>Kostas</t>
  </si>
  <si>
    <t>Asia</t>
  </si>
  <si>
    <t>Ayeisha</t>
  </si>
  <si>
    <t>Hilda</t>
  </si>
  <si>
    <t>Nikita</t>
  </si>
  <si>
    <t>Clifford</t>
  </si>
  <si>
    <t>Tashae</t>
  </si>
  <si>
    <t>Sophia</t>
  </si>
  <si>
    <t>Petal</t>
  </si>
  <si>
    <t>Flor</t>
  </si>
  <si>
    <t>Sally</t>
  </si>
  <si>
    <t>Valencia</t>
  </si>
  <si>
    <t>Santa</t>
  </si>
  <si>
    <t>Amy</t>
  </si>
  <si>
    <t>Jesus</t>
  </si>
  <si>
    <t>Chauncey</t>
  </si>
  <si>
    <t>Mirely</t>
  </si>
  <si>
    <t>Dian</t>
  </si>
  <si>
    <t>Lequida</t>
  </si>
  <si>
    <t>Roberto</t>
  </si>
  <si>
    <t>Rosalee</t>
  </si>
  <si>
    <t>Waanibe</t>
  </si>
  <si>
    <t>Dorren</t>
  </si>
  <si>
    <t>Nicolas</t>
  </si>
  <si>
    <t>Hao Ran</t>
  </si>
  <si>
    <t>Williemae</t>
  </si>
  <si>
    <t>Flora</t>
  </si>
  <si>
    <t>Bertha</t>
  </si>
  <si>
    <t>Rosalida</t>
  </si>
  <si>
    <t>Emilio</t>
  </si>
  <si>
    <t>Martyn</t>
  </si>
  <si>
    <t>Julio</t>
  </si>
  <si>
    <t>Aidalina</t>
  </si>
  <si>
    <t>Fidel</t>
  </si>
  <si>
    <t>Lena</t>
  </si>
  <si>
    <t>Konrad</t>
  </si>
  <si>
    <t>Idalmis</t>
  </si>
  <si>
    <t>Loi Sao</t>
  </si>
  <si>
    <t>Letha</t>
  </si>
  <si>
    <t>Dianna</t>
  </si>
  <si>
    <t>Deddeh</t>
  </si>
  <si>
    <t>Javon</t>
  </si>
  <si>
    <t>Byron</t>
  </si>
  <si>
    <t>Donald</t>
  </si>
  <si>
    <t>Trina</t>
  </si>
  <si>
    <t>Guillermo</t>
  </si>
  <si>
    <t>Andrelle</t>
  </si>
  <si>
    <t>Melido</t>
  </si>
  <si>
    <t>Dedra</t>
  </si>
  <si>
    <t>Natividad</t>
  </si>
  <si>
    <t>Brooke</t>
  </si>
  <si>
    <t>Timonthy</t>
  </si>
  <si>
    <t>Stacie</t>
  </si>
  <si>
    <t>Edna</t>
  </si>
  <si>
    <t>Eni</t>
  </si>
  <si>
    <t>Josefa</t>
  </si>
  <si>
    <t>Manisha</t>
  </si>
  <si>
    <t>Mark</t>
  </si>
  <si>
    <t>Heshima</t>
  </si>
  <si>
    <t>Caroline</t>
  </si>
  <si>
    <t>Lucy</t>
  </si>
  <si>
    <t>Grace</t>
  </si>
  <si>
    <t>Cameyo</t>
  </si>
  <si>
    <t>Keisha</t>
  </si>
  <si>
    <t>Mirella</t>
  </si>
  <si>
    <t>Zulma</t>
  </si>
  <si>
    <t>Elina</t>
  </si>
  <si>
    <t>Makeda</t>
  </si>
  <si>
    <t>Johny</t>
  </si>
  <si>
    <t>Nalini</t>
  </si>
  <si>
    <t>Shu Tim</t>
  </si>
  <si>
    <t>Mildred</t>
  </si>
  <si>
    <t>Vincent</t>
  </si>
  <si>
    <t>Maureen</t>
  </si>
  <si>
    <t>Eduvigis</t>
  </si>
  <si>
    <t>Emely</t>
  </si>
  <si>
    <t>Setaya</t>
  </si>
  <si>
    <t>Myran</t>
  </si>
  <si>
    <t>Loriane</t>
  </si>
  <si>
    <t>Ralph</t>
  </si>
  <si>
    <t>Modesta</t>
  </si>
  <si>
    <t>Xinglian</t>
  </si>
  <si>
    <t>Rodolfo</t>
  </si>
  <si>
    <t>Madelyn</t>
  </si>
  <si>
    <t>Cecilia</t>
  </si>
  <si>
    <t>Aurea</t>
  </si>
  <si>
    <t>Dante</t>
  </si>
  <si>
    <t>Donna</t>
  </si>
  <si>
    <t>Traci</t>
  </si>
  <si>
    <t>Jermel</t>
  </si>
  <si>
    <t>Tala</t>
  </si>
  <si>
    <t>Sikhumbuzo</t>
  </si>
  <si>
    <t>Eulogio</t>
  </si>
  <si>
    <t>Ruth Ann</t>
  </si>
  <si>
    <t>Jhonny</t>
  </si>
  <si>
    <t>Melva</t>
  </si>
  <si>
    <t>Adam</t>
  </si>
  <si>
    <t>Kareem</t>
  </si>
  <si>
    <t>Bolivia</t>
  </si>
  <si>
    <t>Fei</t>
  </si>
  <si>
    <t>Irving</t>
  </si>
  <si>
    <t>Engracia</t>
  </si>
  <si>
    <t>Sherin</t>
  </si>
  <si>
    <t>Dania</t>
  </si>
  <si>
    <t>Lorenzo</t>
  </si>
  <si>
    <t>Cecelia</t>
  </si>
  <si>
    <t>Toby</t>
  </si>
  <si>
    <t>Lauren</t>
  </si>
  <si>
    <t>Ruby</t>
  </si>
  <si>
    <t>Yasmin</t>
  </si>
  <si>
    <t>Alida</t>
  </si>
  <si>
    <t>Ligia</t>
  </si>
  <si>
    <t>Iluminada</t>
  </si>
  <si>
    <t>Zhi</t>
  </si>
  <si>
    <t>Crossley</t>
  </si>
  <si>
    <t>Adalberto</t>
  </si>
  <si>
    <t>Santiago</t>
  </si>
  <si>
    <t>Yudelka</t>
  </si>
  <si>
    <t>Uma</t>
  </si>
  <si>
    <t>Richard</t>
  </si>
  <si>
    <t>Pearlene</t>
  </si>
  <si>
    <t>Carolina</t>
  </si>
  <si>
    <t>Jesusa</t>
  </si>
  <si>
    <t>Clarence</t>
  </si>
  <si>
    <t>Enid</t>
  </si>
  <si>
    <t>Germaine</t>
  </si>
  <si>
    <t>Valentina</t>
  </si>
  <si>
    <t>Eunice</t>
  </si>
  <si>
    <t>Edith</t>
  </si>
  <si>
    <t>Djava</t>
  </si>
  <si>
    <t>Lonnie</t>
  </si>
  <si>
    <t>Taneeka</t>
  </si>
  <si>
    <t>Louise</t>
  </si>
  <si>
    <t>Wilfredo</t>
  </si>
  <si>
    <t>Caridad</t>
  </si>
  <si>
    <t>Irma</t>
  </si>
  <si>
    <t>Juanita</t>
  </si>
  <si>
    <t>Bobby</t>
  </si>
  <si>
    <t>Bernetta</t>
  </si>
  <si>
    <t>Virgilio</t>
  </si>
  <si>
    <t>Emma</t>
  </si>
  <si>
    <t>Migdalia</t>
  </si>
  <si>
    <t>Beatrice</t>
  </si>
  <si>
    <t>Lupe</t>
  </si>
  <si>
    <t>Herbert</t>
  </si>
  <si>
    <t>Terri</t>
  </si>
  <si>
    <t>Aurelia</t>
  </si>
  <si>
    <t>Ann</t>
  </si>
  <si>
    <t>Elba</t>
  </si>
  <si>
    <t>Shirley</t>
  </si>
  <si>
    <t>Jeannette</t>
  </si>
  <si>
    <t>Brent</t>
  </si>
  <si>
    <t>Jeffrey</t>
  </si>
  <si>
    <t>Dorothea</t>
  </si>
  <si>
    <t>Gustavo</t>
  </si>
  <si>
    <t>Timothy</t>
  </si>
  <si>
    <t>Dannielle</t>
  </si>
  <si>
    <t>Latania</t>
  </si>
  <si>
    <t>Everton</t>
  </si>
  <si>
    <t>Bhoodan</t>
  </si>
  <si>
    <t>Carlton</t>
  </si>
  <si>
    <t>Zinzi</t>
  </si>
  <si>
    <t>Cristina</t>
  </si>
  <si>
    <t>Harvey</t>
  </si>
  <si>
    <t>Dellayris</t>
  </si>
  <si>
    <t>Jamilah</t>
  </si>
  <si>
    <t>Elinor</t>
  </si>
  <si>
    <t>Margia</t>
  </si>
  <si>
    <t>Nelida</t>
  </si>
  <si>
    <t>HIRAM</t>
  </si>
  <si>
    <t>Eddie</t>
  </si>
  <si>
    <t>Gloria</t>
  </si>
  <si>
    <t>Alix</t>
  </si>
  <si>
    <t>Sakeena</t>
  </si>
  <si>
    <t>Beryl</t>
  </si>
  <si>
    <t>Hamid</t>
  </si>
  <si>
    <t>Yanett</t>
  </si>
  <si>
    <t>Derick</t>
  </si>
  <si>
    <t>Brigida</t>
  </si>
  <si>
    <t>Nacresia</t>
  </si>
  <si>
    <t>Melvin</t>
  </si>
  <si>
    <t>Sultane</t>
  </si>
  <si>
    <t>Sybil</t>
  </si>
  <si>
    <t>Corine</t>
  </si>
  <si>
    <t>Pierre</t>
  </si>
  <si>
    <t>Shouhui</t>
  </si>
  <si>
    <t>Julius</t>
  </si>
  <si>
    <t>JOSEPH</t>
  </si>
  <si>
    <t>Rhina</t>
  </si>
  <si>
    <t>Paralee</t>
  </si>
  <si>
    <t>Almetia</t>
  </si>
  <si>
    <t>Henrietta</t>
  </si>
  <si>
    <t>Thelma</t>
  </si>
  <si>
    <t>Elsie</t>
  </si>
  <si>
    <t>Cappucine</t>
  </si>
  <si>
    <t>Alice</t>
  </si>
  <si>
    <t>Eucarina</t>
  </si>
  <si>
    <t>Luisa</t>
  </si>
  <si>
    <t>Lucia</t>
  </si>
  <si>
    <t>Terrance</t>
  </si>
  <si>
    <t>Jerry</t>
  </si>
  <si>
    <t>Kathleen</t>
  </si>
  <si>
    <t>Eula</t>
  </si>
  <si>
    <t>Phillip</t>
  </si>
  <si>
    <t>Chantal</t>
  </si>
  <si>
    <t>Waidi</t>
  </si>
  <si>
    <t>Luna</t>
  </si>
  <si>
    <t>Monte</t>
  </si>
  <si>
    <t>Leola</t>
  </si>
  <si>
    <t>Mabel</t>
  </si>
  <si>
    <t>Doug</t>
  </si>
  <si>
    <t>Sandreana</t>
  </si>
  <si>
    <t>Terrell</t>
  </si>
  <si>
    <t>Estanislao</t>
  </si>
  <si>
    <t>Bienvenido</t>
  </si>
  <si>
    <t>Davene</t>
  </si>
  <si>
    <t>Basilia</t>
  </si>
  <si>
    <t>Eduviges</t>
  </si>
  <si>
    <t>Tori</t>
  </si>
  <si>
    <t>Ingrid</t>
  </si>
  <si>
    <t>Madeleine</t>
  </si>
  <si>
    <t>Roxanne</t>
  </si>
  <si>
    <t>Mariana</t>
  </si>
  <si>
    <t>Serrafin</t>
  </si>
  <si>
    <t>Agustin</t>
  </si>
  <si>
    <t>Rebekah</t>
  </si>
  <si>
    <t>Jill</t>
  </si>
  <si>
    <t>Gina</t>
  </si>
  <si>
    <t>Rhea</t>
  </si>
  <si>
    <t>Christine</t>
  </si>
  <si>
    <t>Alissa</t>
  </si>
  <si>
    <t>Evita</t>
  </si>
  <si>
    <t>Shaifah</t>
  </si>
  <si>
    <t>Sharina</t>
  </si>
  <si>
    <t>Yovani</t>
  </si>
  <si>
    <t>Tanya</t>
  </si>
  <si>
    <t>Amada</t>
  </si>
  <si>
    <t>Minoru</t>
  </si>
  <si>
    <t>Kamille</t>
  </si>
  <si>
    <t>Mirian</t>
  </si>
  <si>
    <t>Felipa</t>
  </si>
  <si>
    <t>Ernestina</t>
  </si>
  <si>
    <t>Catherine</t>
  </si>
  <si>
    <t>Dinora</t>
  </si>
  <si>
    <t>Man Hop</t>
  </si>
  <si>
    <t>Dennis</t>
  </si>
  <si>
    <t>Bernardino</t>
  </si>
  <si>
    <t>Claudia</t>
  </si>
  <si>
    <t>XiaoXia</t>
  </si>
  <si>
    <t>Salvador</t>
  </si>
  <si>
    <t>Akheem</t>
  </si>
  <si>
    <t>Bridgette</t>
  </si>
  <si>
    <t>Choi Haug</t>
  </si>
  <si>
    <t>Celeste</t>
  </si>
  <si>
    <t>Warren</t>
  </si>
  <si>
    <t>Esperanza</t>
  </si>
  <si>
    <t>Tonia</t>
  </si>
  <si>
    <t>Sergio</t>
  </si>
  <si>
    <t>Rosemarie</t>
  </si>
  <si>
    <t>Giovanni</t>
  </si>
  <si>
    <t>Ermalinda</t>
  </si>
  <si>
    <t>Hocasta</t>
  </si>
  <si>
    <t>Damon</t>
  </si>
  <si>
    <t>Tomas</t>
  </si>
  <si>
    <t>Arcides</t>
  </si>
  <si>
    <t>Temistocles</t>
  </si>
  <si>
    <t>Elena</t>
  </si>
  <si>
    <t>Bashira</t>
  </si>
  <si>
    <t>Allen</t>
  </si>
  <si>
    <t>Coreen</t>
  </si>
  <si>
    <t>Padmini</t>
  </si>
  <si>
    <t>Mor</t>
  </si>
  <si>
    <t>Wai Yue</t>
  </si>
  <si>
    <t>Aura</t>
  </si>
  <si>
    <t>Melania</t>
  </si>
  <si>
    <t>Alfida</t>
  </si>
  <si>
    <t>Amparo</t>
  </si>
  <si>
    <t>Chaiti</t>
  </si>
  <si>
    <t>Odalis</t>
  </si>
  <si>
    <t>Fernanda</t>
  </si>
  <si>
    <t>Darryl</t>
  </si>
  <si>
    <t>Terry</t>
  </si>
  <si>
    <t>Janet</t>
  </si>
  <si>
    <t>Oleen</t>
  </si>
  <si>
    <t>Farconerys</t>
  </si>
  <si>
    <t>Dimaris</t>
  </si>
  <si>
    <t>Benson</t>
  </si>
  <si>
    <t>Tarik</t>
  </si>
  <si>
    <t>Leticia</t>
  </si>
  <si>
    <t>Yerica</t>
  </si>
  <si>
    <t>Liz</t>
  </si>
  <si>
    <t>Dimas</t>
  </si>
  <si>
    <t>Nolvia</t>
  </si>
  <si>
    <t>Theda</t>
  </si>
  <si>
    <t>Teonila</t>
  </si>
  <si>
    <t>Hirmircy</t>
  </si>
  <si>
    <t>Emanuel</t>
  </si>
  <si>
    <t>Zulema</t>
  </si>
  <si>
    <t>Israel</t>
  </si>
  <si>
    <t>Rosalba</t>
  </si>
  <si>
    <t>Cora</t>
  </si>
  <si>
    <t>Dianelvi</t>
  </si>
  <si>
    <t>Lynette</t>
  </si>
  <si>
    <t>Corrine</t>
  </si>
  <si>
    <t>Rose</t>
  </si>
  <si>
    <t>Miree</t>
  </si>
  <si>
    <t>Geraldine</t>
  </si>
  <si>
    <t>Jane</t>
  </si>
  <si>
    <t>Pearl</t>
  </si>
  <si>
    <t>SEPTIMUS</t>
  </si>
  <si>
    <t>Solanny</t>
  </si>
  <si>
    <t>Bertico</t>
  </si>
  <si>
    <t>Eva</t>
  </si>
  <si>
    <t>Renska</t>
  </si>
  <si>
    <t>Chekesha</t>
  </si>
  <si>
    <t>Jacinta</t>
  </si>
  <si>
    <t>Dorreen</t>
  </si>
  <si>
    <t>Oneida</t>
  </si>
  <si>
    <t>Lola</t>
  </si>
  <si>
    <t>Tyron</t>
  </si>
  <si>
    <t>Belina</t>
  </si>
  <si>
    <t>Kaylan</t>
  </si>
  <si>
    <t>Romando</t>
  </si>
  <si>
    <t>Sharif</t>
  </si>
  <si>
    <t>Margie</t>
  </si>
  <si>
    <t>Yuri</t>
  </si>
  <si>
    <t>Naheed</t>
  </si>
  <si>
    <t>Ronnie</t>
  </si>
  <si>
    <t>Velvet</t>
  </si>
  <si>
    <t>Shathifa</t>
  </si>
  <si>
    <t>Agueda</t>
  </si>
  <si>
    <t>Ariminta</t>
  </si>
  <si>
    <t>Eusebia</t>
  </si>
  <si>
    <t>Kassandra</t>
  </si>
  <si>
    <t>Conchita</t>
  </si>
  <si>
    <t>Alethea</t>
  </si>
  <si>
    <t>Ebenezer</t>
  </si>
  <si>
    <t>Gul</t>
  </si>
  <si>
    <t>Tamar</t>
  </si>
  <si>
    <t>Arisleyda</t>
  </si>
  <si>
    <t>Merrick</t>
  </si>
  <si>
    <t>Pucci</t>
  </si>
  <si>
    <t>Elvira</t>
  </si>
  <si>
    <t>Blondy</t>
  </si>
  <si>
    <t>Ramdai</t>
  </si>
  <si>
    <t>Nellie</t>
  </si>
  <si>
    <t>Ediltrudis</t>
  </si>
  <si>
    <t>Benjamin</t>
  </si>
  <si>
    <t>Valerie</t>
  </si>
  <si>
    <t>Vance</t>
  </si>
  <si>
    <t>Erdal</t>
  </si>
  <si>
    <t>Arelis</t>
  </si>
  <si>
    <t>Krzysztof</t>
  </si>
  <si>
    <t>Alva</t>
  </si>
  <si>
    <t>Hazel</t>
  </si>
  <si>
    <t>Diamela</t>
  </si>
  <si>
    <t>Melida</t>
  </si>
  <si>
    <t>Vadlyn</t>
  </si>
  <si>
    <t>Curtis</t>
  </si>
  <si>
    <t>Livio</t>
  </si>
  <si>
    <t>Zarmina</t>
  </si>
  <si>
    <t>Afrikah</t>
  </si>
  <si>
    <t>Mardoqueo</t>
  </si>
  <si>
    <t>Alvita</t>
  </si>
  <si>
    <t>Maryeling</t>
  </si>
  <si>
    <t>Isaiah</t>
  </si>
  <si>
    <t>Eufemia</t>
  </si>
  <si>
    <t>Adalgisa</t>
  </si>
  <si>
    <t>Lelar</t>
  </si>
  <si>
    <t>Joe</t>
  </si>
  <si>
    <t>Myriam</t>
  </si>
  <si>
    <t>Dinah</t>
  </si>
  <si>
    <t>Rosa Marie</t>
  </si>
  <si>
    <t>Khristen</t>
  </si>
  <si>
    <t>Dorcas</t>
  </si>
  <si>
    <t>Doreen</t>
  </si>
  <si>
    <t>Melba</t>
  </si>
  <si>
    <t>Kirsys</t>
  </si>
  <si>
    <t>Leopoldo</t>
  </si>
  <si>
    <t>Jimmy</t>
  </si>
  <si>
    <t>Marcus</t>
  </si>
  <si>
    <t>Joselin</t>
  </si>
  <si>
    <t>Leisy</t>
  </si>
  <si>
    <t>Nell</t>
  </si>
  <si>
    <t>Jephtah</t>
  </si>
  <si>
    <t>Lillie</t>
  </si>
  <si>
    <t>Damitra</t>
  </si>
  <si>
    <t>Teofila</t>
  </si>
  <si>
    <t>Beatriz</t>
  </si>
  <si>
    <t>Altagracia</t>
  </si>
  <si>
    <t>Annetta</t>
  </si>
  <si>
    <t>Adriano</t>
  </si>
  <si>
    <t>Alphonso</t>
  </si>
  <si>
    <t>Julien</t>
  </si>
  <si>
    <t>Iyakka</t>
  </si>
  <si>
    <t>Yenny</t>
  </si>
  <si>
    <t>Martine</t>
  </si>
  <si>
    <t>Carolin</t>
  </si>
  <si>
    <t>Lilliana</t>
  </si>
  <si>
    <t>Violet</t>
  </si>
  <si>
    <t>Johnie</t>
  </si>
  <si>
    <t>Naomi</t>
  </si>
  <si>
    <t>Angelia</t>
  </si>
  <si>
    <t>Hassan</t>
  </si>
  <si>
    <t>Rudy</t>
  </si>
  <si>
    <t>Eulah</t>
  </si>
  <si>
    <t>Osvaldo</t>
  </si>
  <si>
    <t>Nafreen</t>
  </si>
  <si>
    <t>Argentina</t>
  </si>
  <si>
    <t>Gamal</t>
  </si>
  <si>
    <t>Frederico</t>
  </si>
  <si>
    <t>Leonard</t>
  </si>
  <si>
    <t>Eugene</t>
  </si>
  <si>
    <t>Nelia</t>
  </si>
  <si>
    <t>Venida</t>
  </si>
  <si>
    <t>Claritza</t>
  </si>
  <si>
    <t>Michele</t>
  </si>
  <si>
    <t>Cristobalina</t>
  </si>
  <si>
    <t>Souher</t>
  </si>
  <si>
    <t>Deanna</t>
  </si>
  <si>
    <t>Qwali</t>
  </si>
  <si>
    <t>Julieta</t>
  </si>
  <si>
    <t>Madaline</t>
  </si>
  <si>
    <t>Darlene</t>
  </si>
  <si>
    <t>Zoraida</t>
  </si>
  <si>
    <t>Atania</t>
  </si>
  <si>
    <t>Liautaud</t>
  </si>
  <si>
    <t>Nicholas</t>
  </si>
  <si>
    <t>Antonai</t>
  </si>
  <si>
    <t>Zora</t>
  </si>
  <si>
    <t>Dionicio</t>
  </si>
  <si>
    <t>Ariel</t>
  </si>
  <si>
    <t>Ruben</t>
  </si>
  <si>
    <t>Jalil</t>
  </si>
  <si>
    <t>Hunter</t>
  </si>
  <si>
    <t>Morena</t>
  </si>
  <si>
    <t>Dino</t>
  </si>
  <si>
    <t>Nanette</t>
  </si>
  <si>
    <t>Mavis</t>
  </si>
  <si>
    <t>Erick</t>
  </si>
  <si>
    <t>Winston</t>
  </si>
  <si>
    <t>Anizamara</t>
  </si>
  <si>
    <t>Elton</t>
  </si>
  <si>
    <t>Della</t>
  </si>
  <si>
    <t>Emeline</t>
  </si>
  <si>
    <t>Stephen</t>
  </si>
  <si>
    <t>Lev</t>
  </si>
  <si>
    <t>Charline</t>
  </si>
  <si>
    <t>Louis</t>
  </si>
  <si>
    <t>Trevor</t>
  </si>
  <si>
    <t>Sahbi</t>
  </si>
  <si>
    <t>Ahmet</t>
  </si>
  <si>
    <t>Hai</t>
  </si>
  <si>
    <t>Corinne</t>
  </si>
  <si>
    <t>Gwendolyn</t>
  </si>
  <si>
    <t>Anny</t>
  </si>
  <si>
    <t>Justice</t>
  </si>
  <si>
    <t>Yanet</t>
  </si>
  <si>
    <t>Lateef</t>
  </si>
  <si>
    <t>Consuelo</t>
  </si>
  <si>
    <t>Dazil</t>
  </si>
  <si>
    <t>Marva</t>
  </si>
  <si>
    <t>Evelina</t>
  </si>
  <si>
    <t>Eudacia</t>
  </si>
  <si>
    <t>Mariceth</t>
  </si>
  <si>
    <t>Connie</t>
  </si>
  <si>
    <t>Raymond</t>
  </si>
  <si>
    <t>Raphel</t>
  </si>
  <si>
    <t>Charisse</t>
  </si>
  <si>
    <t>Felipe</t>
  </si>
  <si>
    <t>Kurischa</t>
  </si>
  <si>
    <t>Delores</t>
  </si>
  <si>
    <t>Bonaerge</t>
  </si>
  <si>
    <t>Nidia</t>
  </si>
  <si>
    <t>Felicita</t>
  </si>
  <si>
    <t>Shanie</t>
  </si>
  <si>
    <t>Toni</t>
  </si>
  <si>
    <t>Rhonda</t>
  </si>
  <si>
    <t>Awilda</t>
  </si>
  <si>
    <t>Stacy</t>
  </si>
  <si>
    <t>Meris</t>
  </si>
  <si>
    <t>Basiliza</t>
  </si>
  <si>
    <t>Venetta</t>
  </si>
  <si>
    <t>Flavia</t>
  </si>
  <si>
    <t>Deshaun</t>
  </si>
  <si>
    <t>Elvida</t>
  </si>
  <si>
    <t>Sheldon</t>
  </si>
  <si>
    <t>Preye</t>
  </si>
  <si>
    <t>Zorro</t>
  </si>
  <si>
    <t>Ilza</t>
  </si>
  <si>
    <t>Miguelina</t>
  </si>
  <si>
    <t>Elsa</t>
  </si>
  <si>
    <t>Siegfried</t>
  </si>
  <si>
    <t>Herminio</t>
  </si>
  <si>
    <t>Anang</t>
  </si>
  <si>
    <t>Sherrie</t>
  </si>
  <si>
    <t>Aixa</t>
  </si>
  <si>
    <t>Clarissa</t>
  </si>
  <si>
    <t>Asiatic</t>
  </si>
  <si>
    <t>Lara</t>
  </si>
  <si>
    <t>Bouchra</t>
  </si>
  <si>
    <t>Hosnahara</t>
  </si>
  <si>
    <t>Sasha</t>
  </si>
  <si>
    <t>Takisha</t>
  </si>
  <si>
    <t>Mosiah</t>
  </si>
  <si>
    <t>Eleno</t>
  </si>
  <si>
    <t>Gabriela</t>
  </si>
  <si>
    <t>Denice</t>
  </si>
  <si>
    <t>Annmarie</t>
  </si>
  <si>
    <t>Yaribel</t>
  </si>
  <si>
    <t>Jocelyne</t>
  </si>
  <si>
    <t>Arbia</t>
  </si>
  <si>
    <t>Georgette</t>
  </si>
  <si>
    <t>Nathalia</t>
  </si>
  <si>
    <t>Charisma</t>
  </si>
  <si>
    <t>Da White</t>
  </si>
  <si>
    <t>Simone</t>
  </si>
  <si>
    <t>Jefferson</t>
  </si>
  <si>
    <t>06/11/2019</t>
  </si>
  <si>
    <t>Riley</t>
  </si>
  <si>
    <t>Harvin</t>
  </si>
  <si>
    <t>Small</t>
  </si>
  <si>
    <t>Wever</t>
  </si>
  <si>
    <t>Violani</t>
  </si>
  <si>
    <t>Agastra</t>
  </si>
  <si>
    <t>Usman</t>
  </si>
  <si>
    <t>Clark</t>
  </si>
  <si>
    <t>Shapiro</t>
  </si>
  <si>
    <t>Burrowes</t>
  </si>
  <si>
    <t>Hodgson</t>
  </si>
  <si>
    <t>Nolan</t>
  </si>
  <si>
    <t>Bougouneau</t>
  </si>
  <si>
    <t>Campfield</t>
  </si>
  <si>
    <t>Fothergill</t>
  </si>
  <si>
    <t>Yeasmin</t>
  </si>
  <si>
    <t>Hough</t>
  </si>
  <si>
    <t>Wanko</t>
  </si>
  <si>
    <t>Mickens</t>
  </si>
  <si>
    <t>Salazar</t>
  </si>
  <si>
    <t>Hayes</t>
  </si>
  <si>
    <t>Whyte</t>
  </si>
  <si>
    <t>Alexandre</t>
  </si>
  <si>
    <t>Rosas</t>
  </si>
  <si>
    <t>Lee</t>
  </si>
  <si>
    <t>Quinn</t>
  </si>
  <si>
    <t>Davila-Richards</t>
  </si>
  <si>
    <t>Rookwood</t>
  </si>
  <si>
    <t>Rivera Mendez</t>
  </si>
  <si>
    <t>Fendley</t>
  </si>
  <si>
    <t>Hamza</t>
  </si>
  <si>
    <t>Scotland</t>
  </si>
  <si>
    <t>Adonis</t>
  </si>
  <si>
    <t>Curry</t>
  </si>
  <si>
    <t>Blackwell</t>
  </si>
  <si>
    <t>Foxe</t>
  </si>
  <si>
    <t>Fell</t>
  </si>
  <si>
    <t>Bryant</t>
  </si>
  <si>
    <t>Sillah</t>
  </si>
  <si>
    <t>Escoto</t>
  </si>
  <si>
    <t>Keita</t>
  </si>
  <si>
    <t>Washington</t>
  </si>
  <si>
    <t>Pugh</t>
  </si>
  <si>
    <t>Gellein</t>
  </si>
  <si>
    <t>Moultrie</t>
  </si>
  <si>
    <t>Addico</t>
  </si>
  <si>
    <t>Noorata</t>
  </si>
  <si>
    <t>Jourdain</t>
  </si>
  <si>
    <t>Chavis</t>
  </si>
  <si>
    <t>Parker</t>
  </si>
  <si>
    <t>Manzanillo</t>
  </si>
  <si>
    <t>Walker</t>
  </si>
  <si>
    <t>Morillo</t>
  </si>
  <si>
    <t>Dawodu</t>
  </si>
  <si>
    <t>Napoleon</t>
  </si>
  <si>
    <t>Dumonte</t>
  </si>
  <si>
    <t>Watkins</t>
  </si>
  <si>
    <t>Merritt</t>
  </si>
  <si>
    <t>Bates</t>
  </si>
  <si>
    <t>Malick</t>
  </si>
  <si>
    <t>Macias</t>
  </si>
  <si>
    <t>Lawtone-Bowles</t>
  </si>
  <si>
    <t>Uman</t>
  </si>
  <si>
    <t>Holden</t>
  </si>
  <si>
    <t>Burnett</t>
  </si>
  <si>
    <t>Edmonds</t>
  </si>
  <si>
    <t>Rogers</t>
  </si>
  <si>
    <t>Thacher</t>
  </si>
  <si>
    <t>Henriquez</t>
  </si>
  <si>
    <t>Lyons</t>
  </si>
  <si>
    <t>Myers</t>
  </si>
  <si>
    <t>Vizcaino</t>
  </si>
  <si>
    <t>McDonald</t>
  </si>
  <si>
    <t>Charlot</t>
  </si>
  <si>
    <t>Perdomo</t>
  </si>
  <si>
    <t>Catedral</t>
  </si>
  <si>
    <t>Paige</t>
  </si>
  <si>
    <t>Guerrero</t>
  </si>
  <si>
    <t>McLaughlin</t>
  </si>
  <si>
    <t>Pacheco</t>
  </si>
  <si>
    <t>De Aza</t>
  </si>
  <si>
    <t>Goubatova</t>
  </si>
  <si>
    <t>Purvis</t>
  </si>
  <si>
    <t>Augustin</t>
  </si>
  <si>
    <t>Duran</t>
  </si>
  <si>
    <t>York</t>
  </si>
  <si>
    <t>Caesar</t>
  </si>
  <si>
    <t>Tejeda</t>
  </si>
  <si>
    <t>Preyor</t>
  </si>
  <si>
    <t>Gutierrez</t>
  </si>
  <si>
    <t>Avila</t>
  </si>
  <si>
    <t>Wu</t>
  </si>
  <si>
    <t>Bradley</t>
  </si>
  <si>
    <t>Kagan</t>
  </si>
  <si>
    <t>Meachum</t>
  </si>
  <si>
    <t>Ilyayeva</t>
  </si>
  <si>
    <t>Bejjani</t>
  </si>
  <si>
    <t>Tates</t>
  </si>
  <si>
    <t>Alcantara</t>
  </si>
  <si>
    <t>Walters</t>
  </si>
  <si>
    <t>Capers</t>
  </si>
  <si>
    <t>Coconi Potrero</t>
  </si>
  <si>
    <t>Robertson</t>
  </si>
  <si>
    <t>Toombs</t>
  </si>
  <si>
    <t>Cody</t>
  </si>
  <si>
    <t>Wellington</t>
  </si>
  <si>
    <t>Hicks</t>
  </si>
  <si>
    <t>Kingston</t>
  </si>
  <si>
    <t>Omisola</t>
  </si>
  <si>
    <t>Franks</t>
  </si>
  <si>
    <t>Logan</t>
  </si>
  <si>
    <t>Chavez</t>
  </si>
  <si>
    <t>Streety</t>
  </si>
  <si>
    <t>Malone</t>
  </si>
  <si>
    <t>Tolentino</t>
  </si>
  <si>
    <t>Garcia Lopez</t>
  </si>
  <si>
    <t>Mendoza-Matthews</t>
  </si>
  <si>
    <t>Fortune</t>
  </si>
  <si>
    <t>DeJesus</t>
  </si>
  <si>
    <t>Waterman</t>
  </si>
  <si>
    <t>Muniz</t>
  </si>
  <si>
    <t>Purcell</t>
  </si>
  <si>
    <t>Grasso</t>
  </si>
  <si>
    <t>Payne</t>
  </si>
  <si>
    <t>Roberts</t>
  </si>
  <si>
    <t>Dacchille</t>
  </si>
  <si>
    <t>Baksh</t>
  </si>
  <si>
    <t>Chandler Coard</t>
  </si>
  <si>
    <t>Dominguez</t>
  </si>
  <si>
    <t>Macauley</t>
  </si>
  <si>
    <t>Wheeler</t>
  </si>
  <si>
    <t>Rodgers</t>
  </si>
  <si>
    <t>DeLeon</t>
  </si>
  <si>
    <t>Nuralan</t>
  </si>
  <si>
    <t>Sanguinetti</t>
  </si>
  <si>
    <t>Chery</t>
  </si>
  <si>
    <t>Leavitt</t>
  </si>
  <si>
    <t>OWENS</t>
  </si>
  <si>
    <t>Igantovich</t>
  </si>
  <si>
    <t>Sierra</t>
  </si>
  <si>
    <t>Manon</t>
  </si>
  <si>
    <t>Belgrave</t>
  </si>
  <si>
    <t>Velez</t>
  </si>
  <si>
    <t>Grier</t>
  </si>
  <si>
    <t>Marin</t>
  </si>
  <si>
    <t>Carrasquillo</t>
  </si>
  <si>
    <t>McClarin</t>
  </si>
  <si>
    <t>Johns</t>
  </si>
  <si>
    <t>Peterkin</t>
  </si>
  <si>
    <t>Adrakor</t>
  </si>
  <si>
    <t>Anderson</t>
  </si>
  <si>
    <t>Deterville</t>
  </si>
  <si>
    <t>Loten</t>
  </si>
  <si>
    <t>Mitchell</t>
  </si>
  <si>
    <t>Lilley</t>
  </si>
  <si>
    <t>Singleton</t>
  </si>
  <si>
    <t>Cooper</t>
  </si>
  <si>
    <t>Sealy</t>
  </si>
  <si>
    <t>Pimentel</t>
  </si>
  <si>
    <t>Acosta</t>
  </si>
  <si>
    <t>Bramble</t>
  </si>
  <si>
    <t>Mullin</t>
  </si>
  <si>
    <t>Correa</t>
  </si>
  <si>
    <t>Bennett</t>
  </si>
  <si>
    <t>Belin</t>
  </si>
  <si>
    <t>Frye</t>
  </si>
  <si>
    <t>Guity</t>
  </si>
  <si>
    <t>Hoover</t>
  </si>
  <si>
    <t>Siva</t>
  </si>
  <si>
    <t>Booker</t>
  </si>
  <si>
    <t>Clay</t>
  </si>
  <si>
    <t>Colbert</t>
  </si>
  <si>
    <t>Gotay</t>
  </si>
  <si>
    <t>Hillstrom</t>
  </si>
  <si>
    <t>Alarcon</t>
  </si>
  <si>
    <t>Denehan</t>
  </si>
  <si>
    <t>Hidalgo</t>
  </si>
  <si>
    <t>Siguencia</t>
  </si>
  <si>
    <t>Cockfield</t>
  </si>
  <si>
    <t>Galdamez</t>
  </si>
  <si>
    <t>Wilkins</t>
  </si>
  <si>
    <t>Sampson</t>
  </si>
  <si>
    <t>Cotton</t>
  </si>
  <si>
    <t>O'Briant</t>
  </si>
  <si>
    <t>Hill</t>
  </si>
  <si>
    <t>Alberto</t>
  </si>
  <si>
    <t>Castillo-Valencia</t>
  </si>
  <si>
    <t>Sanoe</t>
  </si>
  <si>
    <t>Camacho</t>
  </si>
  <si>
    <t>Reid</t>
  </si>
  <si>
    <t>Christian</t>
  </si>
  <si>
    <t>Najera</t>
  </si>
  <si>
    <t>Josephs</t>
  </si>
  <si>
    <t>Mercer</t>
  </si>
  <si>
    <t>Service</t>
  </si>
  <si>
    <t>Sylvester</t>
  </si>
  <si>
    <t>Jefferey</t>
  </si>
  <si>
    <t>Bancroft</t>
  </si>
  <si>
    <t>Buchanan</t>
  </si>
  <si>
    <t>McIntosh</t>
  </si>
  <si>
    <t>Bowes</t>
  </si>
  <si>
    <t>Jiminez</t>
  </si>
  <si>
    <t>Oguamanam</t>
  </si>
  <si>
    <t>Encarnacion</t>
  </si>
  <si>
    <t>Mejia</t>
  </si>
  <si>
    <t>Newby</t>
  </si>
  <si>
    <t>Yapp</t>
  </si>
  <si>
    <t>Moran</t>
  </si>
  <si>
    <t>Cayer</t>
  </si>
  <si>
    <t>Vega-Rivera</t>
  </si>
  <si>
    <t>Kusiak Carey</t>
  </si>
  <si>
    <t>Somthers</t>
  </si>
  <si>
    <t>Austin</t>
  </si>
  <si>
    <t>Pichardo</t>
  </si>
  <si>
    <t>Salguero</t>
  </si>
  <si>
    <t>Alvarado Bobea</t>
  </si>
  <si>
    <t>McHenry</t>
  </si>
  <si>
    <t>Triliegi</t>
  </si>
  <si>
    <t>Prasaud</t>
  </si>
  <si>
    <t>Gallagher</t>
  </si>
  <si>
    <t>McKinney</t>
  </si>
  <si>
    <t>Webb</t>
  </si>
  <si>
    <t>Catellanos</t>
  </si>
  <si>
    <t>Hogan</t>
  </si>
  <si>
    <t>Wise</t>
  </si>
  <si>
    <t>Bell</t>
  </si>
  <si>
    <t>Quiroz</t>
  </si>
  <si>
    <t>Gimenez</t>
  </si>
  <si>
    <t>Wyche</t>
  </si>
  <si>
    <t>Cortes</t>
  </si>
  <si>
    <t>Dorjee</t>
  </si>
  <si>
    <t>Holland</t>
  </si>
  <si>
    <t>Davidson</t>
  </si>
  <si>
    <t>McCullough</t>
  </si>
  <si>
    <t>Bromell</t>
  </si>
  <si>
    <t>Seward</t>
  </si>
  <si>
    <t>Izaguirre</t>
  </si>
  <si>
    <t>Granado</t>
  </si>
  <si>
    <t>Velasquez</t>
  </si>
  <si>
    <t>Banwareesingh</t>
  </si>
  <si>
    <t>Lapaz</t>
  </si>
  <si>
    <t>Buckle</t>
  </si>
  <si>
    <t>Lombard</t>
  </si>
  <si>
    <t>Da Silva</t>
  </si>
  <si>
    <t>Faison</t>
  </si>
  <si>
    <t>Hendricks</t>
  </si>
  <si>
    <t>Atkinson</t>
  </si>
  <si>
    <t>Denis</t>
  </si>
  <si>
    <t>Cintron</t>
  </si>
  <si>
    <t>Cundiff</t>
  </si>
  <si>
    <t>Dixon</t>
  </si>
  <si>
    <t>Winston-Orr</t>
  </si>
  <si>
    <t>Brinson</t>
  </si>
  <si>
    <t>Worthen</t>
  </si>
  <si>
    <t>LittleJohn</t>
  </si>
  <si>
    <t>Francisquini</t>
  </si>
  <si>
    <t>Hudson</t>
  </si>
  <si>
    <t>Mckenna</t>
  </si>
  <si>
    <t>Hines</t>
  </si>
  <si>
    <t>Nugent</t>
  </si>
  <si>
    <t>Pellot</t>
  </si>
  <si>
    <t>Obregon</t>
  </si>
  <si>
    <t>Mainor</t>
  </si>
  <si>
    <t>Rondon</t>
  </si>
  <si>
    <t>Cortorreal</t>
  </si>
  <si>
    <t>Herrington</t>
  </si>
  <si>
    <t>Newland</t>
  </si>
  <si>
    <t>Minaya</t>
  </si>
  <si>
    <t>Franco</t>
  </si>
  <si>
    <t>Espinel</t>
  </si>
  <si>
    <t>Dubois</t>
  </si>
  <si>
    <t>Ojumu</t>
  </si>
  <si>
    <t>Goodridge</t>
  </si>
  <si>
    <t>Romero</t>
  </si>
  <si>
    <t>Puello</t>
  </si>
  <si>
    <t>Betances</t>
  </si>
  <si>
    <t>Katt</t>
  </si>
  <si>
    <t>Boomer</t>
  </si>
  <si>
    <t>Robinson</t>
  </si>
  <si>
    <t>Okomeng</t>
  </si>
  <si>
    <t>Carloss</t>
  </si>
  <si>
    <t>Amezquita</t>
  </si>
  <si>
    <t>Ash</t>
  </si>
  <si>
    <t>Serebriakov</t>
  </si>
  <si>
    <t>Leach</t>
  </si>
  <si>
    <t>Sumpter</t>
  </si>
  <si>
    <t>Valentin</t>
  </si>
  <si>
    <t>Mcrae</t>
  </si>
  <si>
    <t>Daniels</t>
  </si>
  <si>
    <t>Stewart</t>
  </si>
  <si>
    <t>Osorio</t>
  </si>
  <si>
    <t>Zawoiski</t>
  </si>
  <si>
    <t>Bibins</t>
  </si>
  <si>
    <t>Moreno Vega</t>
  </si>
  <si>
    <t>Ridley Parson</t>
  </si>
  <si>
    <t>Romain</t>
  </si>
  <si>
    <t>Butler</t>
  </si>
  <si>
    <t>Downes</t>
  </si>
  <si>
    <t>Bernabe</t>
  </si>
  <si>
    <t>Climes</t>
  </si>
  <si>
    <t>Devonish</t>
  </si>
  <si>
    <t>Apolinario</t>
  </si>
  <si>
    <t>Watson</t>
  </si>
  <si>
    <t>Pounding</t>
  </si>
  <si>
    <t>Saheed</t>
  </si>
  <si>
    <t>Clermont</t>
  </si>
  <si>
    <t>Rubinstein</t>
  </si>
  <si>
    <t>Perry</t>
  </si>
  <si>
    <t>Yung</t>
  </si>
  <si>
    <t>Crespo-Ramos</t>
  </si>
  <si>
    <t>Yates</t>
  </si>
  <si>
    <t>Rollgier-Marshall</t>
  </si>
  <si>
    <t>Abdullah</t>
  </si>
  <si>
    <t>West</t>
  </si>
  <si>
    <t>Gras</t>
  </si>
  <si>
    <t>Blondell</t>
  </si>
  <si>
    <t>Tovar</t>
  </si>
  <si>
    <t>Evans</t>
  </si>
  <si>
    <t>Long</t>
  </si>
  <si>
    <t>Robateau</t>
  </si>
  <si>
    <t>Russell</t>
  </si>
  <si>
    <t>Aime</t>
  </si>
  <si>
    <t>Rothenberg</t>
  </si>
  <si>
    <t>Correy</t>
  </si>
  <si>
    <t>Pitts</t>
  </si>
  <si>
    <t>Sow</t>
  </si>
  <si>
    <t>Mtambuzi</t>
  </si>
  <si>
    <t>Saunders Burks</t>
  </si>
  <si>
    <t>Peters</t>
  </si>
  <si>
    <t>Lam</t>
  </si>
  <si>
    <t>Siegfrieft</t>
  </si>
  <si>
    <t>Dinh</t>
  </si>
  <si>
    <t>Westbrook</t>
  </si>
  <si>
    <t>Kellman</t>
  </si>
  <si>
    <t>Wiscovitch</t>
  </si>
  <si>
    <t>Jubinsky</t>
  </si>
  <si>
    <t>Camurati</t>
  </si>
  <si>
    <t>Torres Adorno</t>
  </si>
  <si>
    <t>Fields</t>
  </si>
  <si>
    <t>Corriders</t>
  </si>
  <si>
    <t>Rucker</t>
  </si>
  <si>
    <t>Allende</t>
  </si>
  <si>
    <t>Colina</t>
  </si>
  <si>
    <t>Flowers</t>
  </si>
  <si>
    <t>Ifield</t>
  </si>
  <si>
    <t>Barrett</t>
  </si>
  <si>
    <t>Okonji</t>
  </si>
  <si>
    <t>Hassell</t>
  </si>
  <si>
    <t>Collier</t>
  </si>
  <si>
    <t>Pettus</t>
  </si>
  <si>
    <t>Harris</t>
  </si>
  <si>
    <t>Dattaray</t>
  </si>
  <si>
    <t>Scott</t>
  </si>
  <si>
    <t>Harden</t>
  </si>
  <si>
    <t>Simon</t>
  </si>
  <si>
    <t>Rosario</t>
  </si>
  <si>
    <t>Atkins-Jones</t>
  </si>
  <si>
    <t>Hayardeny</t>
  </si>
  <si>
    <t>Hanley</t>
  </si>
  <si>
    <t>Knight</t>
  </si>
  <si>
    <t>DAVIDSON- RHODES</t>
  </si>
  <si>
    <t>Siri</t>
  </si>
  <si>
    <t>Sawney-Calliste</t>
  </si>
  <si>
    <t>Doesserie-Mitchell</t>
  </si>
  <si>
    <t>Mials</t>
  </si>
  <si>
    <t>Richmond</t>
  </si>
  <si>
    <t>Zhou</t>
  </si>
  <si>
    <t>Virgil</t>
  </si>
  <si>
    <t>Cole</t>
  </si>
  <si>
    <t>Roseboro</t>
  </si>
  <si>
    <t>Ferreria</t>
  </si>
  <si>
    <t>Blumenthal</t>
  </si>
  <si>
    <t>Park</t>
  </si>
  <si>
    <t>Stokes</t>
  </si>
  <si>
    <t>Quarles</t>
  </si>
  <si>
    <t>Hart</t>
  </si>
  <si>
    <t>Cardenas</t>
  </si>
  <si>
    <t>Sheen</t>
  </si>
  <si>
    <t>Cattaneo</t>
  </si>
  <si>
    <t>Balfour</t>
  </si>
  <si>
    <t>Macaldo</t>
  </si>
  <si>
    <t>Dinkins</t>
  </si>
  <si>
    <t>Brazoban</t>
  </si>
  <si>
    <t>Hodges</t>
  </si>
  <si>
    <t>Meyer</t>
  </si>
  <si>
    <t>Lambert</t>
  </si>
  <si>
    <t>Fermin-Pena</t>
  </si>
  <si>
    <t>Providence</t>
  </si>
  <si>
    <t>Wynn</t>
  </si>
  <si>
    <t>Cheng</t>
  </si>
  <si>
    <t>Qi</t>
  </si>
  <si>
    <t>Saladin</t>
  </si>
  <si>
    <t>Bauminger</t>
  </si>
  <si>
    <t>Simpson</t>
  </si>
  <si>
    <t>Winkler</t>
  </si>
  <si>
    <t>La Salle</t>
  </si>
  <si>
    <t>Hays</t>
  </si>
  <si>
    <t>Miller</t>
  </si>
  <si>
    <t>Camilo</t>
  </si>
  <si>
    <t>Apparicio</t>
  </si>
  <si>
    <t>Antigua</t>
  </si>
  <si>
    <t>Arroyo</t>
  </si>
  <si>
    <t>Sarvis</t>
  </si>
  <si>
    <t>Kahn</t>
  </si>
  <si>
    <t>Joseph-Allen</t>
  </si>
  <si>
    <t>Biddle</t>
  </si>
  <si>
    <t>Armstrong</t>
  </si>
  <si>
    <t>Mena</t>
  </si>
  <si>
    <t>McGhee</t>
  </si>
  <si>
    <t>Scrubb</t>
  </si>
  <si>
    <t>Langley</t>
  </si>
  <si>
    <t>Mueses</t>
  </si>
  <si>
    <t>Nygaard</t>
  </si>
  <si>
    <t>Reynoso</t>
  </si>
  <si>
    <t>Matthews</t>
  </si>
  <si>
    <t>Lamar</t>
  </si>
  <si>
    <t>Outon</t>
  </si>
  <si>
    <t>Rowe</t>
  </si>
  <si>
    <t>Dyer</t>
  </si>
  <si>
    <t>Rouse</t>
  </si>
  <si>
    <t>Grant</t>
  </si>
  <si>
    <t>Milliner</t>
  </si>
  <si>
    <t>Bores</t>
  </si>
  <si>
    <t>Bondoc</t>
  </si>
  <si>
    <t>Midgette</t>
  </si>
  <si>
    <t>Tempey</t>
  </si>
  <si>
    <t>Zeidenberg</t>
  </si>
  <si>
    <t>Corona Rios</t>
  </si>
  <si>
    <t>Tenebaum</t>
  </si>
  <si>
    <t>Robillard</t>
  </si>
  <si>
    <t>Flotteron</t>
  </si>
  <si>
    <t>Lucas</t>
  </si>
  <si>
    <t>Taguchi</t>
  </si>
  <si>
    <t>Mateo Mejia</t>
  </si>
  <si>
    <t>Fortes</t>
  </si>
  <si>
    <t>Burke</t>
  </si>
  <si>
    <t>Yuan</t>
  </si>
  <si>
    <t>Desmond</t>
  </si>
  <si>
    <t>Garrett</t>
  </si>
  <si>
    <t>Soukamneuth</t>
  </si>
  <si>
    <t>Mendenhall</t>
  </si>
  <si>
    <t>Irizarry</t>
  </si>
  <si>
    <t>Sterling</t>
  </si>
  <si>
    <t>Nicosia</t>
  </si>
  <si>
    <t>Josten</t>
  </si>
  <si>
    <t>Klass</t>
  </si>
  <si>
    <t>Habib</t>
  </si>
  <si>
    <t>Raskazof</t>
  </si>
  <si>
    <t>Ishrie</t>
  </si>
  <si>
    <t>Fazal</t>
  </si>
  <si>
    <t>Sheroff</t>
  </si>
  <si>
    <t>Fan</t>
  </si>
  <si>
    <t>Liau</t>
  </si>
  <si>
    <t>Barrow</t>
  </si>
  <si>
    <t>Malik</t>
  </si>
  <si>
    <t>Desse</t>
  </si>
  <si>
    <t>Polanco</t>
  </si>
  <si>
    <t>Stroh</t>
  </si>
  <si>
    <t>Niellolson</t>
  </si>
  <si>
    <t>Justinano</t>
  </si>
  <si>
    <t>Lujano</t>
  </si>
  <si>
    <t>Trujilo</t>
  </si>
  <si>
    <t>Ferrari</t>
  </si>
  <si>
    <t>McKenna</t>
  </si>
  <si>
    <t>Crofford</t>
  </si>
  <si>
    <t>Wright</t>
  </si>
  <si>
    <t>Sanogo</t>
  </si>
  <si>
    <t>Bermudez</t>
  </si>
  <si>
    <t>De los Santos</t>
  </si>
  <si>
    <t>Putinskaya</t>
  </si>
  <si>
    <t>Keeby</t>
  </si>
  <si>
    <t>Bravo</t>
  </si>
  <si>
    <t>Yturbe</t>
  </si>
  <si>
    <t>Diaz-Migoyo</t>
  </si>
  <si>
    <t>Orekunrin</t>
  </si>
  <si>
    <t>McLain</t>
  </si>
  <si>
    <t>Audige</t>
  </si>
  <si>
    <t>Spector</t>
  </si>
  <si>
    <t>Nurse</t>
  </si>
  <si>
    <t>Altgibers</t>
  </si>
  <si>
    <t>Fraser</t>
  </si>
  <si>
    <t>Longmore</t>
  </si>
  <si>
    <t>Kotlyarenko</t>
  </si>
  <si>
    <t>Solis</t>
  </si>
  <si>
    <t>Mota</t>
  </si>
  <si>
    <t>Weigand</t>
  </si>
  <si>
    <t>Degroat</t>
  </si>
  <si>
    <t>Sheppard</t>
  </si>
  <si>
    <t>Mingo</t>
  </si>
  <si>
    <t>Amadeo</t>
  </si>
  <si>
    <t>Razon</t>
  </si>
  <si>
    <t>Boyuk</t>
  </si>
  <si>
    <t>McKines</t>
  </si>
  <si>
    <t>Cascarano</t>
  </si>
  <si>
    <t>Donplay</t>
  </si>
  <si>
    <t>Werkmeister</t>
  </si>
  <si>
    <t>Peralta</t>
  </si>
  <si>
    <t>Munera</t>
  </si>
  <si>
    <t>Delaine</t>
  </si>
  <si>
    <t>McMurtry Somerville</t>
  </si>
  <si>
    <t>Konteh</t>
  </si>
  <si>
    <t>McCartney</t>
  </si>
  <si>
    <t>McCullovgh</t>
  </si>
  <si>
    <t>Gangi</t>
  </si>
  <si>
    <t>Drayton</t>
  </si>
  <si>
    <t>Qayyem</t>
  </si>
  <si>
    <t>Klapper</t>
  </si>
  <si>
    <t>Salvatore</t>
  </si>
  <si>
    <t>Abrams</t>
  </si>
  <si>
    <t>Moreno</t>
  </si>
  <si>
    <t>Greenberg</t>
  </si>
  <si>
    <t>Oser</t>
  </si>
  <si>
    <t>Dodack</t>
  </si>
  <si>
    <t>Keeling</t>
  </si>
  <si>
    <t>Durham</t>
  </si>
  <si>
    <t>Drakes</t>
  </si>
  <si>
    <t>Hamdown</t>
  </si>
  <si>
    <t>Hamdoun</t>
  </si>
  <si>
    <t>Scullark</t>
  </si>
  <si>
    <t>Buret</t>
  </si>
  <si>
    <t>Portilla</t>
  </si>
  <si>
    <t>Andrews</t>
  </si>
  <si>
    <t>Statuto</t>
  </si>
  <si>
    <t>Rossi</t>
  </si>
  <si>
    <t>Belen</t>
  </si>
  <si>
    <t>Wignon</t>
  </si>
  <si>
    <t>Chang</t>
  </si>
  <si>
    <t>Beaton</t>
  </si>
  <si>
    <t>Brenner</t>
  </si>
  <si>
    <t>Champagne</t>
  </si>
  <si>
    <t>Tross</t>
  </si>
  <si>
    <t>Walton</t>
  </si>
  <si>
    <t>Mashriqi</t>
  </si>
  <si>
    <t>Seabrook</t>
  </si>
  <si>
    <t>Starvage</t>
  </si>
  <si>
    <t>Jouvert</t>
  </si>
  <si>
    <t>Garduno</t>
  </si>
  <si>
    <t>Risbrook</t>
  </si>
  <si>
    <t>Bullod</t>
  </si>
  <si>
    <t>Poe</t>
  </si>
  <si>
    <t>Hendy-Hogan</t>
  </si>
  <si>
    <t>Saavedra</t>
  </si>
  <si>
    <t>Casado</t>
  </si>
  <si>
    <t>Quinteros</t>
  </si>
  <si>
    <t>Davies</t>
  </si>
  <si>
    <t>Cook</t>
  </si>
  <si>
    <t>Waldman</t>
  </si>
  <si>
    <t>Cohen</t>
  </si>
  <si>
    <t>Pinckney</t>
  </si>
  <si>
    <t>Merino Herrera</t>
  </si>
  <si>
    <t>Duarte</t>
  </si>
  <si>
    <t>Jemima</t>
  </si>
  <si>
    <t>Berry</t>
  </si>
  <si>
    <t>Bartolomey</t>
  </si>
  <si>
    <t>Kurry</t>
  </si>
  <si>
    <t>Gaston</t>
  </si>
  <si>
    <t>Geronimo</t>
  </si>
  <si>
    <t>Warmack</t>
  </si>
  <si>
    <t>Germoso</t>
  </si>
  <si>
    <t>Newell</t>
  </si>
  <si>
    <t>Berroa</t>
  </si>
  <si>
    <t>Paez</t>
  </si>
  <si>
    <t>Bailey-Barnes</t>
  </si>
  <si>
    <t>Bland</t>
  </si>
  <si>
    <t>caicedo</t>
  </si>
  <si>
    <t>Banovich</t>
  </si>
  <si>
    <t>Goodwin</t>
  </si>
  <si>
    <t>Love</t>
  </si>
  <si>
    <t>St. Onge</t>
  </si>
  <si>
    <t>Ynfante</t>
  </si>
  <si>
    <t>Applewhite</t>
  </si>
  <si>
    <t>Hong</t>
  </si>
  <si>
    <t>Basith</t>
  </si>
  <si>
    <t>Corwin</t>
  </si>
  <si>
    <t>Boothe</t>
  </si>
  <si>
    <t>Mei</t>
  </si>
  <si>
    <t>Vanderhorst</t>
  </si>
  <si>
    <t>Adega</t>
  </si>
  <si>
    <t>Reyes Sonhouse</t>
  </si>
  <si>
    <t>Bruckstein</t>
  </si>
  <si>
    <t>Miles Henry</t>
  </si>
  <si>
    <t>De Rojas</t>
  </si>
  <si>
    <t>Gustinvil</t>
  </si>
  <si>
    <t>Russo</t>
  </si>
  <si>
    <t>Harvel</t>
  </si>
  <si>
    <t>Yan</t>
  </si>
  <si>
    <t>Rowland</t>
  </si>
  <si>
    <t>Nunes</t>
  </si>
  <si>
    <t>Muriel</t>
  </si>
  <si>
    <t>Harris Hudson</t>
  </si>
  <si>
    <t>Romano</t>
  </si>
  <si>
    <t>Moody</t>
  </si>
  <si>
    <t>Anjou</t>
  </si>
  <si>
    <t>Mayard</t>
  </si>
  <si>
    <t>Surgeon</t>
  </si>
  <si>
    <t>Powell</t>
  </si>
  <si>
    <t>Steinberg</t>
  </si>
  <si>
    <t>Kinalis</t>
  </si>
  <si>
    <t>Mckenzie</t>
  </si>
  <si>
    <t>Sweat</t>
  </si>
  <si>
    <t>Caple</t>
  </si>
  <si>
    <t>Garcia Valdez</t>
  </si>
  <si>
    <t>Simeon</t>
  </si>
  <si>
    <t>Elliott</t>
  </si>
  <si>
    <t>Choy</t>
  </si>
  <si>
    <t>Browne</t>
  </si>
  <si>
    <t>Uriel Gomez</t>
  </si>
  <si>
    <t>Dunlock</t>
  </si>
  <si>
    <t>Corrales</t>
  </si>
  <si>
    <t>Deitz</t>
  </si>
  <si>
    <t>Meracdo</t>
  </si>
  <si>
    <t>Dotts</t>
  </si>
  <si>
    <t>Araujo</t>
  </si>
  <si>
    <t>Jerzewski</t>
  </si>
  <si>
    <t>De Jesus</t>
  </si>
  <si>
    <t>Pappas</t>
  </si>
  <si>
    <t>Connolly</t>
  </si>
  <si>
    <t>Svendsen Jr.</t>
  </si>
  <si>
    <t>Threets</t>
  </si>
  <si>
    <t>Shahoah</t>
  </si>
  <si>
    <t>Hawkins</t>
  </si>
  <si>
    <t>Matos</t>
  </si>
  <si>
    <t>Cox Lawson</t>
  </si>
  <si>
    <t>Carbajal</t>
  </si>
  <si>
    <t>Svendsen</t>
  </si>
  <si>
    <t>Carrion</t>
  </si>
  <si>
    <t>Croom</t>
  </si>
  <si>
    <t>Cockerl</t>
  </si>
  <si>
    <t>Montrose</t>
  </si>
  <si>
    <t>Nesmith</t>
  </si>
  <si>
    <t>Ducret</t>
  </si>
  <si>
    <t>Fulton</t>
  </si>
  <si>
    <t>Richardson</t>
  </si>
  <si>
    <t>Kimbo</t>
  </si>
  <si>
    <t>Marrero</t>
  </si>
  <si>
    <t>Nivar</t>
  </si>
  <si>
    <t>Slove</t>
  </si>
  <si>
    <t>Marte</t>
  </si>
  <si>
    <t>Orenkleim</t>
  </si>
  <si>
    <t>Ferreira</t>
  </si>
  <si>
    <t>Lupez</t>
  </si>
  <si>
    <t>Imbert</t>
  </si>
  <si>
    <t>Weinstein</t>
  </si>
  <si>
    <t>Guzman</t>
  </si>
  <si>
    <t>Casilla</t>
  </si>
  <si>
    <t>Holman</t>
  </si>
  <si>
    <t>Cuevas</t>
  </si>
  <si>
    <t>Melendez</t>
  </si>
  <si>
    <t>Lozano Soto</t>
  </si>
  <si>
    <t>Keyes</t>
  </si>
  <si>
    <t>Grayson</t>
  </si>
  <si>
    <t>Lantigua</t>
  </si>
  <si>
    <t>Hazelton</t>
  </si>
  <si>
    <t>Huarneck</t>
  </si>
  <si>
    <t>Lanzot</t>
  </si>
  <si>
    <t>Echevarria</t>
  </si>
  <si>
    <t>Dargan</t>
  </si>
  <si>
    <t>Men</t>
  </si>
  <si>
    <t>Hanes</t>
  </si>
  <si>
    <t>Baxter</t>
  </si>
  <si>
    <t>Lovera</t>
  </si>
  <si>
    <t>Brooks</t>
  </si>
  <si>
    <t>Kercy</t>
  </si>
  <si>
    <t>Mendoza</t>
  </si>
  <si>
    <t>Kolubo</t>
  </si>
  <si>
    <t>Praileau</t>
  </si>
  <si>
    <t>Rivers</t>
  </si>
  <si>
    <t>Marmolejos</t>
  </si>
  <si>
    <t>Soriano</t>
  </si>
  <si>
    <t>Eraham</t>
  </si>
  <si>
    <t>Telford</t>
  </si>
  <si>
    <t>Dowdell</t>
  </si>
  <si>
    <t>Hurbides</t>
  </si>
  <si>
    <t>McLarin</t>
  </si>
  <si>
    <t>Greaves</t>
  </si>
  <si>
    <t>Gibbs</t>
  </si>
  <si>
    <t>McCurdy</t>
  </si>
  <si>
    <t>Lynch</t>
  </si>
  <si>
    <t>Alcindor</t>
  </si>
  <si>
    <t>Wong</t>
  </si>
  <si>
    <t>Buchfuhrer</t>
  </si>
  <si>
    <t>Bettis</t>
  </si>
  <si>
    <t>Canty</t>
  </si>
  <si>
    <t>Contreras</t>
  </si>
  <si>
    <t>Piro</t>
  </si>
  <si>
    <t>Martey</t>
  </si>
  <si>
    <t>Sormiento</t>
  </si>
  <si>
    <t>Saint Louis</t>
  </si>
  <si>
    <t>Nieves</t>
  </si>
  <si>
    <t>Quinones</t>
  </si>
  <si>
    <t>Paltoo</t>
  </si>
  <si>
    <t>Ip</t>
  </si>
  <si>
    <t>Braun</t>
  </si>
  <si>
    <t>Gorham</t>
  </si>
  <si>
    <t>Almeida</t>
  </si>
  <si>
    <t>Tavares</t>
  </si>
  <si>
    <t>Antonelli</t>
  </si>
  <si>
    <t>Clavijo</t>
  </si>
  <si>
    <t>Dilone</t>
  </si>
  <si>
    <t>Robinison</t>
  </si>
  <si>
    <t>Zollo</t>
  </si>
  <si>
    <t>Dminguez</t>
  </si>
  <si>
    <t>Terranova</t>
  </si>
  <si>
    <t>Varaques</t>
  </si>
  <si>
    <t>Ma</t>
  </si>
  <si>
    <t>Fernanders</t>
  </si>
  <si>
    <t>Lowe</t>
  </si>
  <si>
    <t>Ruiz</t>
  </si>
  <si>
    <t>Estevez</t>
  </si>
  <si>
    <t>Gouraige</t>
  </si>
  <si>
    <t>Mayi</t>
  </si>
  <si>
    <t>Salcedo</t>
  </si>
  <si>
    <t>Brathwaite</t>
  </si>
  <si>
    <t>Askew-Thomas</t>
  </si>
  <si>
    <t>Newton</t>
  </si>
  <si>
    <t>Mirla</t>
  </si>
  <si>
    <t>Nicholson</t>
  </si>
  <si>
    <t>Kunene</t>
  </si>
  <si>
    <t>Villar</t>
  </si>
  <si>
    <t>Billingsley</t>
  </si>
  <si>
    <t>Guida</t>
  </si>
  <si>
    <t>Mateo</t>
  </si>
  <si>
    <t>Cochran</t>
  </si>
  <si>
    <t>Shands</t>
  </si>
  <si>
    <t>Baron</t>
  </si>
  <si>
    <t>Tucker</t>
  </si>
  <si>
    <t>Xu</t>
  </si>
  <si>
    <t>Warnick</t>
  </si>
  <si>
    <t>paez</t>
  </si>
  <si>
    <t>Reyes Abreu</t>
  </si>
  <si>
    <t>Urena</t>
  </si>
  <si>
    <t>Lugo</t>
  </si>
  <si>
    <t>Greene</t>
  </si>
  <si>
    <t>Barron</t>
  </si>
  <si>
    <t>Abdelgawad</t>
  </si>
  <si>
    <t>Thaggard</t>
  </si>
  <si>
    <t>Patterson</t>
  </si>
  <si>
    <t>Headlan</t>
  </si>
  <si>
    <t>Martelli</t>
  </si>
  <si>
    <t>Garcia Cruz</t>
  </si>
  <si>
    <t>Argentin</t>
  </si>
  <si>
    <t>Ocasio</t>
  </si>
  <si>
    <t>Li</t>
  </si>
  <si>
    <t>Gibson</t>
  </si>
  <si>
    <t>Treitedmy</t>
  </si>
  <si>
    <t>Lindsay</t>
  </si>
  <si>
    <t>Shuler</t>
  </si>
  <si>
    <t>Mercado</t>
  </si>
  <si>
    <t>Spruce</t>
  </si>
  <si>
    <t>Paredes</t>
  </si>
  <si>
    <t>Sharma</t>
  </si>
  <si>
    <t>Mantilla</t>
  </si>
  <si>
    <t>Alvarez</t>
  </si>
  <si>
    <t>Brewster-Simmons</t>
  </si>
  <si>
    <t>Pizarro</t>
  </si>
  <si>
    <t>Cifuentes</t>
  </si>
  <si>
    <t>Sotomayor</t>
  </si>
  <si>
    <t>Kennerly</t>
  </si>
  <si>
    <t>Mullins</t>
  </si>
  <si>
    <t>Josey Jr.</t>
  </si>
  <si>
    <t>Castellanos</t>
  </si>
  <si>
    <t>Feliciano</t>
  </si>
  <si>
    <t>Gooding</t>
  </si>
  <si>
    <t>Ayoub</t>
  </si>
  <si>
    <t>Bonner</t>
  </si>
  <si>
    <t>Conwell</t>
  </si>
  <si>
    <t>Muller</t>
  </si>
  <si>
    <t>Montero</t>
  </si>
  <si>
    <t>Zraick</t>
  </si>
  <si>
    <t>Hankerson</t>
  </si>
  <si>
    <t>Barreto</t>
  </si>
  <si>
    <t>Gadson</t>
  </si>
  <si>
    <t>Randolph</t>
  </si>
  <si>
    <t>Roque</t>
  </si>
  <si>
    <t>Cervantes</t>
  </si>
  <si>
    <t>Green</t>
  </si>
  <si>
    <t>Holguin</t>
  </si>
  <si>
    <t>McCain</t>
  </si>
  <si>
    <t>Lazu</t>
  </si>
  <si>
    <t>Golson</t>
  </si>
  <si>
    <t>Ray-Hart</t>
  </si>
  <si>
    <t>Silva</t>
  </si>
  <si>
    <t>Breytman</t>
  </si>
  <si>
    <t>Roubert</t>
  </si>
  <si>
    <t>McCants</t>
  </si>
  <si>
    <t>Fajardo</t>
  </si>
  <si>
    <t>Salado</t>
  </si>
  <si>
    <t>Edwards</t>
  </si>
  <si>
    <t>Canavatchel</t>
  </si>
  <si>
    <t>Gaudioso</t>
  </si>
  <si>
    <t>Key</t>
  </si>
  <si>
    <t>Delgado</t>
  </si>
  <si>
    <t>Hammond</t>
  </si>
  <si>
    <t>Arocho</t>
  </si>
  <si>
    <t>Mungin</t>
  </si>
  <si>
    <t>Atell</t>
  </si>
  <si>
    <t>Mortimer</t>
  </si>
  <si>
    <t>Horton</t>
  </si>
  <si>
    <t>Ratley</t>
  </si>
  <si>
    <t>Rentas</t>
  </si>
  <si>
    <t>Webster</t>
  </si>
  <si>
    <t>Ofner</t>
  </si>
  <si>
    <t>Sukhdeo</t>
  </si>
  <si>
    <t>Daffus</t>
  </si>
  <si>
    <t>Isaie</t>
  </si>
  <si>
    <t>Cornell</t>
  </si>
  <si>
    <t>Gittens</t>
  </si>
  <si>
    <t>Baldwin</t>
  </si>
  <si>
    <t>Fisher</t>
  </si>
  <si>
    <t>Valentine</t>
  </si>
  <si>
    <t>Polanski</t>
  </si>
  <si>
    <t>Boria</t>
  </si>
  <si>
    <t>Blanco</t>
  </si>
  <si>
    <t>Chung</t>
  </si>
  <si>
    <t>Tillery</t>
  </si>
  <si>
    <t>Robles</t>
  </si>
  <si>
    <t>Rondon Nunez</t>
  </si>
  <si>
    <t>De Los Santos</t>
  </si>
  <si>
    <t>Amaro</t>
  </si>
  <si>
    <t>Tanco</t>
  </si>
  <si>
    <t>Herrera</t>
  </si>
  <si>
    <t>Aquino</t>
  </si>
  <si>
    <t>Morla de Agosto</t>
  </si>
  <si>
    <t>Negron</t>
  </si>
  <si>
    <t>Waters</t>
  </si>
  <si>
    <t>Buenrostro</t>
  </si>
  <si>
    <t>ROMAN</t>
  </si>
  <si>
    <t>Higgins</t>
  </si>
  <si>
    <t>St. Louis</t>
  </si>
  <si>
    <t>Kee</t>
  </si>
  <si>
    <t>Smalls</t>
  </si>
  <si>
    <t>Francois</t>
  </si>
  <si>
    <t>Sims</t>
  </si>
  <si>
    <t>Matzke</t>
  </si>
  <si>
    <t>Afzali</t>
  </si>
  <si>
    <t>Carey</t>
  </si>
  <si>
    <t>Sumter</t>
  </si>
  <si>
    <t>Otchere</t>
  </si>
  <si>
    <t>Floyd</t>
  </si>
  <si>
    <t>Vinson</t>
  </si>
  <si>
    <t>Kennard</t>
  </si>
  <si>
    <t>Magee</t>
  </si>
  <si>
    <t>Cardona</t>
  </si>
  <si>
    <t>Nerys</t>
  </si>
  <si>
    <t>Miley</t>
  </si>
  <si>
    <t>Casaigne</t>
  </si>
  <si>
    <t>Narcisse</t>
  </si>
  <si>
    <t>Ombongo-Golden</t>
  </si>
  <si>
    <t>Telusma</t>
  </si>
  <si>
    <t>Guadelupe</t>
  </si>
  <si>
    <t>Laureano</t>
  </si>
  <si>
    <t>MCKEON</t>
  </si>
  <si>
    <t>Amanilla</t>
  </si>
  <si>
    <t>Bookman</t>
  </si>
  <si>
    <t>Pina</t>
  </si>
  <si>
    <t>Osbourne Garlington</t>
  </si>
  <si>
    <t>Dickey</t>
  </si>
  <si>
    <t>Sturgis</t>
  </si>
  <si>
    <t>Carney</t>
  </si>
  <si>
    <t>Blalock</t>
  </si>
  <si>
    <t>Gonell</t>
  </si>
  <si>
    <t>Marroche</t>
  </si>
  <si>
    <t>Fobbs</t>
  </si>
  <si>
    <t>Cuadrado</t>
  </si>
  <si>
    <t>Cheeks</t>
  </si>
  <si>
    <t>Rosell</t>
  </si>
  <si>
    <t>Carona</t>
  </si>
  <si>
    <t>Aurich</t>
  </si>
  <si>
    <t>Storms</t>
  </si>
  <si>
    <t>Parra</t>
  </si>
  <si>
    <t>Dawkins</t>
  </si>
  <si>
    <t>Guthridge</t>
  </si>
  <si>
    <t>Crean</t>
  </si>
  <si>
    <t>Feagin</t>
  </si>
  <si>
    <t>Minkins</t>
  </si>
  <si>
    <t>Tapia</t>
  </si>
  <si>
    <t>McCune</t>
  </si>
  <si>
    <t>Bouchereau</t>
  </si>
  <si>
    <t>Curley</t>
  </si>
  <si>
    <t>Vanhorne</t>
  </si>
  <si>
    <t>Bethune</t>
  </si>
  <si>
    <t>Falilatou</t>
  </si>
  <si>
    <t>Silvestre</t>
  </si>
  <si>
    <t>Cobb</t>
  </si>
  <si>
    <t>Shaffner</t>
  </si>
  <si>
    <t>Gossett</t>
  </si>
  <si>
    <t>Sample</t>
  </si>
  <si>
    <t>Estrada</t>
  </si>
  <si>
    <t>Jiminian</t>
  </si>
  <si>
    <t>Dones</t>
  </si>
  <si>
    <t>Horning</t>
  </si>
  <si>
    <t>Carmichael</t>
  </si>
  <si>
    <t>Chaparro</t>
  </si>
  <si>
    <t>Parada</t>
  </si>
  <si>
    <t>Simmons</t>
  </si>
  <si>
    <t>Murillo</t>
  </si>
  <si>
    <t>Mcknight</t>
  </si>
  <si>
    <t>Rolon</t>
  </si>
  <si>
    <t>Lofton</t>
  </si>
  <si>
    <t>Davila</t>
  </si>
  <si>
    <t>Boyer</t>
  </si>
  <si>
    <t>Amerman</t>
  </si>
  <si>
    <t>Cruz Aponte</t>
  </si>
  <si>
    <t>Goch</t>
  </si>
  <si>
    <t>Goode</t>
  </si>
  <si>
    <t>Monrose</t>
  </si>
  <si>
    <t>Bestman</t>
  </si>
  <si>
    <t>Caceres</t>
  </si>
  <si>
    <t>Salahuddin</t>
  </si>
  <si>
    <t>Boone</t>
  </si>
  <si>
    <t>Kendrick</t>
  </si>
  <si>
    <t>Tanabu</t>
  </si>
  <si>
    <t>Jamieson</t>
  </si>
  <si>
    <t>Mirambeaux</t>
  </si>
  <si>
    <t>Meeks</t>
  </si>
  <si>
    <t>Ashmid</t>
  </si>
  <si>
    <t>Rosavilela</t>
  </si>
  <si>
    <t>Gerena</t>
  </si>
  <si>
    <t>Muñoz</t>
  </si>
  <si>
    <t>Respes</t>
  </si>
  <si>
    <t>Fagan</t>
  </si>
  <si>
    <t>Quezada</t>
  </si>
  <si>
    <t>Maccow</t>
  </si>
  <si>
    <t>Fu</t>
  </si>
  <si>
    <t>Feliz</t>
  </si>
  <si>
    <t>Shabazz</t>
  </si>
  <si>
    <t>Justiniano</t>
  </si>
  <si>
    <t>Tao</t>
  </si>
  <si>
    <t>Moses</t>
  </si>
  <si>
    <t>Guillebeaux</t>
  </si>
  <si>
    <t>Hall</t>
  </si>
  <si>
    <t>Serrano</t>
  </si>
  <si>
    <t>Adlam</t>
  </si>
  <si>
    <t>Cepeda</t>
  </si>
  <si>
    <t>Ferrer</t>
  </si>
  <si>
    <t>Manzueta</t>
  </si>
  <si>
    <t>Goffe</t>
  </si>
  <si>
    <t>Mclain</t>
  </si>
  <si>
    <t>Gil Abreu</t>
  </si>
  <si>
    <t>Gerber</t>
  </si>
  <si>
    <t>Horsham</t>
  </si>
  <si>
    <t>Willis</t>
  </si>
  <si>
    <t>Springer</t>
  </si>
  <si>
    <t>Cintron Cosme</t>
  </si>
  <si>
    <t>Persaud</t>
  </si>
  <si>
    <t>Diao</t>
  </si>
  <si>
    <t>Estrella</t>
  </si>
  <si>
    <t>Castro- Escarraman</t>
  </si>
  <si>
    <t>Baez Rodriguez</t>
  </si>
  <si>
    <t>Charneco</t>
  </si>
  <si>
    <t>Millan</t>
  </si>
  <si>
    <t>Barua</t>
  </si>
  <si>
    <t>Ashwood</t>
  </si>
  <si>
    <t>Mo</t>
  </si>
  <si>
    <t>Gaumond</t>
  </si>
  <si>
    <t>Satous</t>
  </si>
  <si>
    <t>Medrano</t>
  </si>
  <si>
    <t>Wade</t>
  </si>
  <si>
    <t>Monsalve</t>
  </si>
  <si>
    <t>Delaney</t>
  </si>
  <si>
    <t>Owens</t>
  </si>
  <si>
    <t>Porro</t>
  </si>
  <si>
    <t>Regis</t>
  </si>
  <si>
    <t>Filpo</t>
  </si>
  <si>
    <t>Eji</t>
  </si>
  <si>
    <t>Fong</t>
  </si>
  <si>
    <t>Tweel</t>
  </si>
  <si>
    <t>Di Giorno</t>
  </si>
  <si>
    <t>Johnnie</t>
  </si>
  <si>
    <t>Bonneau</t>
  </si>
  <si>
    <t>Moya</t>
  </si>
  <si>
    <t>Naula</t>
  </si>
  <si>
    <t>Carroll</t>
  </si>
  <si>
    <t>Corniel</t>
  </si>
  <si>
    <t>Stevens</t>
  </si>
  <si>
    <t>Farrell</t>
  </si>
  <si>
    <t>Gainer</t>
  </si>
  <si>
    <t>Dickerson</t>
  </si>
  <si>
    <t>Frederick</t>
  </si>
  <si>
    <t>Velazquez</t>
  </si>
  <si>
    <t>Pardo</t>
  </si>
  <si>
    <t>Fuertes</t>
  </si>
  <si>
    <t>Giddings</t>
  </si>
  <si>
    <t>Scippio</t>
  </si>
  <si>
    <t>Vadala</t>
  </si>
  <si>
    <t>Vazquez</t>
  </si>
  <si>
    <t>Madden</t>
  </si>
  <si>
    <t>Scalia</t>
  </si>
  <si>
    <t>Millerick</t>
  </si>
  <si>
    <t>Barbosa</t>
  </si>
  <si>
    <t>Schneller</t>
  </si>
  <si>
    <t>Veleva</t>
  </si>
  <si>
    <t>KELLY</t>
  </si>
  <si>
    <t>Jesup</t>
  </si>
  <si>
    <t>Bernandez</t>
  </si>
  <si>
    <t>Cordones</t>
  </si>
  <si>
    <t>Cordero</t>
  </si>
  <si>
    <t>Sanchez-Vargas</t>
  </si>
  <si>
    <t>Bezman</t>
  </si>
  <si>
    <t>Ruddock</t>
  </si>
  <si>
    <t>Mesa</t>
  </si>
  <si>
    <t>London</t>
  </si>
  <si>
    <t>Love Garris</t>
  </si>
  <si>
    <t>Audain</t>
  </si>
  <si>
    <t>Manrique</t>
  </si>
  <si>
    <t>Marunde</t>
  </si>
  <si>
    <t>Grantham</t>
  </si>
  <si>
    <t>Mack</t>
  </si>
  <si>
    <t>Mason</t>
  </si>
  <si>
    <t>Slacks</t>
  </si>
  <si>
    <t>Vicenty</t>
  </si>
  <si>
    <t>Reynolds</t>
  </si>
  <si>
    <t>Mollette</t>
  </si>
  <si>
    <t>Vanterpool</t>
  </si>
  <si>
    <t>Crowe</t>
  </si>
  <si>
    <t>Dingle</t>
  </si>
  <si>
    <t>Harper</t>
  </si>
  <si>
    <t>O'Conner Middleton</t>
  </si>
  <si>
    <t>Caquias Ramos</t>
  </si>
  <si>
    <t>Liriano</t>
  </si>
  <si>
    <t>Bullock</t>
  </si>
  <si>
    <t>Mata</t>
  </si>
  <si>
    <t>Fordham</t>
  </si>
  <si>
    <t>Easterlin</t>
  </si>
  <si>
    <t>Trisbend</t>
  </si>
  <si>
    <t>Kavalerchik</t>
  </si>
  <si>
    <t>Laukam</t>
  </si>
  <si>
    <t>Pryce</t>
  </si>
  <si>
    <t>Cox</t>
  </si>
  <si>
    <t>Deas</t>
  </si>
  <si>
    <t>Klohe</t>
  </si>
  <si>
    <t>Boccara</t>
  </si>
  <si>
    <t>Monroe</t>
  </si>
  <si>
    <t>Saldana Morales</t>
  </si>
  <si>
    <t>Sancya</t>
  </si>
  <si>
    <t>Gayle</t>
  </si>
  <si>
    <t>Luzon</t>
  </si>
  <si>
    <t>Holliday</t>
  </si>
  <si>
    <t>Ludd</t>
  </si>
  <si>
    <t>Almanzar</t>
  </si>
  <si>
    <t>Sopade</t>
  </si>
  <si>
    <t>Moona</t>
  </si>
  <si>
    <t>Lightstone</t>
  </si>
  <si>
    <t>D'Agenlo</t>
  </si>
  <si>
    <t>Wardlaw</t>
  </si>
  <si>
    <t>Marajh</t>
  </si>
  <si>
    <t>Pujols</t>
  </si>
  <si>
    <t>Aleman</t>
  </si>
  <si>
    <t>Zolnoski</t>
  </si>
  <si>
    <t>Jhones</t>
  </si>
  <si>
    <t>McCall</t>
  </si>
  <si>
    <t>Napolitano</t>
  </si>
  <si>
    <t>Linares</t>
  </si>
  <si>
    <t>Ashe-Gorbea</t>
  </si>
  <si>
    <t>Khamraj</t>
  </si>
  <si>
    <t>Lanza</t>
  </si>
  <si>
    <t>Salacks</t>
  </si>
  <si>
    <t>Cramer</t>
  </si>
  <si>
    <t>Lockett</t>
  </si>
  <si>
    <t>Molina</t>
  </si>
  <si>
    <t>Gregoire</t>
  </si>
  <si>
    <t>Moreau</t>
  </si>
  <si>
    <t>Sarak</t>
  </si>
  <si>
    <t>Harmon</t>
  </si>
  <si>
    <t>Colinet</t>
  </si>
  <si>
    <t>Dorsey</t>
  </si>
  <si>
    <t>Levine</t>
  </si>
  <si>
    <t>Chancy</t>
  </si>
  <si>
    <t>Nowacki</t>
  </si>
  <si>
    <t>Haywood</t>
  </si>
  <si>
    <t>Hazell</t>
  </si>
  <si>
    <t>hightower</t>
  </si>
  <si>
    <t>Roth</t>
  </si>
  <si>
    <t>sanchez</t>
  </si>
  <si>
    <t>Gillani</t>
  </si>
  <si>
    <t>Yacolino</t>
  </si>
  <si>
    <t>Rice</t>
  </si>
  <si>
    <t>Mead</t>
  </si>
  <si>
    <t>Varela</t>
  </si>
  <si>
    <t>Nashen</t>
  </si>
  <si>
    <t>Huston</t>
  </si>
  <si>
    <t>Coronel</t>
  </si>
  <si>
    <t>Musik-Ayala</t>
  </si>
  <si>
    <t>Gardner</t>
  </si>
  <si>
    <t>Biggs</t>
  </si>
  <si>
    <t>Debnam</t>
  </si>
  <si>
    <t>Noe</t>
  </si>
  <si>
    <t>Loadholt</t>
  </si>
  <si>
    <t>Robletto</t>
  </si>
  <si>
    <t>Dalman</t>
  </si>
  <si>
    <t>Debrah</t>
  </si>
  <si>
    <t>Freeman</t>
  </si>
  <si>
    <t>Pascual</t>
  </si>
  <si>
    <t>Bolivar</t>
  </si>
  <si>
    <t>Malanik</t>
  </si>
  <si>
    <t>Jordan</t>
  </si>
  <si>
    <t>Peeples</t>
  </si>
  <si>
    <t>Wortman</t>
  </si>
  <si>
    <t>Mamolar</t>
  </si>
  <si>
    <t>Smoker</t>
  </si>
  <si>
    <t>Ham</t>
  </si>
  <si>
    <t>Baliban</t>
  </si>
  <si>
    <t>Kahan</t>
  </si>
  <si>
    <t>Caranza</t>
  </si>
  <si>
    <t>Theme</t>
  </si>
  <si>
    <t>Costello</t>
  </si>
  <si>
    <t>Neal</t>
  </si>
  <si>
    <t>Eady</t>
  </si>
  <si>
    <t>Payero</t>
  </si>
  <si>
    <t>Holley</t>
  </si>
  <si>
    <t>Brava</t>
  </si>
  <si>
    <t>Seelenfreund</t>
  </si>
  <si>
    <t>Addison</t>
  </si>
  <si>
    <t>Waller</t>
  </si>
  <si>
    <t>Kinoo</t>
  </si>
  <si>
    <t>Diele</t>
  </si>
  <si>
    <t>Taveras S</t>
  </si>
  <si>
    <t>Chonzom</t>
  </si>
  <si>
    <t>Sandiford</t>
  </si>
  <si>
    <t>Anzalota</t>
  </si>
  <si>
    <t>Alonzo Reyes</t>
  </si>
  <si>
    <t>Forbes</t>
  </si>
  <si>
    <t>Zayas</t>
  </si>
  <si>
    <t>Bernard</t>
  </si>
  <si>
    <t>Truick</t>
  </si>
  <si>
    <t>Schwartz</t>
  </si>
  <si>
    <t>Gonzales</t>
  </si>
  <si>
    <t>Ziegler</t>
  </si>
  <si>
    <t>Ferguson</t>
  </si>
  <si>
    <t>Webber</t>
  </si>
  <si>
    <t>de Estevez</t>
  </si>
  <si>
    <t>Serpa</t>
  </si>
  <si>
    <t>Gapar</t>
  </si>
  <si>
    <t>Femia</t>
  </si>
  <si>
    <t>Cliford</t>
  </si>
  <si>
    <t>Harrington</t>
  </si>
  <si>
    <t>McClean</t>
  </si>
  <si>
    <t>Peña</t>
  </si>
  <si>
    <t>Bowe</t>
  </si>
  <si>
    <t>Diaz Guadalupe</t>
  </si>
  <si>
    <t>Roach</t>
  </si>
  <si>
    <t>Mott</t>
  </si>
  <si>
    <t>Amurrio</t>
  </si>
  <si>
    <t>Nagaki</t>
  </si>
  <si>
    <t>Brujan</t>
  </si>
  <si>
    <t>Lubin</t>
  </si>
  <si>
    <t>Lanham</t>
  </si>
  <si>
    <t>Welch</t>
  </si>
  <si>
    <t>Soliman</t>
  </si>
  <si>
    <t>Lewin</t>
  </si>
  <si>
    <t>Thorn Taber</t>
  </si>
  <si>
    <t>Sancho</t>
  </si>
  <si>
    <t>Isaac</t>
  </si>
  <si>
    <t>Clement</t>
  </si>
  <si>
    <t>Sheftel-Brown</t>
  </si>
  <si>
    <t>McKay</t>
  </si>
  <si>
    <t>Puente</t>
  </si>
  <si>
    <t>Metayer</t>
  </si>
  <si>
    <t>Muhammad</t>
  </si>
  <si>
    <t>Hilliard</t>
  </si>
  <si>
    <t>Omara</t>
  </si>
  <si>
    <t>McIver</t>
  </si>
  <si>
    <t>Laboy</t>
  </si>
  <si>
    <t>Fare</t>
  </si>
  <si>
    <t>Hardamon</t>
  </si>
  <si>
    <t>Mahulawde</t>
  </si>
  <si>
    <t>Harewood</t>
  </si>
  <si>
    <t>Kargbo</t>
  </si>
  <si>
    <t>Dabu</t>
  </si>
  <si>
    <t>Pakiakis</t>
  </si>
  <si>
    <t>Canton</t>
  </si>
  <si>
    <t>Dejesus</t>
  </si>
  <si>
    <t>Buie</t>
  </si>
  <si>
    <t>Foster</t>
  </si>
  <si>
    <t>McKellar</t>
  </si>
  <si>
    <t>Collado</t>
  </si>
  <si>
    <t>Carrasco</t>
  </si>
  <si>
    <t>Mays</t>
  </si>
  <si>
    <t>Solano</t>
  </si>
  <si>
    <t>Oyebade</t>
  </si>
  <si>
    <t>Farrar</t>
  </si>
  <si>
    <t>Perera</t>
  </si>
  <si>
    <t>Arnold</t>
  </si>
  <si>
    <t>Thornhill- Kinch</t>
  </si>
  <si>
    <t>St. Jean</t>
  </si>
  <si>
    <t>Nilsen</t>
  </si>
  <si>
    <t>Glover</t>
  </si>
  <si>
    <t>Wint</t>
  </si>
  <si>
    <t>Carpenter</t>
  </si>
  <si>
    <t>Nwaoha</t>
  </si>
  <si>
    <t>Grogan</t>
  </si>
  <si>
    <t>Bradford</t>
  </si>
  <si>
    <t>Reese</t>
  </si>
  <si>
    <t>Ciapetta</t>
  </si>
  <si>
    <t>Heard</t>
  </si>
  <si>
    <t>Haynes</t>
  </si>
  <si>
    <t>Josey</t>
  </si>
  <si>
    <t>Brudnoy</t>
  </si>
  <si>
    <t>Berreta</t>
  </si>
  <si>
    <t>Baity</t>
  </si>
  <si>
    <t>Morton</t>
  </si>
  <si>
    <t>Frazier</t>
  </si>
  <si>
    <t>Grayaa</t>
  </si>
  <si>
    <t>Donmez</t>
  </si>
  <si>
    <t>Frost</t>
  </si>
  <si>
    <t>Tao Tao</t>
  </si>
  <si>
    <t>Christmas</t>
  </si>
  <si>
    <t>Klutsey</t>
  </si>
  <si>
    <t>Heggs</t>
  </si>
  <si>
    <t>Marquez</t>
  </si>
  <si>
    <t>Soacha</t>
  </si>
  <si>
    <t>Leyva</t>
  </si>
  <si>
    <t>Pou</t>
  </si>
  <si>
    <t>Perlmutter</t>
  </si>
  <si>
    <t>Cumberbatch</t>
  </si>
  <si>
    <t>Schneider</t>
  </si>
  <si>
    <t>Shanahan</t>
  </si>
  <si>
    <t>Schwing</t>
  </si>
  <si>
    <t>Villalba</t>
  </si>
  <si>
    <t>Edmundson</t>
  </si>
  <si>
    <t>Metral</t>
  </si>
  <si>
    <t>Calcano</t>
  </si>
  <si>
    <t>Saint-Pierre</t>
  </si>
  <si>
    <t>Haduch</t>
  </si>
  <si>
    <t>Balbosa</t>
  </si>
  <si>
    <t>Lozado</t>
  </si>
  <si>
    <t>Colon Disla</t>
  </si>
  <si>
    <t>Bacon</t>
  </si>
  <si>
    <t>Coker</t>
  </si>
  <si>
    <t>Harsch</t>
  </si>
  <si>
    <t>loadholt</t>
  </si>
  <si>
    <t>Dupre</t>
  </si>
  <si>
    <t>Engles</t>
  </si>
  <si>
    <t>Fuqua</t>
  </si>
  <si>
    <t>Bello</t>
  </si>
  <si>
    <t>Placid</t>
  </si>
  <si>
    <t>Vega-Garcia</t>
  </si>
  <si>
    <t>Guillem</t>
  </si>
  <si>
    <t>Freire</t>
  </si>
  <si>
    <t>Tirado</t>
  </si>
  <si>
    <t>Crisostomo</t>
  </si>
  <si>
    <t>D. Chauca</t>
  </si>
  <si>
    <t>Richter</t>
  </si>
  <si>
    <t>Weston</t>
  </si>
  <si>
    <t>De la Rosa</t>
  </si>
  <si>
    <t>Daley</t>
  </si>
  <si>
    <t>Poole</t>
  </si>
  <si>
    <t>St Louis</t>
  </si>
  <si>
    <t>Gbeworo</t>
  </si>
  <si>
    <t>Nistor</t>
  </si>
  <si>
    <t>Gadsden</t>
  </si>
  <si>
    <t>Griffith</t>
  </si>
  <si>
    <t>Groenwood</t>
  </si>
  <si>
    <t>Gebert</t>
  </si>
  <si>
    <t>Bain</t>
  </si>
  <si>
    <t>Tawiah</t>
  </si>
  <si>
    <t>Ebanks</t>
  </si>
  <si>
    <t>Filion</t>
  </si>
  <si>
    <t>Mejia Portillo</t>
  </si>
  <si>
    <t>Smith- Hewitt</t>
  </si>
  <si>
    <t>Andino</t>
  </si>
  <si>
    <t>Dey</t>
  </si>
  <si>
    <t>McRay</t>
  </si>
  <si>
    <t>Toyer</t>
  </si>
  <si>
    <t>El Foulki</t>
  </si>
  <si>
    <t>Akter</t>
  </si>
  <si>
    <t>Adorno</t>
  </si>
  <si>
    <t>Marcelle</t>
  </si>
  <si>
    <t>Morgan</t>
  </si>
  <si>
    <t>Crespo</t>
  </si>
  <si>
    <t>Bobadilla</t>
  </si>
  <si>
    <t>Orsino</t>
  </si>
  <si>
    <t>Padilla</t>
  </si>
  <si>
    <t>Cioffi</t>
  </si>
  <si>
    <t>Montes De Oca</t>
  </si>
  <si>
    <t>Yazid</t>
  </si>
  <si>
    <t>Yu</t>
  </si>
  <si>
    <t>Paula de Garcia</t>
  </si>
  <si>
    <t>Aultman</t>
  </si>
  <si>
    <t>Gyles</t>
  </si>
  <si>
    <t>Burgos</t>
  </si>
  <si>
    <t>Staley</t>
  </si>
  <si>
    <t>Holmes</t>
  </si>
  <si>
    <t>Omatyar</t>
  </si>
  <si>
    <t>Quero</t>
  </si>
  <si>
    <t>Jacob</t>
  </si>
  <si>
    <t>Middleton</t>
  </si>
  <si>
    <t>Bernarda</t>
  </si>
  <si>
    <t>Mary Ellen</t>
  </si>
  <si>
    <t>Charen</t>
  </si>
  <si>
    <t>Yolande</t>
  </si>
  <si>
    <t>Ysmenia</t>
  </si>
  <si>
    <t>Karla</t>
  </si>
  <si>
    <t>Janette</t>
  </si>
  <si>
    <t>Nadine</t>
  </si>
  <si>
    <t>Demarie</t>
  </si>
  <si>
    <t>Ghazala</t>
  </si>
  <si>
    <t>Chiquana</t>
  </si>
  <si>
    <t>Jamsin</t>
  </si>
  <si>
    <t>Keshaun</t>
  </si>
  <si>
    <t>Carlene Caretta</t>
  </si>
  <si>
    <t>Tahir</t>
  </si>
  <si>
    <t>Eliana</t>
  </si>
  <si>
    <t>Vinessa</t>
  </si>
  <si>
    <t>Adiel</t>
  </si>
  <si>
    <t>Faisal</t>
  </si>
  <si>
    <t>Ara</t>
  </si>
  <si>
    <t>Tieasha</t>
  </si>
  <si>
    <t>Annabel</t>
  </si>
  <si>
    <t>Nargiza</t>
  </si>
  <si>
    <t>Darliana</t>
  </si>
  <si>
    <t>Jully</t>
  </si>
  <si>
    <t>Kenia</t>
  </si>
  <si>
    <t>Latroya</t>
  </si>
  <si>
    <t>Rosanna</t>
  </si>
  <si>
    <t>Rainee</t>
  </si>
  <si>
    <t>Meliza</t>
  </si>
  <si>
    <t>Jai</t>
  </si>
  <si>
    <t>Ventesa</t>
  </si>
  <si>
    <t>Aldiry</t>
  </si>
  <si>
    <t>Hasna</t>
  </si>
  <si>
    <t>Marieme</t>
  </si>
  <si>
    <t>Felesha</t>
  </si>
  <si>
    <t>Tavika</t>
  </si>
  <si>
    <t>Yarisa</t>
  </si>
  <si>
    <t>Dominique</t>
  </si>
  <si>
    <t>Llyaseni</t>
  </si>
  <si>
    <t>Duanny</t>
  </si>
  <si>
    <t>Vicky</t>
  </si>
  <si>
    <t>Rashader</t>
  </si>
  <si>
    <t>Benito</t>
  </si>
  <si>
    <t>Shantelle</t>
  </si>
  <si>
    <t>Monirul</t>
  </si>
  <si>
    <t>Mac Davis</t>
  </si>
  <si>
    <t>Chaterlee</t>
  </si>
  <si>
    <t>Genevieve</t>
  </si>
  <si>
    <t>Angie</t>
  </si>
  <si>
    <t>Krystal</t>
  </si>
  <si>
    <t>Natisha</t>
  </si>
  <si>
    <t>Yesynia</t>
  </si>
  <si>
    <t>Dawonda</t>
  </si>
  <si>
    <t>Trelane</t>
  </si>
  <si>
    <t>MARIA</t>
  </si>
  <si>
    <t>Makia</t>
  </si>
  <si>
    <t>Natori</t>
  </si>
  <si>
    <t>Shamika</t>
  </si>
  <si>
    <t>Dominiqua</t>
  </si>
  <si>
    <t>Shekara</t>
  </si>
  <si>
    <t>Abeba</t>
  </si>
  <si>
    <t>Salina</t>
  </si>
  <si>
    <t>Heidy</t>
  </si>
  <si>
    <t>Rochell</t>
  </si>
  <si>
    <t>Letice</t>
  </si>
  <si>
    <t>Tieara</t>
  </si>
  <si>
    <t>Yris</t>
  </si>
  <si>
    <t>Assial</t>
  </si>
  <si>
    <t>Riolesty</t>
  </si>
  <si>
    <t>Jalisa</t>
  </si>
  <si>
    <t>Lakeshia</t>
  </si>
  <si>
    <t>Shovanna</t>
  </si>
  <si>
    <t>Cresenciano</t>
  </si>
  <si>
    <t>Ibrahim</t>
  </si>
  <si>
    <t>Shalysha</t>
  </si>
  <si>
    <t>Cherese</t>
  </si>
  <si>
    <t>Amadou</t>
  </si>
  <si>
    <t>Kamal</t>
  </si>
  <si>
    <t>Marleny</t>
  </si>
  <si>
    <t>Mahnaz</t>
  </si>
  <si>
    <t>Gissell</t>
  </si>
  <si>
    <t>Alleanna</t>
  </si>
  <si>
    <t>Abdou</t>
  </si>
  <si>
    <t>Nadeen</t>
  </si>
  <si>
    <t>Shaunice</t>
  </si>
  <si>
    <t>Angelina</t>
  </si>
  <si>
    <t>Allysa</t>
  </si>
  <si>
    <t>Adel</t>
  </si>
  <si>
    <t>Katrina</t>
  </si>
  <si>
    <t>Marco</t>
  </si>
  <si>
    <t>Timmy</t>
  </si>
  <si>
    <t>Lizmary</t>
  </si>
  <si>
    <t>Ama</t>
  </si>
  <si>
    <t>Lenise</t>
  </si>
  <si>
    <t>Shaunell</t>
  </si>
  <si>
    <t>Pastora</t>
  </si>
  <si>
    <t>Vivian</t>
  </si>
  <si>
    <t>Nadisuka</t>
  </si>
  <si>
    <t>Shavon</t>
  </si>
  <si>
    <t>Liza</t>
  </si>
  <si>
    <t>Chervon</t>
  </si>
  <si>
    <t>Janean</t>
  </si>
  <si>
    <t>Danamarie</t>
  </si>
  <si>
    <t>Maximo</t>
  </si>
  <si>
    <t>Meite</t>
  </si>
  <si>
    <t>Syed</t>
  </si>
  <si>
    <t>Shakal</t>
  </si>
  <si>
    <t>Isheen</t>
  </si>
  <si>
    <t>Jelecia</t>
  </si>
  <si>
    <t>Eduard</t>
  </si>
  <si>
    <t>Fresi</t>
  </si>
  <si>
    <t>Abla</t>
  </si>
  <si>
    <t>Giselle</t>
  </si>
  <si>
    <t>Alesandra</t>
  </si>
  <si>
    <t>Krystle</t>
  </si>
  <si>
    <t>Nii</t>
  </si>
  <si>
    <t>Elsy</t>
  </si>
  <si>
    <t>Katuhra</t>
  </si>
  <si>
    <t>Pretty</t>
  </si>
  <si>
    <t>Jere</t>
  </si>
  <si>
    <t>Cocavyah</t>
  </si>
  <si>
    <t>Ashley</t>
  </si>
  <si>
    <t>Raylene</t>
  </si>
  <si>
    <t>Geisel</t>
  </si>
  <si>
    <t>Mahim</t>
  </si>
  <si>
    <t>Afia</t>
  </si>
  <si>
    <t>Nattalie</t>
  </si>
  <si>
    <t>Joenelly</t>
  </si>
  <si>
    <t>Priscilla</t>
  </si>
  <si>
    <t>Tasheena</t>
  </si>
  <si>
    <t>Nakia</t>
  </si>
  <si>
    <t>Belinda</t>
  </si>
  <si>
    <t>Priscilia</t>
  </si>
  <si>
    <t>Alasia</t>
  </si>
  <si>
    <t>Kayaswonna</t>
  </si>
  <si>
    <t>Rafaelina</t>
  </si>
  <si>
    <t>Andreniki</t>
  </si>
  <si>
    <t>Zipporah</t>
  </si>
  <si>
    <t>Aziza</t>
  </si>
  <si>
    <t>Candice</t>
  </si>
  <si>
    <t>Tamikqua</t>
  </si>
  <si>
    <t>Sharmila</t>
  </si>
  <si>
    <t>Ubeka</t>
  </si>
  <si>
    <t>Michell</t>
  </si>
  <si>
    <t>Chenille</t>
  </si>
  <si>
    <t>Renne</t>
  </si>
  <si>
    <t>Elonis</t>
  </si>
  <si>
    <t>Eman</t>
  </si>
  <si>
    <t>Ricarda</t>
  </si>
  <si>
    <t>Lakresha</t>
  </si>
  <si>
    <t>Chanette</t>
  </si>
  <si>
    <t>Ivelisse</t>
  </si>
  <si>
    <t>Shavien</t>
  </si>
  <si>
    <t>Robeela</t>
  </si>
  <si>
    <t>Wendherllyn</t>
  </si>
  <si>
    <t>Anyolina</t>
  </si>
  <si>
    <t>Evette</t>
  </si>
  <si>
    <t>Solange</t>
  </si>
  <si>
    <t>Ignacio</t>
  </si>
  <si>
    <t>Ewan</t>
  </si>
  <si>
    <t>Leanice</t>
  </si>
  <si>
    <t>Kneysha</t>
  </si>
  <si>
    <t>Mi Ran</t>
  </si>
  <si>
    <t>Deonna</t>
  </si>
  <si>
    <t>Sekou</t>
  </si>
  <si>
    <t>Inocencia</t>
  </si>
  <si>
    <t>Dina</t>
  </si>
  <si>
    <t>Viela</t>
  </si>
  <si>
    <t>Danesha</t>
  </si>
  <si>
    <t>Maruja</t>
  </si>
  <si>
    <t>Star</t>
  </si>
  <si>
    <t>Lyn</t>
  </si>
  <si>
    <t>Tasliym</t>
  </si>
  <si>
    <t>Noelia</t>
  </si>
  <si>
    <t>Idowy</t>
  </si>
  <si>
    <t>ELsa</t>
  </si>
  <si>
    <t>Hildania</t>
  </si>
  <si>
    <t>Rocio</t>
  </si>
  <si>
    <t>Roc</t>
  </si>
  <si>
    <t>Thelshea</t>
  </si>
  <si>
    <t>Shu Ling</t>
  </si>
  <si>
    <t>Mariel</t>
  </si>
  <si>
    <t>Thiara</t>
  </si>
  <si>
    <t>Celestine</t>
  </si>
  <si>
    <t>Fredrena</t>
  </si>
  <si>
    <t>Armida</t>
  </si>
  <si>
    <t>Roquelia</t>
  </si>
  <si>
    <t>Amoo</t>
  </si>
  <si>
    <t>Pura</t>
  </si>
  <si>
    <t>Elvire</t>
  </si>
  <si>
    <t>Tatiana</t>
  </si>
  <si>
    <t>Meliton</t>
  </si>
  <si>
    <t>Yanuaria</t>
  </si>
  <si>
    <t>Lavinia</t>
  </si>
  <si>
    <t>Raliat</t>
  </si>
  <si>
    <t>Nija</t>
  </si>
  <si>
    <t>Kiley</t>
  </si>
  <si>
    <t>Emerson</t>
  </si>
  <si>
    <t>Guerlyne</t>
  </si>
  <si>
    <t>Olayemi</t>
  </si>
  <si>
    <t>Marilenis</t>
  </si>
  <si>
    <t>Odessa</t>
  </si>
  <si>
    <t>Izaida</t>
  </si>
  <si>
    <t>Angelines</t>
  </si>
  <si>
    <t>Seerat</t>
  </si>
  <si>
    <t>Arturo</t>
  </si>
  <si>
    <t>Cecily</t>
  </si>
  <si>
    <t>Alpha</t>
  </si>
  <si>
    <t>Yaritza</t>
  </si>
  <si>
    <t>Idayat</t>
  </si>
  <si>
    <t>Alberta</t>
  </si>
  <si>
    <t>Natena</t>
  </si>
  <si>
    <t>377 Lincoln Rd</t>
  </si>
  <si>
    <t>721 Willoughby Ave</t>
  </si>
  <si>
    <t>161 S Elliott Pl</t>
  </si>
  <si>
    <t>9315 Fort Hamilton Pkwy</t>
  </si>
  <si>
    <t>483 Pacific St</t>
  </si>
  <si>
    <t>287 Hett Ave</t>
  </si>
  <si>
    <t>789 Saint Marks Ave</t>
  </si>
  <si>
    <t>738 Albany Ave</t>
  </si>
  <si>
    <t>430 Saratoga Ave</t>
  </si>
  <si>
    <t>371 Etna St</t>
  </si>
  <si>
    <t>410 Eastern Pkwy</t>
  </si>
  <si>
    <t>130 Vandalia Ave</t>
  </si>
  <si>
    <t>2 Elton St</t>
  </si>
  <si>
    <t>110 Rochester Ave</t>
  </si>
  <si>
    <t>736 Willoughby Ave</t>
  </si>
  <si>
    <t>184 Irving Ave</t>
  </si>
  <si>
    <t>95 Linden Blvd</t>
  </si>
  <si>
    <t>505 Mcdonald Ave</t>
  </si>
  <si>
    <t>97 Crooke Ave</t>
  </si>
  <si>
    <t>11245 Sea View Ave</t>
  </si>
  <si>
    <t>180 E 18th St</t>
  </si>
  <si>
    <t>850 Amsterdam Ave</t>
  </si>
  <si>
    <t>2313 Loring Pl N</t>
  </si>
  <si>
    <t>702 44th St</t>
  </si>
  <si>
    <t>607 Flatbush Ave</t>
  </si>
  <si>
    <t>1140 President St</t>
  </si>
  <si>
    <t>656 Stanley Ave</t>
  </si>
  <si>
    <t>46 Linden Blvd</t>
  </si>
  <si>
    <t>358 Saint Johns Pl</t>
  </si>
  <si>
    <t>501 E 87th St</t>
  </si>
  <si>
    <t>1072 Woodycrest Ave</t>
  </si>
  <si>
    <t>1769 Vyse Ave</t>
  </si>
  <si>
    <t>2430 Lyvere St</t>
  </si>
  <si>
    <t>4530 Broadway</t>
  </si>
  <si>
    <t>1074 Eastern Pkwy</t>
  </si>
  <si>
    <t>3354 83rd St</t>
  </si>
  <si>
    <t>25 E 21st St</t>
  </si>
  <si>
    <t>1187 Anderson Ave</t>
  </si>
  <si>
    <t>333 E 92nd St</t>
  </si>
  <si>
    <t>259 Martense St</t>
  </si>
  <si>
    <t>666 W 188th St</t>
  </si>
  <si>
    <t>228 W 149th St</t>
  </si>
  <si>
    <t>438 Atkins Ave</t>
  </si>
  <si>
    <t>404 Screvin Ave</t>
  </si>
  <si>
    <t>279 E 4th St</t>
  </si>
  <si>
    <t>120 Alcott Pl</t>
  </si>
  <si>
    <t>468 Chauncey St</t>
  </si>
  <si>
    <t>1317 E 14th St</t>
  </si>
  <si>
    <t>751 Forest Ave</t>
  </si>
  <si>
    <t>271 E 150th St</t>
  </si>
  <si>
    <t>75 Kimberly Ln</t>
  </si>
  <si>
    <t>468 W 140th St</t>
  </si>
  <si>
    <t>210 W 251st St</t>
  </si>
  <si>
    <t>249 Thomas S Boyland St</t>
  </si>
  <si>
    <t>1069 Flushing Ave</t>
  </si>
  <si>
    <t>562 W 174th St</t>
  </si>
  <si>
    <t>7 Hegeman ave</t>
  </si>
  <si>
    <t>13955 35th Ave</t>
  </si>
  <si>
    <t>792 Sterling Pl</t>
  </si>
  <si>
    <t>425 W 160th St</t>
  </si>
  <si>
    <t>2715 Webb ave</t>
  </si>
  <si>
    <t>120 E 19th St</t>
  </si>
  <si>
    <t>304 E 8th St</t>
  </si>
  <si>
    <t>67 Doscher st</t>
  </si>
  <si>
    <t>1781 Riverside Dr</t>
  </si>
  <si>
    <t>480 Saint Nicholas Ave</t>
  </si>
  <si>
    <t>502 W 139th St</t>
  </si>
  <si>
    <t>690 Bay St</t>
  </si>
  <si>
    <t>2353 Pacific st</t>
  </si>
  <si>
    <t>1176 President St</t>
  </si>
  <si>
    <t>409 E 120th St</t>
  </si>
  <si>
    <t>445 Linwood St</t>
  </si>
  <si>
    <t>89 Seaman Ave</t>
  </si>
  <si>
    <t>220 W 149th St</t>
  </si>
  <si>
    <t>2 Pinehurst Ave</t>
  </si>
  <si>
    <t>249 Thomas S Boyland st</t>
  </si>
  <si>
    <t>1368 Eggert Pl</t>
  </si>
  <si>
    <t>79 W 182nd St</t>
  </si>
  <si>
    <t>245 Hawthorne St</t>
  </si>
  <si>
    <t>152 Marcus Garvey Blvd</t>
  </si>
  <si>
    <t>2526 44th St</t>
  </si>
  <si>
    <t>683 Barbey ST</t>
  </si>
  <si>
    <t>903 Belmont Ave</t>
  </si>
  <si>
    <t>127 e 107th St</t>
  </si>
  <si>
    <t>1030 Carroll St</t>
  </si>
  <si>
    <t>213 Bennett Ave</t>
  </si>
  <si>
    <t>1924 Univ Ave</t>
  </si>
  <si>
    <t>1342 Sterling Pl</t>
  </si>
  <si>
    <t>4966 Broadway</t>
  </si>
  <si>
    <t>551 W 185th St</t>
  </si>
  <si>
    <t>57-63 Wadsworth Terrace</t>
  </si>
  <si>
    <t>2265 Strauss St</t>
  </si>
  <si>
    <t>903 Summit Ave</t>
  </si>
  <si>
    <t>129 E 102nd St</t>
  </si>
  <si>
    <t>1730 Andrews Ave</t>
  </si>
  <si>
    <t>399 Kosciuszko st</t>
  </si>
  <si>
    <t>164 Henry St</t>
  </si>
  <si>
    <t>2155 Grand Ave</t>
  </si>
  <si>
    <t>2265 Grand Ave</t>
  </si>
  <si>
    <t>75 Montgomery St</t>
  </si>
  <si>
    <t>281 York Ave</t>
  </si>
  <si>
    <t>9410 64th Rd</t>
  </si>
  <si>
    <t>433 W 24th St</t>
  </si>
  <si>
    <t>769 Saint Marks Ave</t>
  </si>
  <si>
    <t>320 Wadsworth Ave</t>
  </si>
  <si>
    <t>73-83 Vermilyea Avenue</t>
  </si>
  <si>
    <t>1070 E New York Ave</t>
  </si>
  <si>
    <t>1516 Beach Ave</t>
  </si>
  <si>
    <t>402 E 136th St</t>
  </si>
  <si>
    <t>945 Eldert Ln</t>
  </si>
  <si>
    <t>829 Schenck Ave</t>
  </si>
  <si>
    <t>214 Rockaway Pkwy</t>
  </si>
  <si>
    <t>36 Euclid Ave</t>
  </si>
  <si>
    <t>1242 President St</t>
  </si>
  <si>
    <t>1030 Ocean Ave</t>
  </si>
  <si>
    <t>216 Rockaway ave</t>
  </si>
  <si>
    <t>54 Linden Blvd</t>
  </si>
  <si>
    <t>269 E Burnside Ave</t>
  </si>
  <si>
    <t>720 Bergen St</t>
  </si>
  <si>
    <t>31 Park Ter W</t>
  </si>
  <si>
    <t>2 Ellwood St</t>
  </si>
  <si>
    <t>9711 Alstyne Ave</t>
  </si>
  <si>
    <t>700 Victory Blvd</t>
  </si>
  <si>
    <t>2305 Linden Blvd</t>
  </si>
  <si>
    <t>2270 Walton Ave</t>
  </si>
  <si>
    <t>1924 2nd Ave</t>
  </si>
  <si>
    <t>3405 Foster Ave</t>
  </si>
  <si>
    <t>7212 Dismas Blvd.</t>
  </si>
  <si>
    <t>356 Van Siclen Ave</t>
  </si>
  <si>
    <t>570 Fort Washington Ave</t>
  </si>
  <si>
    <t>145 Seaman Ave</t>
  </si>
  <si>
    <t>105 Pinehurst Ave</t>
  </si>
  <si>
    <t>1481 5th Ave</t>
  </si>
  <si>
    <t>1777 grand concourse</t>
  </si>
  <si>
    <t>1825 Atlantic Ave</t>
  </si>
  <si>
    <t>680 Tinton Ave</t>
  </si>
  <si>
    <t>442 W 164th St</t>
  </si>
  <si>
    <t>456 Schenectady Ave</t>
  </si>
  <si>
    <t>11325 Sea View Ave</t>
  </si>
  <si>
    <t>116 Sherman Ave</t>
  </si>
  <si>
    <t>121 Sherman Ave</t>
  </si>
  <si>
    <t>1512 Townsend Ave</t>
  </si>
  <si>
    <t>120 1st Ave</t>
  </si>
  <si>
    <t>344 Marion St</t>
  </si>
  <si>
    <t>65 E 110th St</t>
  </si>
  <si>
    <t>2101 Creston Ave</t>
  </si>
  <si>
    <t>252 Sherman Aveue</t>
  </si>
  <si>
    <t>735 Walton Ave</t>
  </si>
  <si>
    <t>55 Sickles St</t>
  </si>
  <si>
    <t>2860 Decatur Ave</t>
  </si>
  <si>
    <t>257 Mother Gaston Blvd</t>
  </si>
  <si>
    <t>184 Nagle Ave</t>
  </si>
  <si>
    <t>121 E Clarke Pl</t>
  </si>
  <si>
    <t>717 Coster St # 719</t>
  </si>
  <si>
    <t>235 E 39th St</t>
  </si>
  <si>
    <t>570 W 156th St</t>
  </si>
  <si>
    <t>1737 Davidson Ave</t>
  </si>
  <si>
    <t>PO Box 661564</t>
  </si>
  <si>
    <t>495 Sterling Pl</t>
  </si>
  <si>
    <t>540 Osborn St</t>
  </si>
  <si>
    <t>35 E 94th St</t>
  </si>
  <si>
    <t>512 W 158th St</t>
  </si>
  <si>
    <t>611 Flatbush Ave</t>
  </si>
  <si>
    <t>34 Bogardus Pl</t>
  </si>
  <si>
    <t>270 Nagle Ave</t>
  </si>
  <si>
    <t>403 Kosciuszko St</t>
  </si>
  <si>
    <t>50 Park Ter E</t>
  </si>
  <si>
    <t>45 E Mosholu Pkwy N</t>
  </si>
  <si>
    <t>1 Marble Hill Ave</t>
  </si>
  <si>
    <t>12220 Ocean Promenade</t>
  </si>
  <si>
    <t>200 W 15th St</t>
  </si>
  <si>
    <t>735 Lincoln Ave</t>
  </si>
  <si>
    <t>639 W 204th St</t>
  </si>
  <si>
    <t>160 4th Ave</t>
  </si>
  <si>
    <t>252 Sherman Ave</t>
  </si>
  <si>
    <t>600 W 144th St</t>
  </si>
  <si>
    <t>14135 85th Rd</t>
  </si>
  <si>
    <t>220 Wadsworth Ave</t>
  </si>
  <si>
    <t>600 Hylan Blvd</t>
  </si>
  <si>
    <t>3318 Steuben Ave</t>
  </si>
  <si>
    <t>165 E 179th St</t>
  </si>
  <si>
    <t>1859 Walton Ave</t>
  </si>
  <si>
    <t>200 Haven Ave</t>
  </si>
  <si>
    <t>602 W 137th St</t>
  </si>
  <si>
    <t>4001 12th St</t>
  </si>
  <si>
    <t>280 Park Hill Ave</t>
  </si>
  <si>
    <t>180 Park Hill Ave</t>
  </si>
  <si>
    <t>15 Featherbed Ln</t>
  </si>
  <si>
    <t>5002 3rd Ave</t>
  </si>
  <si>
    <t>1 Saint Pauls Ct</t>
  </si>
  <si>
    <t>2875 Sedgwick Ave</t>
  </si>
  <si>
    <t>175 Ardsley Loop</t>
  </si>
  <si>
    <t>114 E 97th St</t>
  </si>
  <si>
    <t>30 Daniel Low Ter</t>
  </si>
  <si>
    <t>344 Marion st</t>
  </si>
  <si>
    <t>22 Park Hill Ave</t>
  </si>
  <si>
    <t>114 Elliot Pl</t>
  </si>
  <si>
    <t>904 Winthrop St</t>
  </si>
  <si>
    <t>249 Thomas s Boyland st</t>
  </si>
  <si>
    <t>1478 Walton Ave</t>
  </si>
  <si>
    <t>156 E 178th St</t>
  </si>
  <si>
    <t>3144 Hull Ave</t>
  </si>
  <si>
    <t>1212 Newkirk Ave</t>
  </si>
  <si>
    <t>638 West 160</t>
  </si>
  <si>
    <t>2181 Pacific st</t>
  </si>
  <si>
    <t>1885 Eastern Pkwy</t>
  </si>
  <si>
    <t>3030 Valentine Ave</t>
  </si>
  <si>
    <t>760 Eldert Ln</t>
  </si>
  <si>
    <t>401 E 115th St</t>
  </si>
  <si>
    <t>198 Clarkson Ave</t>
  </si>
  <si>
    <t>1365 Saint Nicholas Ave</t>
  </si>
  <si>
    <t>128 Fort Washington Ave</t>
  </si>
  <si>
    <t>454 Fort Washington Ave</t>
  </si>
  <si>
    <t>3510 75th St</t>
  </si>
  <si>
    <t>235 Seaman Ave</t>
  </si>
  <si>
    <t>200 Cozine Ave</t>
  </si>
  <si>
    <t>455 Carlton Ave</t>
  </si>
  <si>
    <t>939 Woodycrest Ave</t>
  </si>
  <si>
    <t>3026 Wickham Ave</t>
  </si>
  <si>
    <t>1624 Madison Ave</t>
  </si>
  <si>
    <t>2420 Maclay Ave</t>
  </si>
  <si>
    <t>25 W 128th st</t>
  </si>
  <si>
    <t>910 Grand Concourse</t>
  </si>
  <si>
    <t>264 Elizabeth St</t>
  </si>
  <si>
    <t>1460 Leland Ave</t>
  </si>
  <si>
    <t>209 Sumpter St</t>
  </si>
  <si>
    <t>1563 Pitkin Ave</t>
  </si>
  <si>
    <t>835 E 155th St</t>
  </si>
  <si>
    <t>1760 Madison Ave</t>
  </si>
  <si>
    <t>1265 Gerard Ave</t>
  </si>
  <si>
    <t>45 Arden St</t>
  </si>
  <si>
    <t>528 W 123rd St</t>
  </si>
  <si>
    <t>1652 Park ave</t>
  </si>
  <si>
    <t>150 W 225th St</t>
  </si>
  <si>
    <t>585 N Railroad Ave</t>
  </si>
  <si>
    <t>804 Macon St</t>
  </si>
  <si>
    <t>454 E 148th St</t>
  </si>
  <si>
    <t>1541 Williamsbridge Rd</t>
  </si>
  <si>
    <t>115 Ocean Ave</t>
  </si>
  <si>
    <t>8 Navy Pier Ct</t>
  </si>
  <si>
    <t>299 Saint Marks Pl</t>
  </si>
  <si>
    <t>3822 Bailey Ave</t>
  </si>
  <si>
    <t>914 Simpson St</t>
  </si>
  <si>
    <t>543 W 211th St</t>
  </si>
  <si>
    <t>507 W 186th St</t>
  </si>
  <si>
    <t>13912 34th Rd</t>
  </si>
  <si>
    <t>961 Saint Nicholas Ave</t>
  </si>
  <si>
    <t>1018 Eastern Pkwy</t>
  </si>
  <si>
    <t>670 Riverside Dr</t>
  </si>
  <si>
    <t>30 Post Ave</t>
  </si>
  <si>
    <t>190 E 206th St</t>
  </si>
  <si>
    <t>250 Fort Washington Ave</t>
  </si>
  <si>
    <t>1919 Eastern Pkwy</t>
  </si>
  <si>
    <t>3852 10th Ave</t>
  </si>
  <si>
    <t>427 Fort Washington Ave</t>
  </si>
  <si>
    <t>812 W 181st St</t>
  </si>
  <si>
    <t>251 Mother Gaston Blvd</t>
  </si>
  <si>
    <t>1195 Anderson Ave</t>
  </si>
  <si>
    <t>2086 2nd Ave</t>
  </si>
  <si>
    <t>831 Bartholdi St</t>
  </si>
  <si>
    <t>751 Walton Ave</t>
  </si>
  <si>
    <t>101 Daniel Low Ter</t>
  </si>
  <si>
    <t>2320 BRONX PARK E</t>
  </si>
  <si>
    <t>241 E Mosholu Pkwy N</t>
  </si>
  <si>
    <t>100 Stuyvesant Pl</t>
  </si>
  <si>
    <t>82 Rockaway Pkwy</t>
  </si>
  <si>
    <t>1575 Townsend Ave</t>
  </si>
  <si>
    <t>2242 Nameoke Ave</t>
  </si>
  <si>
    <t>7 Hegeman Ave</t>
  </si>
  <si>
    <t>14 Thayer St</t>
  </si>
  <si>
    <t>106 Cabrini Blvd</t>
  </si>
  <si>
    <t>3971 Monticello Ave</t>
  </si>
  <si>
    <t>930 Grand Concourse</t>
  </si>
  <si>
    <t>615 W 173rd St</t>
  </si>
  <si>
    <t>500 W 172nd St</t>
  </si>
  <si>
    <t>650 Lenox Ave</t>
  </si>
  <si>
    <t>8285 116th St</t>
  </si>
  <si>
    <t>1991 Sedgwick Ave</t>
  </si>
  <si>
    <t>2110 Frederick Douglass Blvd</t>
  </si>
  <si>
    <t>312 W 112th St</t>
  </si>
  <si>
    <t>107 E 126th St</t>
  </si>
  <si>
    <t>14978 Weller Ln</t>
  </si>
  <si>
    <t>543 47th Ave</t>
  </si>
  <si>
    <t>30 Allen St</t>
  </si>
  <si>
    <t>407 Audubon Ave</t>
  </si>
  <si>
    <t>1551 Williamsbridge Rd</t>
  </si>
  <si>
    <t>2101 Cedar Ave</t>
  </si>
  <si>
    <t>50 Vandalia Ave</t>
  </si>
  <si>
    <t>1475 Sheridan Ave</t>
  </si>
  <si>
    <t>2010 Newkirk Ave</t>
  </si>
  <si>
    <t>790 Eldert Ln</t>
  </si>
  <si>
    <t>801 W 181st St</t>
  </si>
  <si>
    <t>1098 Gerard Ave</t>
  </si>
  <si>
    <t>4918 43rd Ave</t>
  </si>
  <si>
    <t>305 13th St</t>
  </si>
  <si>
    <t>1230 Woodycrest Ave</t>
  </si>
  <si>
    <t>7311 217th St</t>
  </si>
  <si>
    <t>4857 Broadway</t>
  </si>
  <si>
    <t>231 E 117th St</t>
  </si>
  <si>
    <t>2685 University Ave</t>
  </si>
  <si>
    <t>1420 Freeport Loop</t>
  </si>
  <si>
    <t>45 Sickles St</t>
  </si>
  <si>
    <t>85 Seaman Ave</t>
  </si>
  <si>
    <t>3525 Bainbridge Ave</t>
  </si>
  <si>
    <t>2102 Amsterdam Avenue</t>
  </si>
  <si>
    <t>660 E 98th St</t>
  </si>
  <si>
    <t>830 Magenta St</t>
  </si>
  <si>
    <t>180 Grafton St</t>
  </si>
  <si>
    <t>101 Sherman Ave</t>
  </si>
  <si>
    <t>43 Sheffield Ave</t>
  </si>
  <si>
    <t>5000 Broadway</t>
  </si>
  <si>
    <t>952 Aldus St</t>
  </si>
  <si>
    <t>1197 Grand Concourse</t>
  </si>
  <si>
    <t>1991 Sedgewick Avenue</t>
  </si>
  <si>
    <t>14445 35th Ave</t>
  </si>
  <si>
    <t>1995 Sedgwick Ave</t>
  </si>
  <si>
    <t>4124 45th St</t>
  </si>
  <si>
    <t>95 Thayer St</t>
  </si>
  <si>
    <t>2757 Claflin Ave</t>
  </si>
  <si>
    <t>3736 10th Ave</t>
  </si>
  <si>
    <t>1401 Elm Ave</t>
  </si>
  <si>
    <t>1646 Union St</t>
  </si>
  <si>
    <t>4706 48th Ave</t>
  </si>
  <si>
    <t>501 W 189th St</t>
  </si>
  <si>
    <t>80 Arden St</t>
  </si>
  <si>
    <t>325 E 194th St</t>
  </si>
  <si>
    <t>4142 24th St</t>
  </si>
  <si>
    <t>2160 Matthews Ave</t>
  </si>
  <si>
    <t>788 Riverside Dr</t>
  </si>
  <si>
    <t>122 Roe St</t>
  </si>
  <si>
    <t>288 Crown St</t>
  </si>
  <si>
    <t>117 sherman ave</t>
  </si>
  <si>
    <t>225 E 95th St</t>
  </si>
  <si>
    <t>1555 Grand Concourse</t>
  </si>
  <si>
    <t>122 E 103rd St</t>
  </si>
  <si>
    <t>272 Sherman Ave</t>
  </si>
  <si>
    <t>9805 67th Ave</t>
  </si>
  <si>
    <t>930 Ogden Ave</t>
  </si>
  <si>
    <t>134 Haven Ave</t>
  </si>
  <si>
    <t>615 W 183rd St</t>
  </si>
  <si>
    <t>385 Fort Washington Avenue</t>
  </si>
  <si>
    <t>5008 Broadway</t>
  </si>
  <si>
    <t>802 W 190th St</t>
  </si>
  <si>
    <t>6071 67th Ave</t>
  </si>
  <si>
    <t>520 W 218th St</t>
  </si>
  <si>
    <t>1 Seaman Ave</t>
  </si>
  <si>
    <t>917 Ogden Ave</t>
  </si>
  <si>
    <t>309a Beach 73rd St</t>
  </si>
  <si>
    <t>1323 Mcbride St</t>
  </si>
  <si>
    <t>482 Beach 44th St</t>
  </si>
  <si>
    <t>11634 Merrick Blvd</t>
  </si>
  <si>
    <t>8019 88th Ave</t>
  </si>
  <si>
    <t>12121 103rd Ave</t>
  </si>
  <si>
    <t>9719 Lefferts Blvd</t>
  </si>
  <si>
    <t>3238 83rd St</t>
  </si>
  <si>
    <t>3608 192nd St</t>
  </si>
  <si>
    <t>14444 41st Ave</t>
  </si>
  <si>
    <t>13234 41st Ave</t>
  </si>
  <si>
    <t>395 Bainbridge St</t>
  </si>
  <si>
    <t>2276 Atlantic Ave</t>
  </si>
  <si>
    <t>117 16th St</t>
  </si>
  <si>
    <t>12399 Flatlands Ave</t>
  </si>
  <si>
    <t>109 Marcus Garvey Blvd</t>
  </si>
  <si>
    <t>155 Borden Ave</t>
  </si>
  <si>
    <t>3035 White Plains Rd</t>
  </si>
  <si>
    <t>760 E 218th St</t>
  </si>
  <si>
    <t>3030 Middletown Rd</t>
  </si>
  <si>
    <t>1472 Beach Ave</t>
  </si>
  <si>
    <t>2070 Ryer Ave</t>
  </si>
  <si>
    <t>1829 Anthony Ave</t>
  </si>
  <si>
    <t>1221 Sheridan Ave</t>
  </si>
  <si>
    <t>810 E 152nd St</t>
  </si>
  <si>
    <t>2241 Creston Ave</t>
  </si>
  <si>
    <t>228 W Tremont Ave</t>
  </si>
  <si>
    <t>1628 Macombs Rd</t>
  </si>
  <si>
    <t>1678 Nelson Ave</t>
  </si>
  <si>
    <t>1075 Grand Concourse</t>
  </si>
  <si>
    <t>1307 Edward L grant hwy</t>
  </si>
  <si>
    <t>258 Corson Ave</t>
  </si>
  <si>
    <t>1 Sickles St</t>
  </si>
  <si>
    <t>620 W 190th St</t>
  </si>
  <si>
    <t>2301 5th Ave</t>
  </si>
  <si>
    <t>251 Sherman Ave</t>
  </si>
  <si>
    <t>615 W 186th St</t>
  </si>
  <si>
    <t>563 West 184th Street</t>
  </si>
  <si>
    <t>555 Edgecombe Ave</t>
  </si>
  <si>
    <t>47 Fort Washington Ave</t>
  </si>
  <si>
    <t>124 Fort Washington Ave</t>
  </si>
  <si>
    <t>523 W 162nd St</t>
  </si>
  <si>
    <t>1325 5th Ave</t>
  </si>
  <si>
    <t>91 E 116th St</t>
  </si>
  <si>
    <t>666 W End Ave</t>
  </si>
  <si>
    <t>13514 Hook Creek Blvd</t>
  </si>
  <si>
    <t>1870 211th St</t>
  </si>
  <si>
    <t>60 E 196th St</t>
  </si>
  <si>
    <t>141 Beach 56th Pl</t>
  </si>
  <si>
    <t>1420 Gateway Blvd</t>
  </si>
  <si>
    <t>95 E 18th St</t>
  </si>
  <si>
    <t>405 Rockaway Pkwy</t>
  </si>
  <si>
    <t>927 Lenox Rd</t>
  </si>
  <si>
    <t>50 W Gun Hill Rd</t>
  </si>
  <si>
    <t>1560 Grand Concourse</t>
  </si>
  <si>
    <t>1632 Undercliff Ave</t>
  </si>
  <si>
    <t>1080 Anderson Ave</t>
  </si>
  <si>
    <t>1544 Walton Ave</t>
  </si>
  <si>
    <t>34 Monroe Ave</t>
  </si>
  <si>
    <t>41 Park Ter W</t>
  </si>
  <si>
    <t>502 W 151st St</t>
  </si>
  <si>
    <t>4 W 121st St</t>
  </si>
  <si>
    <t>274 Maple Pkwy</t>
  </si>
  <si>
    <t>235 Jersey St</t>
  </si>
  <si>
    <t>171 E 93rd St</t>
  </si>
  <si>
    <t>3613 Greenpoint Ave</t>
  </si>
  <si>
    <t>1873 2nd Ave</t>
  </si>
  <si>
    <t>4516 49th st</t>
  </si>
  <si>
    <t>208 S 1st St</t>
  </si>
  <si>
    <t>465 Elton St</t>
  </si>
  <si>
    <t>443 Miller Ave</t>
  </si>
  <si>
    <t>454 Bradford St</t>
  </si>
  <si>
    <t>845 Schenck Ave</t>
  </si>
  <si>
    <t>107 E 100th St</t>
  </si>
  <si>
    <t>711C Seagirt Ave</t>
  </si>
  <si>
    <t>435 Grand Ave</t>
  </si>
  <si>
    <t>4600 9th Ave</t>
  </si>
  <si>
    <t>100 Fort Washington Ave</t>
  </si>
  <si>
    <t>565 W 162nd St</t>
  </si>
  <si>
    <t>1575 Lexington Ave</t>
  </si>
  <si>
    <t>1410 York Ave</t>
  </si>
  <si>
    <t>9728 76th St</t>
  </si>
  <si>
    <t>6615 Wetherole St</t>
  </si>
  <si>
    <t>2555 Boston Rd</t>
  </si>
  <si>
    <t>127 Corson Ave</t>
  </si>
  <si>
    <t>435 GRAND AVE</t>
  </si>
  <si>
    <t>425 Grand Ave</t>
  </si>
  <si>
    <t>217 Van Brunt St</t>
  </si>
  <si>
    <t>538 E 21st St</t>
  </si>
  <si>
    <t>98 Linden Blvd</t>
  </si>
  <si>
    <t>1901 Dorchester Rd</t>
  </si>
  <si>
    <t>1416 Walton Ave</t>
  </si>
  <si>
    <t>13906 34th Rd</t>
  </si>
  <si>
    <t>3216 Decatur Ave</t>
  </si>
  <si>
    <t>671 Halsey St</t>
  </si>
  <si>
    <t>16606 75th Ave</t>
  </si>
  <si>
    <t>4351 165th St</t>
  </si>
  <si>
    <t>3415 Parsons Blvd</t>
  </si>
  <si>
    <t>21 Truxton St</t>
  </si>
  <si>
    <t>1704 E. 15th St.</t>
  </si>
  <si>
    <t>5421 Beverley Rd</t>
  </si>
  <si>
    <t>160 Park Hill Ave</t>
  </si>
  <si>
    <t>198 Victory Blvd</t>
  </si>
  <si>
    <t>115 Stuyvesant Pl</t>
  </si>
  <si>
    <t>4339 158th St</t>
  </si>
  <si>
    <t>Po Box 230455</t>
  </si>
  <si>
    <t>9416 34th Rd</t>
  </si>
  <si>
    <t>15048 75th Ave</t>
  </si>
  <si>
    <t>3216 137th St</t>
  </si>
  <si>
    <t>284 Cooper St</t>
  </si>
  <si>
    <t>2192 Dean St</t>
  </si>
  <si>
    <t>1841 Atlantic Ave</t>
  </si>
  <si>
    <t>2025 Regent Pl</t>
  </si>
  <si>
    <t>1392 Sterling Pl</t>
  </si>
  <si>
    <t>212 Highland Pl</t>
  </si>
  <si>
    <t>604 Georgia Ave</t>
  </si>
  <si>
    <t>272 Pennsylvania Ave</t>
  </si>
  <si>
    <t>2719 44th Dr</t>
  </si>
  <si>
    <t>1600 Sedgwick Ave</t>
  </si>
  <si>
    <t>1765 Townsend Ave</t>
  </si>
  <si>
    <t>7 Navy Pier Ct</t>
  </si>
  <si>
    <t>2 Hendricks Ave</t>
  </si>
  <si>
    <t>516 Howard Ave</t>
  </si>
  <si>
    <t>353 Fort Washington Ave</t>
  </si>
  <si>
    <t>155 W 81st St</t>
  </si>
  <si>
    <t>326 Grafton St</t>
  </si>
  <si>
    <t>1211 Southern Blvd</t>
  </si>
  <si>
    <t>835 Home St</t>
  </si>
  <si>
    <t>123 Vermilyea Ave</t>
  </si>
  <si>
    <t>858 Beck St</t>
  </si>
  <si>
    <t>25 Lafayette Ave</t>
  </si>
  <si>
    <t>2075 2nd Ave</t>
  </si>
  <si>
    <t>209 E 165th St</t>
  </si>
  <si>
    <t>521 W 186th St</t>
  </si>
  <si>
    <t>380 Schenck Ave</t>
  </si>
  <si>
    <t>1812 Palisade Pl</t>
  </si>
  <si>
    <t>1663 Garfield St</t>
  </si>
  <si>
    <t>426 E 118th st</t>
  </si>
  <si>
    <t>2123 Boston Rd</t>
  </si>
  <si>
    <t>1847 Univ Ave</t>
  </si>
  <si>
    <t>3534 Bronx Blvd</t>
  </si>
  <si>
    <t>771 Herkimer St</t>
  </si>
  <si>
    <t>112 W 138th St</t>
  </si>
  <si>
    <t>489 Lincoln Ave</t>
  </si>
  <si>
    <t>101-125 W 147th St</t>
  </si>
  <si>
    <t>100 E 118th St</t>
  </si>
  <si>
    <t>229 Seaman Ave</t>
  </si>
  <si>
    <t>941 Rogers Pl</t>
  </si>
  <si>
    <t>47 Featherbed Ln</t>
  </si>
  <si>
    <t>178 Riverdale Ave</t>
  </si>
  <si>
    <t>1320 Eastern Pkwy</t>
  </si>
  <si>
    <t>1326 Clay Ave</t>
  </si>
  <si>
    <t>980 Aldus St</t>
  </si>
  <si>
    <t>9405 133rd St</t>
  </si>
  <si>
    <t>381 Sumpter St</t>
  </si>
  <si>
    <t>1581 Fulton Ave</t>
  </si>
  <si>
    <t>14220 Franklin Ave</t>
  </si>
  <si>
    <t>3620 Parsons Blvd</t>
  </si>
  <si>
    <t>15516 Cherry Ave</t>
  </si>
  <si>
    <t>214 Echo Pl</t>
  </si>
  <si>
    <t>413 E 114th St</t>
  </si>
  <si>
    <t>7215 41st Ave</t>
  </si>
  <si>
    <t>1819 Weeks Ave</t>
  </si>
  <si>
    <t>421 E 94th St</t>
  </si>
  <si>
    <t>191 Orchard St</t>
  </si>
  <si>
    <t>540 W 145th St</t>
  </si>
  <si>
    <t>825 Gerard Ave</t>
  </si>
  <si>
    <t>563 W 191st St</t>
  </si>
  <si>
    <t>830 Fox St</t>
  </si>
  <si>
    <t>545 Edgecombe Ave</t>
  </si>
  <si>
    <t>293 Mac Dougal St</t>
  </si>
  <si>
    <t>1738 Univ Ave</t>
  </si>
  <si>
    <t>14217 130th Ave</t>
  </si>
  <si>
    <t>4110 Bowne St</t>
  </si>
  <si>
    <t>380 E 18th St</t>
  </si>
  <si>
    <t>336 Fort Washington Ave</t>
  </si>
  <si>
    <t>333 Beach 32nd St</t>
  </si>
  <si>
    <t>139 Beach 26th St</t>
  </si>
  <si>
    <t>1495 Grand Concourse</t>
  </si>
  <si>
    <t>1505 Walton Ave</t>
  </si>
  <si>
    <t>1398 Pitkin Ave</t>
  </si>
  <si>
    <t>409 W 127th St</t>
  </si>
  <si>
    <t>125 Beach 17th St</t>
  </si>
  <si>
    <t>369 Milford St</t>
  </si>
  <si>
    <t>115 E 116th St</t>
  </si>
  <si>
    <t>2170 Atlantic Ave</t>
  </si>
  <si>
    <t>211 E 54th St</t>
  </si>
  <si>
    <t>2454 Tiebout Ave</t>
  </si>
  <si>
    <t>3121 Ditmars Blvd</t>
  </si>
  <si>
    <t>1405 5th Ave</t>
  </si>
  <si>
    <t>165 W 169th St</t>
  </si>
  <si>
    <t>1677 Saint Johns Pl</t>
  </si>
  <si>
    <t>217 E 120th St</t>
  </si>
  <si>
    <t>1001 University Ave</t>
  </si>
  <si>
    <t>145 Elmira Loop</t>
  </si>
  <si>
    <t>125 Seaman Ave</t>
  </si>
  <si>
    <t>2245 Dix Ave</t>
  </si>
  <si>
    <t>1715 Walton Ave</t>
  </si>
  <si>
    <t>546 E 145th St</t>
  </si>
  <si>
    <t>11539 135th St</t>
  </si>
  <si>
    <t>107 Somers St</t>
  </si>
  <si>
    <t>20 Vandalia Ave</t>
  </si>
  <si>
    <t>902 Drew st</t>
  </si>
  <si>
    <t>1860 Billingsley Ter</t>
  </si>
  <si>
    <t>165 Seaman Ave</t>
  </si>
  <si>
    <t>228a Jersey St</t>
  </si>
  <si>
    <t>690 Macon St</t>
  </si>
  <si>
    <t>645 Prospect Ave</t>
  </si>
  <si>
    <t>364 W 18th St</t>
  </si>
  <si>
    <t>599 Morris Ave</t>
  </si>
  <si>
    <t>148 Marcus Garvey Blvd</t>
  </si>
  <si>
    <t>248 Audubon Ave</t>
  </si>
  <si>
    <t>6822 Fleet St</t>
  </si>
  <si>
    <t>1065 Jerome Ave # 81</t>
  </si>
  <si>
    <t>5057 Broadway</t>
  </si>
  <si>
    <t>16 Sandra Ln</t>
  </si>
  <si>
    <t>60 Hamilton Ave</t>
  </si>
  <si>
    <t>165 Saint Marks Pl</t>
  </si>
  <si>
    <t>378 Throop Ave</t>
  </si>
  <si>
    <t>585 E 21st St</t>
  </si>
  <si>
    <t>4865 Broadway</t>
  </si>
  <si>
    <t>1770 Davidson Ave</t>
  </si>
  <si>
    <t>9503 Cresskill Pl</t>
  </si>
  <si>
    <t>2277 Andrews Ave</t>
  </si>
  <si>
    <t>453 E 117th St</t>
  </si>
  <si>
    <t>3519 161st St</t>
  </si>
  <si>
    <t>2253 Loring Pl N</t>
  </si>
  <si>
    <t>2018 Monterey Ave</t>
  </si>
  <si>
    <t>700 Ocean Ave</t>
  </si>
  <si>
    <t>291 Bainbridge St</t>
  </si>
  <si>
    <t>288 Pelton Ave</t>
  </si>
  <si>
    <t>501 W 184th St</t>
  </si>
  <si>
    <t>711 Macon St</t>
  </si>
  <si>
    <t>335 E 115th St # 7</t>
  </si>
  <si>
    <t>1920 Osbourne Pl</t>
  </si>
  <si>
    <t>521 W 185th St</t>
  </si>
  <si>
    <t>124 E 117th St</t>
  </si>
  <si>
    <t>120 Sherman Ave</t>
  </si>
  <si>
    <t>9411 Shore Rd</t>
  </si>
  <si>
    <t>960 Grand Concourse</t>
  </si>
  <si>
    <t>385 Prospect Ave</t>
  </si>
  <si>
    <t>498 Halsey St</t>
  </si>
  <si>
    <t>763 Eastern Pkwy</t>
  </si>
  <si>
    <t>600 W 161st St</t>
  </si>
  <si>
    <t>1293 E New York Ave</t>
  </si>
  <si>
    <t>1120 Bryant Ave</t>
  </si>
  <si>
    <t>90 Laurel Hill Ter</t>
  </si>
  <si>
    <t>10420 68th Dr</t>
  </si>
  <si>
    <t>48 Post Ave</t>
  </si>
  <si>
    <t>18 Jabcobus Place</t>
  </si>
  <si>
    <t>1336 Herkimer St</t>
  </si>
  <si>
    <t>5 Minerva Pl</t>
  </si>
  <si>
    <t>4049 167th St</t>
  </si>
  <si>
    <t>135 Roff St</t>
  </si>
  <si>
    <t>10 Post Ave</t>
  </si>
  <si>
    <t>300 Vernon Ave</t>
  </si>
  <si>
    <t>10 Richman Plz</t>
  </si>
  <si>
    <t>184 Wyckoff Ave</t>
  </si>
  <si>
    <t>1461 Commonwealth Ave</t>
  </si>
  <si>
    <t>125 W 168th St</t>
  </si>
  <si>
    <t>392 Rockaway Pkwy</t>
  </si>
  <si>
    <t>1844 Stuart St</t>
  </si>
  <si>
    <t>749 Lafayette Ave</t>
  </si>
  <si>
    <t>19 Cooper St</t>
  </si>
  <si>
    <t>315 E 102nd St</t>
  </si>
  <si>
    <t>23 Arden St</t>
  </si>
  <si>
    <t>1372 Shakespeare Ave</t>
  </si>
  <si>
    <t>11555 208th St</t>
  </si>
  <si>
    <t>2168 Fulton St</t>
  </si>
  <si>
    <t>1405 Townsend Ave</t>
  </si>
  <si>
    <t>5085 Broadway</t>
  </si>
  <si>
    <t>504 Thatford Ave</t>
  </si>
  <si>
    <t>34 Post Ave</t>
  </si>
  <si>
    <t>226 E 203rd St</t>
  </si>
  <si>
    <t>207 Schaefer st</t>
  </si>
  <si>
    <t>109 Post Ave</t>
  </si>
  <si>
    <t>1752 Walton Ave</t>
  </si>
  <si>
    <t>1245 Grandview Pl</t>
  </si>
  <si>
    <t>1740 Prospect Pl</t>
  </si>
  <si>
    <t>1815 Grand Concourse</t>
  </si>
  <si>
    <t>1777 Madison Ave</t>
  </si>
  <si>
    <t>416 E 187th St</t>
  </si>
  <si>
    <t>578 Academy St</t>
  </si>
  <si>
    <t>3019 Bessemund Ave</t>
  </si>
  <si>
    <t>667 W 161st St</t>
  </si>
  <si>
    <t>2131 Clinton Ave</t>
  </si>
  <si>
    <t>643 Central Ave</t>
  </si>
  <si>
    <t>19 E 109th St</t>
  </si>
  <si>
    <t>1432 Pacific St</t>
  </si>
  <si>
    <t>141 Watkins st</t>
  </si>
  <si>
    <t>95 Seaman Ave</t>
  </si>
  <si>
    <t>477 Saratoga Ave</t>
  </si>
  <si>
    <t>1175 Gerard Ave</t>
  </si>
  <si>
    <t>10242 63rd Rd</t>
  </si>
  <si>
    <t>166 W 118th St</t>
  </si>
  <si>
    <t>60 S Oxford St</t>
  </si>
  <si>
    <t>395 Auduban Avenue</t>
  </si>
  <si>
    <t>1380 Univeristy Aveune</t>
  </si>
  <si>
    <t>555 W 173rd St</t>
  </si>
  <si>
    <t>1326 Grand Concourse</t>
  </si>
  <si>
    <t>408 E 154th St</t>
  </si>
  <si>
    <t>987 Hegeman Ave</t>
  </si>
  <si>
    <t>24115 86th Ave</t>
  </si>
  <si>
    <t>8907 139th St</t>
  </si>
  <si>
    <t>144 Gatling Pl</t>
  </si>
  <si>
    <t>35 Covert St</t>
  </si>
  <si>
    <t>693 Flatbush Ave</t>
  </si>
  <si>
    <t>3551 95th St</t>
  </si>
  <si>
    <t>53 Luke Ct</t>
  </si>
  <si>
    <t>2028 Morris Ave</t>
  </si>
  <si>
    <t>915 Kelly St</t>
  </si>
  <si>
    <t>921 E 180th St</t>
  </si>
  <si>
    <t>436 49th St</t>
  </si>
  <si>
    <t>712 Macon St</t>
  </si>
  <si>
    <t>1889 sedgwick ave</t>
  </si>
  <si>
    <t>2080 Lafontaine Ave</t>
  </si>
  <si>
    <t>19619 Jamaica Ave</t>
  </si>
  <si>
    <t>260 Park Hill Ave</t>
  </si>
  <si>
    <t>605 W 42nd St</t>
  </si>
  <si>
    <t>13740 45th Ave</t>
  </si>
  <si>
    <t>1264 Sheridan Ave</t>
  </si>
  <si>
    <t>957 Aldus St</t>
  </si>
  <si>
    <t>1338 Manor Ave</t>
  </si>
  <si>
    <t>2256 Walton Ave</t>
  </si>
  <si>
    <t>860 Riverside Dr</t>
  </si>
  <si>
    <t>14430 Roosevelt Ave</t>
  </si>
  <si>
    <t>1460 Grand Concourse</t>
  </si>
  <si>
    <t>125 Marcy Pl</t>
  </si>
  <si>
    <t>211 W 101st St</t>
  </si>
  <si>
    <t>737 Southern Blvd</t>
  </si>
  <si>
    <t>12 Bangor St</t>
  </si>
  <si>
    <t>424 Britton Ave</t>
  </si>
  <si>
    <t>4382 Furman Ave</t>
  </si>
  <si>
    <t>161 E 96th St</t>
  </si>
  <si>
    <t>38 Post Ave</t>
  </si>
  <si>
    <t>8050 Baxter Ave</t>
  </si>
  <si>
    <t>144-30 Rooselvelt Ave</t>
  </si>
  <si>
    <t>535 W 151st St</t>
  </si>
  <si>
    <t>1306 Chisholm St</t>
  </si>
  <si>
    <t>554 W 181st St</t>
  </si>
  <si>
    <t>940 Fox St</t>
  </si>
  <si>
    <t>8645 Saint James Ave</t>
  </si>
  <si>
    <t>333 Beach 67th St</t>
  </si>
  <si>
    <t>1260 Croton Loop</t>
  </si>
  <si>
    <t>2325 Cambreleng Ave</t>
  </si>
  <si>
    <t>135 Essex St</t>
  </si>
  <si>
    <t>731 New Jersey Ave</t>
  </si>
  <si>
    <t>950 Woodycrest Ave</t>
  </si>
  <si>
    <t>1704 Saint Johns Pl</t>
  </si>
  <si>
    <t>22 Moffat St</t>
  </si>
  <si>
    <t>350 Pennsylvania Ave</t>
  </si>
  <si>
    <t>248 Sherman Ave</t>
  </si>
  <si>
    <t>21005 43rd Ave</t>
  </si>
  <si>
    <t>75 Piedmont Ave</t>
  </si>
  <si>
    <t>1068 Gerard Ave</t>
  </si>
  <si>
    <t>1005 Jerome Ave</t>
  </si>
  <si>
    <t>2073 davidson ave</t>
  </si>
  <si>
    <t>109 E 59th St</t>
  </si>
  <si>
    <t>115 Marcy Pl</t>
  </si>
  <si>
    <t>178 Rockaway Pkwy</t>
  </si>
  <si>
    <t>362 Darlington Ave</t>
  </si>
  <si>
    <t>2301 1st Ave</t>
  </si>
  <si>
    <t>271 Hawthorne St</t>
  </si>
  <si>
    <t>945 E 163rd St</t>
  </si>
  <si>
    <t>14011 Ash Ave</t>
  </si>
  <si>
    <t>873 Intervale Ave</t>
  </si>
  <si>
    <t>36 Bedford Park Blvd E</t>
  </si>
  <si>
    <t>500 Bristol St</t>
  </si>
  <si>
    <t>247 Audubon Ave</t>
  </si>
  <si>
    <t>701 W 179th St</t>
  </si>
  <si>
    <t>23210 Hillside Ave</t>
  </si>
  <si>
    <t>2130 1st Ave</t>
  </si>
  <si>
    <t>282 E 35th St</t>
  </si>
  <si>
    <t>11 E 107th St</t>
  </si>
  <si>
    <t>132 Sherman Ave Apt 3</t>
  </si>
  <si>
    <t>2284 Grand Ave</t>
  </si>
  <si>
    <t>549 Isham St</t>
  </si>
  <si>
    <t>471 Hicks St</t>
  </si>
  <si>
    <t>725 Miller Ave</t>
  </si>
  <si>
    <t>788 E 182nd ST</t>
  </si>
  <si>
    <t>2180 Grand Concourse</t>
  </si>
  <si>
    <t>711D Seagirt Ave</t>
  </si>
  <si>
    <t>12911 Jamaica Ave</t>
  </si>
  <si>
    <t>1975 Davidson Ave</t>
  </si>
  <si>
    <t>126B Hendricks Ave</t>
  </si>
  <si>
    <t>986 Dumont Ave</t>
  </si>
  <si>
    <t>1300 Richmond Ave</t>
  </si>
  <si>
    <t>10 Kimberly Ln</t>
  </si>
  <si>
    <t>1170 Gerard Ave</t>
  </si>
  <si>
    <t>800 Hancock St</t>
  </si>
  <si>
    <t>327 43rd St</t>
  </si>
  <si>
    <t>207 Park Pl</t>
  </si>
  <si>
    <t>1325 Lafayette Ave</t>
  </si>
  <si>
    <t>715 W 180th St</t>
  </si>
  <si>
    <t>760 Park Ave</t>
  </si>
  <si>
    <t>91 Broad St</t>
  </si>
  <si>
    <t>2081 Fulton St</t>
  </si>
  <si>
    <t>22 E 112th St</t>
  </si>
  <si>
    <t>11 Fort George Hill</t>
  </si>
  <si>
    <t>66 Post Ave</t>
  </si>
  <si>
    <t>124 E 117th ST</t>
  </si>
  <si>
    <t>36 Sherman Ave</t>
  </si>
  <si>
    <t>45 Twin Pines Dr</t>
  </si>
  <si>
    <t>251 E 105th St</t>
  </si>
  <si>
    <t>622 Gipson St</t>
  </si>
  <si>
    <t>14133 79th Ave</t>
  </si>
  <si>
    <t>1790 Fulton St</t>
  </si>
  <si>
    <t>804 Cleveland St</t>
  </si>
  <si>
    <t>939 Intervale Ave</t>
  </si>
  <si>
    <t>1749 Grand Concourse</t>
  </si>
  <si>
    <t>55 Cooper St</t>
  </si>
  <si>
    <t>1100 Franklin Ave</t>
  </si>
  <si>
    <t>3366 Decatur Ave</t>
  </si>
  <si>
    <t>870 Elsmere Pl</t>
  </si>
  <si>
    <t>2802 Olinville Ave</t>
  </si>
  <si>
    <t>255 E 176th St</t>
  </si>
  <si>
    <t>600 Ocean Ave</t>
  </si>
  <si>
    <t>20214 Hollis Ave</t>
  </si>
  <si>
    <t>1307 Merriam Ave</t>
  </si>
  <si>
    <t>651 Elton St</t>
  </si>
  <si>
    <t>154 E 106th St</t>
  </si>
  <si>
    <t>494 New Lots Ave</t>
  </si>
  <si>
    <t>459 Milford St</t>
  </si>
  <si>
    <t>711 Seagirt Avenue</t>
  </si>
  <si>
    <t>21810 Spencer Ave</t>
  </si>
  <si>
    <t>11714 Van Wyck Expy</t>
  </si>
  <si>
    <t>1145 Morrison Ave</t>
  </si>
  <si>
    <t>1023 Southern Blvd</t>
  </si>
  <si>
    <t>23 Tessa Ct</t>
  </si>
  <si>
    <t>1185 Grand Concourse</t>
  </si>
  <si>
    <t>2242 Tiebout Ave</t>
  </si>
  <si>
    <t>558 Ralph Ave</t>
  </si>
  <si>
    <t>440 Watkins St</t>
  </si>
  <si>
    <t>737 E 219th St</t>
  </si>
  <si>
    <t>3407 Dekalb Ave</t>
  </si>
  <si>
    <t>1235 Morris Ave</t>
  </si>
  <si>
    <t>250 Beach 15th St</t>
  </si>
  <si>
    <t>618 Academy St</t>
  </si>
  <si>
    <t>405 Westminster Rd</t>
  </si>
  <si>
    <t>1008 Summit Ave</t>
  </si>
  <si>
    <t>2449 33rd St</t>
  </si>
  <si>
    <t>601 W 180th St</t>
  </si>
  <si>
    <t>16640 88th Ave</t>
  </si>
  <si>
    <t>3774 33rd St</t>
  </si>
  <si>
    <t>14210 Roosevelt Ave</t>
  </si>
  <si>
    <t>2011 MORRIS AVE</t>
  </si>
  <si>
    <t>152 Sherman Avenue</t>
  </si>
  <si>
    <t>1827 Nostrand Ave</t>
  </si>
  <si>
    <t>1444 Lincoln Pl</t>
  </si>
  <si>
    <t>2025 Valentine Ave</t>
  </si>
  <si>
    <t>333 3rd Ave</t>
  </si>
  <si>
    <t>890 Flushing Ave</t>
  </si>
  <si>
    <t>2162 Valentine Ave</t>
  </si>
  <si>
    <t>69 E 176th St</t>
  </si>
  <si>
    <t>711A Seagirt Ave</t>
  </si>
  <si>
    <t>1331 Bay St</t>
  </si>
  <si>
    <t>163 E 178th St</t>
  </si>
  <si>
    <t>1944 Madison Ave</t>
  </si>
  <si>
    <t>4325 Hunter St</t>
  </si>
  <si>
    <t>1310 Sheridan Ave</t>
  </si>
  <si>
    <t>198 Crescent St</t>
  </si>
  <si>
    <t>532 W 145th St</t>
  </si>
  <si>
    <t>803 W 180th St</t>
  </si>
  <si>
    <t>1397 Stanley Ave</t>
  </si>
  <si>
    <t>127 E 117th St</t>
  </si>
  <si>
    <t>9427 Kings Hwy</t>
  </si>
  <si>
    <t>280 E Burnside Ave</t>
  </si>
  <si>
    <t>2103 Honeywell Ave</t>
  </si>
  <si>
    <t>14330 Roosevelt Ave</t>
  </si>
  <si>
    <t>352 Montauk Ave</t>
  </si>
  <si>
    <t>140 Park Hill Ave</t>
  </si>
  <si>
    <t>422 W 154th St</t>
  </si>
  <si>
    <t>1574 Beach Ave</t>
  </si>
  <si>
    <t>1123 E Tremont Ave</t>
  </si>
  <si>
    <t>661 Jefferson Pl</t>
  </si>
  <si>
    <t>1115 forest ave</t>
  </si>
  <si>
    <t>1505 Townsend Ave</t>
  </si>
  <si>
    <t>117 E 118th St</t>
  </si>
  <si>
    <t>164 E 104th St</t>
  </si>
  <si>
    <t>11 E 125th St</t>
  </si>
  <si>
    <t>4 E 107th St</t>
  </si>
  <si>
    <t>167 E 115th St</t>
  </si>
  <si>
    <t>1661 Saint Johns Pl</t>
  </si>
  <si>
    <t>124 E 176th St</t>
  </si>
  <si>
    <t>3339 Park Ave</t>
  </si>
  <si>
    <t>4170 Carpenter Ave</t>
  </si>
  <si>
    <t>136 Seaman Ave</t>
  </si>
  <si>
    <t>855 E 9th St</t>
  </si>
  <si>
    <t>1637 Saint Marks Ave</t>
  </si>
  <si>
    <t>2446 Yates Ave</t>
  </si>
  <si>
    <t>393 Essex St</t>
  </si>
  <si>
    <t>829 Halsey St</t>
  </si>
  <si>
    <t>103 Vermilyea Ave</t>
  </si>
  <si>
    <t>47b Village Ln</t>
  </si>
  <si>
    <t>1952 1st Ave</t>
  </si>
  <si>
    <t>3403 Foster Ave</t>
  </si>
  <si>
    <t>11 Seaman Ave</t>
  </si>
  <si>
    <t>154 Vermilyea Ave</t>
  </si>
  <si>
    <t>327 Van Duzer St</t>
  </si>
  <si>
    <t>3511 Linden Pl</t>
  </si>
  <si>
    <t>506 W 213th St</t>
  </si>
  <si>
    <t>451 E 116th St</t>
  </si>
  <si>
    <t>1160 Cromwell Ave</t>
  </si>
  <si>
    <t>901 Walton Ave</t>
  </si>
  <si>
    <t>799 E Gun Hill Rd</t>
  </si>
  <si>
    <t>63 Irving Pl</t>
  </si>
  <si>
    <t>455 Linwood St</t>
  </si>
  <si>
    <t>2830 Pitkin Ave</t>
  </si>
  <si>
    <t>903 Drew St</t>
  </si>
  <si>
    <t>3115 95th St Bsmt</t>
  </si>
  <si>
    <t>995 E 167th St</t>
  </si>
  <si>
    <t>249 Harman St</t>
  </si>
  <si>
    <t>900 Grand Concourse</t>
  </si>
  <si>
    <t>8802 Little Neck Pkwy</t>
  </si>
  <si>
    <t>267 E 175th St</t>
  </si>
  <si>
    <t>101 Cooper St</t>
  </si>
  <si>
    <t>566a Bristol St</t>
  </si>
  <si>
    <t>743 Empire Blvd</t>
  </si>
  <si>
    <t>1315 Eastern Pkwy</t>
  </si>
  <si>
    <t>704 Elton St</t>
  </si>
  <si>
    <t>615 Hendrix St</t>
  </si>
  <si>
    <t>1253 Brunswick Ave</t>
  </si>
  <si>
    <t>190 Beach 27th St</t>
  </si>
  <si>
    <t>23 Vermilyea Ave</t>
  </si>
  <si>
    <t>775 Riverside Dr</t>
  </si>
  <si>
    <t>177 E 117th st</t>
  </si>
  <si>
    <t>2976 Marion Ave</t>
  </si>
  <si>
    <t>34 Hillside Ave</t>
  </si>
  <si>
    <t>585 E 16th St</t>
  </si>
  <si>
    <t>2076 Creston Ave</t>
  </si>
  <si>
    <t>555 W 184th St</t>
  </si>
  <si>
    <t>266 Hemlock St</t>
  </si>
  <si>
    <t>20 Sherman Ave</t>
  </si>
  <si>
    <t>2181 Pacific St</t>
  </si>
  <si>
    <t>155 E Mosholu Pkwy N</t>
  </si>
  <si>
    <t>315 E 5th St</t>
  </si>
  <si>
    <t>2239 Creston Ave</t>
  </si>
  <si>
    <t>832 Midwood St</t>
  </si>
  <si>
    <t>711c Seagirt Ave</t>
  </si>
  <si>
    <t>560 W 192nd St</t>
  </si>
  <si>
    <t>1254 Sherman Ave</t>
  </si>
  <si>
    <t>645 W 160th St</t>
  </si>
  <si>
    <t>772 Union St</t>
  </si>
  <si>
    <t>929 Bruckner Blvd</t>
  </si>
  <si>
    <t>1940 Andrews Ave</t>
  </si>
  <si>
    <t>972 Eastern Pkwy</t>
  </si>
  <si>
    <t>658 W 188th St</t>
  </si>
  <si>
    <t>3971 Gouverneur Ave</t>
  </si>
  <si>
    <t>510 Atlantic Ave</t>
  </si>
  <si>
    <t>441 E 116th St</t>
  </si>
  <si>
    <t>8806 Parsons Blvd</t>
  </si>
  <si>
    <t>1692 Park Ave</t>
  </si>
  <si>
    <t>200 Nagle Ave</t>
  </si>
  <si>
    <t>1685 Monroe Ave</t>
  </si>
  <si>
    <t>650 W 173rd St</t>
  </si>
  <si>
    <t>585 W 204th St</t>
  </si>
  <si>
    <t>3556 Rochambeau Ave</t>
  </si>
  <si>
    <t>825 Boynton Ave</t>
  </si>
  <si>
    <t>1950 Bryant Ave</t>
  </si>
  <si>
    <t>9708 Kings Hwy</t>
  </si>
  <si>
    <t>1422 Nelson Ave</t>
  </si>
  <si>
    <t>12333 83rd Ave</t>
  </si>
  <si>
    <t>569 Academy St</t>
  </si>
  <si>
    <t>229 Columbus Ave</t>
  </si>
  <si>
    <t>1285 Delmar Loop</t>
  </si>
  <si>
    <t>151 Daniel Low Ter</t>
  </si>
  <si>
    <t>1215 Wheeler Ave</t>
  </si>
  <si>
    <t>1339 Bristow St</t>
  </si>
  <si>
    <t>510 Riverdale ave</t>
  </si>
  <si>
    <t>107 Post Ave</t>
  </si>
  <si>
    <t>330 Hinsdale St</t>
  </si>
  <si>
    <t>274 E 93rd St</t>
  </si>
  <si>
    <t>1475 Townsend Ave</t>
  </si>
  <si>
    <t>104 W 83rd St</t>
  </si>
  <si>
    <t>21002 93rd Ave</t>
  </si>
  <si>
    <t>2 Minerva Pl</t>
  </si>
  <si>
    <t>560 W 160th St</t>
  </si>
  <si>
    <t>623 W 207th St</t>
  </si>
  <si>
    <t>199 Sherman Ave</t>
  </si>
  <si>
    <t>1675 Lincoln Pl</t>
  </si>
  <si>
    <t>1414 Walton Ave</t>
  </si>
  <si>
    <t>103 Post Ave</t>
  </si>
  <si>
    <t>100 W 83rd St</t>
  </si>
  <si>
    <t>1111 Grant Ave</t>
  </si>
  <si>
    <t>226 W Tremont Ave</t>
  </si>
  <si>
    <t>2952 Marion Ave</t>
  </si>
  <si>
    <t>14224 38th Ave</t>
  </si>
  <si>
    <t>69 W Burnside Ave</t>
  </si>
  <si>
    <t>269 Arlington Ave</t>
  </si>
  <si>
    <t>1366 Ovington Ave</t>
  </si>
  <si>
    <t>1901 Madison Ave</t>
  </si>
  <si>
    <t>19605 110th Ave</t>
  </si>
  <si>
    <t>746 Sheffield Ave</t>
  </si>
  <si>
    <t>260 Audubon ave</t>
  </si>
  <si>
    <t>1244 Grand Concourse</t>
  </si>
  <si>
    <t>524 E 119th St</t>
  </si>
  <si>
    <t>50 Kimberly Ln</t>
  </si>
  <si>
    <t>610 Academy St</t>
  </si>
  <si>
    <t>2420 Morris Ave</t>
  </si>
  <si>
    <t>243 E 120th St</t>
  </si>
  <si>
    <t>360 Cabrini Blvd</t>
  </si>
  <si>
    <t>2742 Mcintosh St</t>
  </si>
  <si>
    <t>1061 Rutland Rd</t>
  </si>
  <si>
    <t>2015 Foster Ave</t>
  </si>
  <si>
    <t>950 Rutland Rd</t>
  </si>
  <si>
    <t>965 E 31st St</t>
  </si>
  <si>
    <t>320 E 109th St</t>
  </si>
  <si>
    <t>39 Henry St</t>
  </si>
  <si>
    <t>2051 Grand Ave</t>
  </si>
  <si>
    <t>2825 grand concourse</t>
  </si>
  <si>
    <t>1970 Walton Ave</t>
  </si>
  <si>
    <t>92 Van Cortlandt Park S</t>
  </si>
  <si>
    <t>17545 88th Ave</t>
  </si>
  <si>
    <t>1001 Woodycrest Ave</t>
  </si>
  <si>
    <t>216 Newport St</t>
  </si>
  <si>
    <t>2198 Cruger Ave</t>
  </si>
  <si>
    <t>1944 Mcgraw Ave</t>
  </si>
  <si>
    <t>2670 Bainbridge Ave</t>
  </si>
  <si>
    <t>117 Brook St</t>
  </si>
  <si>
    <t>2440 Walton Ave</t>
  </si>
  <si>
    <t>19215b 69th Ave</t>
  </si>
  <si>
    <t>2174 Pitkin Ave</t>
  </si>
  <si>
    <t>1191 Anderson Ave</t>
  </si>
  <si>
    <t>189 Sherman Ave</t>
  </si>
  <si>
    <t>159 Eastern Pkwy</t>
  </si>
  <si>
    <t>1047 47th Ave</t>
  </si>
  <si>
    <t>1014 Gerard Ave</t>
  </si>
  <si>
    <t>278 Targee St</t>
  </si>
  <si>
    <t>13317 Sanford Ave</t>
  </si>
  <si>
    <t>1169 E New York Ave</t>
  </si>
  <si>
    <t>711 W 180th St</t>
  </si>
  <si>
    <t>75 Thompson St</t>
  </si>
  <si>
    <t>120 Beach 19th St</t>
  </si>
  <si>
    <t>2075 Creston Ave</t>
  </si>
  <si>
    <t>152 E 84th St</t>
  </si>
  <si>
    <t>10 W 169th St</t>
  </si>
  <si>
    <t>561 W 186th St</t>
  </si>
  <si>
    <t>117 W 111th St</t>
  </si>
  <si>
    <t>7212 4th Ave</t>
  </si>
  <si>
    <t>61 Ellwood St</t>
  </si>
  <si>
    <t>135 Beach 19th St</t>
  </si>
  <si>
    <t>730 Grand Concourse</t>
  </si>
  <si>
    <t>2000 Valentine Ave</t>
  </si>
  <si>
    <t>1049 Montgomery St</t>
  </si>
  <si>
    <t>4011 60th St</t>
  </si>
  <si>
    <t>250 Riverdale Ave</t>
  </si>
  <si>
    <t>536 E 96th St</t>
  </si>
  <si>
    <t>15109 34th Ave</t>
  </si>
  <si>
    <t>9 Post Ave</t>
  </si>
  <si>
    <t>5449 Almeda Ave</t>
  </si>
  <si>
    <t>15904 Sanford Ave</t>
  </si>
  <si>
    <t>51 E Houston St</t>
  </si>
  <si>
    <t>272 Sherman ave</t>
  </si>
  <si>
    <t>2110 1st Ave</t>
  </si>
  <si>
    <t>14858 87th Rd</t>
  </si>
  <si>
    <t>2590 35th St</t>
  </si>
  <si>
    <t>4311 Byron Ave</t>
  </si>
  <si>
    <t>3678 White Plains Rd</t>
  </si>
  <si>
    <t>201 E 18th St</t>
  </si>
  <si>
    <t>750 E 163rd St</t>
  </si>
  <si>
    <t>986 Ogden Ave</t>
  </si>
  <si>
    <t>1767 Davidson Ave</t>
  </si>
  <si>
    <t>108 E Clarke Pl</t>
  </si>
  <si>
    <t>2045 Shore Blvd</t>
  </si>
  <si>
    <t>2985 Botanical Sq</t>
  </si>
  <si>
    <t>513 E 13th St</t>
  </si>
  <si>
    <t>130 E 104th St</t>
  </si>
  <si>
    <t>67 Manhattan Ave</t>
  </si>
  <si>
    <t>203 Atkins Ave</t>
  </si>
  <si>
    <t>158 E 119th St</t>
  </si>
  <si>
    <t>287 Audubon Ave</t>
  </si>
  <si>
    <t>1165 Saint Johns Pl</t>
  </si>
  <si>
    <t>615 W 164th St</t>
  </si>
  <si>
    <t>4411 Church Ave</t>
  </si>
  <si>
    <t>1442 Boston Rd</t>
  </si>
  <si>
    <t>160 Vermilyea Ave</t>
  </si>
  <si>
    <t>245 E 124th St</t>
  </si>
  <si>
    <t>577 Isham Street</t>
  </si>
  <si>
    <t>1035 Grand Concourse</t>
  </si>
  <si>
    <t>137 Stownsen Avenue</t>
  </si>
  <si>
    <t>309 W 76th St</t>
  </si>
  <si>
    <t>285 Schenectady Ave</t>
  </si>
  <si>
    <t>13446 161st St</t>
  </si>
  <si>
    <t>120 Kenilworth Pl</t>
  </si>
  <si>
    <t>2400 Webb Ave</t>
  </si>
  <si>
    <t>2860 Ocean Ave</t>
  </si>
  <si>
    <t>464 W 15th St</t>
  </si>
  <si>
    <t>500 E 134th St</t>
  </si>
  <si>
    <t>659 Euclid Ave</t>
  </si>
  <si>
    <t>577 Isham St</t>
  </si>
  <si>
    <t>1532 Townsend Ave</t>
  </si>
  <si>
    <t>6733 Kissena Blvd</t>
  </si>
  <si>
    <t>269 Grand Concourse</t>
  </si>
  <si>
    <t>1145 Univ Ave</t>
  </si>
  <si>
    <t>631 Beach 9th St</t>
  </si>
  <si>
    <t>111 15th St</t>
  </si>
  <si>
    <t>1898 Harrison Ave</t>
  </si>
  <si>
    <t>244 E 117th St</t>
  </si>
  <si>
    <t>340 Haven Ave</t>
  </si>
  <si>
    <t>200 Garfield Pl</t>
  </si>
  <si>
    <t>1456 Jesup Ave</t>
  </si>
  <si>
    <t>354 E Mosholu Pkwy S</t>
  </si>
  <si>
    <t>356 Arlington Ave</t>
  </si>
  <si>
    <t>267 W 152nd St</t>
  </si>
  <si>
    <t>316 Beach 101st St</t>
  </si>
  <si>
    <t>418 W 20th St</t>
  </si>
  <si>
    <t>580 W 161st St</t>
  </si>
  <si>
    <t>1173 Grand Concourse</t>
  </si>
  <si>
    <t>238 W 238th St</t>
  </si>
  <si>
    <t>482 Riverdale Ave</t>
  </si>
  <si>
    <t>43-45 Curtis Place</t>
  </si>
  <si>
    <t>127 miller ave</t>
  </si>
  <si>
    <t>2359 Dean St</t>
  </si>
  <si>
    <t>1348 Sheridan Ave</t>
  </si>
  <si>
    <t>666 Wyona St</t>
  </si>
  <si>
    <t>15804 Sanford Ave</t>
  </si>
  <si>
    <t>10147 95th St</t>
  </si>
  <si>
    <t>524 Vandalia Ave</t>
  </si>
  <si>
    <t>892 Glenmore Ave</t>
  </si>
  <si>
    <t>42 Saint Felix St</t>
  </si>
  <si>
    <t>13918 34th Rd</t>
  </si>
  <si>
    <t>2516 Tratman Ave</t>
  </si>
  <si>
    <t>1274 5th Ave</t>
  </si>
  <si>
    <t>15 Post Ave</t>
  </si>
  <si>
    <t>1972 Walton Ave</t>
  </si>
  <si>
    <t>924 Hancock St</t>
  </si>
  <si>
    <t>1320 Chisholm St</t>
  </si>
  <si>
    <t>275 Grant Ave</t>
  </si>
  <si>
    <t>94 Fountain Ave</t>
  </si>
  <si>
    <t>1240 Walton Ave</t>
  </si>
  <si>
    <t>630 W 172nd St</t>
  </si>
  <si>
    <t>580 W 215th St</t>
  </si>
  <si>
    <t>285 Shepherd Ave</t>
  </si>
  <si>
    <t>10412 105th St</t>
  </si>
  <si>
    <t>319 E 91st St</t>
  </si>
  <si>
    <t>549 Cleveland St</t>
  </si>
  <si>
    <t>2100 Tiebout Ave</t>
  </si>
  <si>
    <t>115 Post Ave</t>
  </si>
  <si>
    <t>10460 Queens Blvd</t>
  </si>
  <si>
    <t>2501 Oceancrest Blvd</t>
  </si>
  <si>
    <t>9912 65th Rd</t>
  </si>
  <si>
    <t>157 W 131st St</t>
  </si>
  <si>
    <t>1204 Shakespeare Ave</t>
  </si>
  <si>
    <t>2014 Morris Ave</t>
  </si>
  <si>
    <t>454 E 179th St</t>
  </si>
  <si>
    <t>1901 Loring Pl S</t>
  </si>
  <si>
    <t>4209 47th Ave</t>
  </si>
  <si>
    <t>940 Simpson St</t>
  </si>
  <si>
    <t>1504 Sheridan Ave</t>
  </si>
  <si>
    <t>184 Mount Eden Pkwy</t>
  </si>
  <si>
    <t>900 Fox St</t>
  </si>
  <si>
    <t>2060 White Plains Rd</t>
  </si>
  <si>
    <t>30 Nicholas Ave</t>
  </si>
  <si>
    <t>2442 Morris Ave</t>
  </si>
  <si>
    <t>1804 Harrison Ave</t>
  </si>
  <si>
    <t>63 Post Ave</t>
  </si>
  <si>
    <t>1086 President St</t>
  </si>
  <si>
    <t>388 Van Duzer St</t>
  </si>
  <si>
    <t>2500 University Ave</t>
  </si>
  <si>
    <t>611 E 76th St</t>
  </si>
  <si>
    <t>1917 Cropsey Ave</t>
  </si>
  <si>
    <t>421 E 116th St</t>
  </si>
  <si>
    <t>3721 80th St</t>
  </si>
  <si>
    <t>421 Union St</t>
  </si>
  <si>
    <t>104 Elliot Pl</t>
  </si>
  <si>
    <t>517 W 212th St</t>
  </si>
  <si>
    <t>22404 67th Ave</t>
  </si>
  <si>
    <t>1115 Jerome ave</t>
  </si>
  <si>
    <t>2158 Atlantic Ave</t>
  </si>
  <si>
    <t>271 Bainbridge Street</t>
  </si>
  <si>
    <t>72 Lincoln Ave</t>
  </si>
  <si>
    <t>984 Greene Ave</t>
  </si>
  <si>
    <t>735 E 182nd St</t>
  </si>
  <si>
    <t>815 W 180th St</t>
  </si>
  <si>
    <t>67 E 175th St</t>
  </si>
  <si>
    <t>54 E 176th St</t>
  </si>
  <si>
    <t>553 58th St</t>
  </si>
  <si>
    <t>625 E 141st St</t>
  </si>
  <si>
    <t>1011 Neilson St</t>
  </si>
  <si>
    <t>909 Kelly St</t>
  </si>
  <si>
    <t>85 Holland Ave</t>
  </si>
  <si>
    <t>165 Sherman Ave</t>
  </si>
  <si>
    <t>133 Crystal St</t>
  </si>
  <si>
    <t>889 Dawson St</t>
  </si>
  <si>
    <t>788 Howard Ave</t>
  </si>
  <si>
    <t>20 Laurel Hill Ter</t>
  </si>
  <si>
    <t>2707 Gifford Ave</t>
  </si>
  <si>
    <t>1890 Walton Ave</t>
  </si>
  <si>
    <t>1360 Plimpton Ave</t>
  </si>
  <si>
    <t>174 Prospect Park W</t>
  </si>
  <si>
    <t>485 12th St</t>
  </si>
  <si>
    <t>420 W 206th St</t>
  </si>
  <si>
    <t>14454 35th Ave</t>
  </si>
  <si>
    <t>1035 Willmohr St</t>
  </si>
  <si>
    <t>983 E 181st St</t>
  </si>
  <si>
    <t>1215 Frisco Ave</t>
  </si>
  <si>
    <t>1334 Louis Nine Blvd</t>
  </si>
  <si>
    <t>5145 Almeda Ave</t>
  </si>
  <si>
    <t>715 W 175th St</t>
  </si>
  <si>
    <t>66 E Tremont Ave</t>
  </si>
  <si>
    <t>139-06 34th Rd</t>
  </si>
  <si>
    <t>720 W 180th St</t>
  </si>
  <si>
    <t>420 E 111th St</t>
  </si>
  <si>
    <t>611 W 176th St</t>
  </si>
  <si>
    <t>3727 86th St</t>
  </si>
  <si>
    <t>301 E 62nd St</t>
  </si>
  <si>
    <t>2112 Fulton St</t>
  </si>
  <si>
    <t>605 Liberty Ave</t>
  </si>
  <si>
    <t>1795 Riverside Dr</t>
  </si>
  <si>
    <t>1370 Saint Nicholas Ave</t>
  </si>
  <si>
    <t>376 Madison Ave</t>
  </si>
  <si>
    <t>294 Sumpter St</t>
  </si>
  <si>
    <t>1425 Univ Ave</t>
  </si>
  <si>
    <t>9150 191st St</t>
  </si>
  <si>
    <t>1347 Mcbride St</t>
  </si>
  <si>
    <t>2170 Univ Ave</t>
  </si>
  <si>
    <t>208 Berriman St</t>
  </si>
  <si>
    <t>317 Lefferts Ave</t>
  </si>
  <si>
    <t>1665 Monroe Ave</t>
  </si>
  <si>
    <t>344 E 176th St</t>
  </si>
  <si>
    <t>1491 Lexington Ave</t>
  </si>
  <si>
    <t>156 Vernon Ave</t>
  </si>
  <si>
    <t>111 Beach St</t>
  </si>
  <si>
    <t>1892 Morris Ave</t>
  </si>
  <si>
    <t>172 Nagle Ave Apt 34</t>
  </si>
  <si>
    <t>1235 Grand Concourse</t>
  </si>
  <si>
    <t>485 Pacific St</t>
  </si>
  <si>
    <t>1466 Townsend Ave</t>
  </si>
  <si>
    <t>12-25 118th Street</t>
  </si>
  <si>
    <t>701 Coney Island Ave</t>
  </si>
  <si>
    <t>13415 232nd St</t>
  </si>
  <si>
    <t>345 Herzl St</t>
  </si>
  <si>
    <t>1474 Bushwick Ave</t>
  </si>
  <si>
    <t>809 W 177th St</t>
  </si>
  <si>
    <t>515 Crescent St</t>
  </si>
  <si>
    <t>565 W 181st St</t>
  </si>
  <si>
    <t>120 Schroeders Ave</t>
  </si>
  <si>
    <t>546 Isham St</t>
  </si>
  <si>
    <t>1295 5th Ave</t>
  </si>
  <si>
    <t>675 Linden Blvd</t>
  </si>
  <si>
    <t>1201 Ogden Ave</t>
  </si>
  <si>
    <t>536 Isham St</t>
  </si>
  <si>
    <t>111 E 100th St</t>
  </si>
  <si>
    <t>25 Cooper St</t>
  </si>
  <si>
    <t>788 Fox St</t>
  </si>
  <si>
    <t>777 New Jersey Ave</t>
  </si>
  <si>
    <t>1380 Univ Ave</t>
  </si>
  <si>
    <t>8 W 169th St</t>
  </si>
  <si>
    <t>2103 Honeywell Ave # 5</t>
  </si>
  <si>
    <t>881 E 162nd St</t>
  </si>
  <si>
    <t>1900 Lexington Ave</t>
  </si>
  <si>
    <t>547 W 135th St</t>
  </si>
  <si>
    <t>1164 Cromwell Ave</t>
  </si>
  <si>
    <t>14074 34th Ave</t>
  </si>
  <si>
    <t>486 Glenmore Ave</t>
  </si>
  <si>
    <t>1725 Saint Marks Ave</t>
  </si>
  <si>
    <t>1114 Morris Ave</t>
  </si>
  <si>
    <t>73 Cooper St</t>
  </si>
  <si>
    <t>494 E 95th St</t>
  </si>
  <si>
    <t>2212 Ditmas Ave</t>
  </si>
  <si>
    <t>836 Hancock St</t>
  </si>
  <si>
    <t>471 Hancock St</t>
  </si>
  <si>
    <t>270 Van Siclen Ave</t>
  </si>
  <si>
    <t>755 Jackson Ave</t>
  </si>
  <si>
    <t>95 Harrison St</t>
  </si>
  <si>
    <t>3035 Wallace Ave</t>
  </si>
  <si>
    <t>425 W 205th St</t>
  </si>
  <si>
    <t>105 Beach 56th Pl</t>
  </si>
  <si>
    <t>246 E 199th St</t>
  </si>
  <si>
    <t>19 W 105th St</t>
  </si>
  <si>
    <t>1060 Anderson Ave</t>
  </si>
  <si>
    <t>497 W 182nd St</t>
  </si>
  <si>
    <t>107 Elliot Pl</t>
  </si>
  <si>
    <t>1125 Findlay Ave</t>
  </si>
  <si>
    <t>675 Lincoln Ave</t>
  </si>
  <si>
    <t>3402 153rd St</t>
  </si>
  <si>
    <t>1490 Hornell Loop</t>
  </si>
  <si>
    <t>601 W 156th St</t>
  </si>
  <si>
    <t>1447 doris st</t>
  </si>
  <si>
    <t>2141 Holland Ave</t>
  </si>
  <si>
    <t>1833 Park Pl</t>
  </si>
  <si>
    <t>9213 76th St</t>
  </si>
  <si>
    <t>316 E 49th St</t>
  </si>
  <si>
    <t>204 Sherman Ave</t>
  </si>
  <si>
    <t>1417 Stanley Ave</t>
  </si>
  <si>
    <t>1415 Mott Ave Apt 4</t>
  </si>
  <si>
    <t>395 Troy Ave</t>
  </si>
  <si>
    <t>899 Westchester Ave</t>
  </si>
  <si>
    <t>5009 Broadway</t>
  </si>
  <si>
    <t>275 E Gun Hill Rd</t>
  </si>
  <si>
    <t>170 S Portland Ave</t>
  </si>
  <si>
    <t>45 Victory Blvd</t>
  </si>
  <si>
    <t>100 Cooper St</t>
  </si>
  <si>
    <t>4746 40th St</t>
  </si>
  <si>
    <t>132 Seaman Ave</t>
  </si>
  <si>
    <t>244 E 7th St</t>
  </si>
  <si>
    <t>1309 5TH AVE</t>
  </si>
  <si>
    <t>75 Somers St</t>
  </si>
  <si>
    <t>11 West 10th Broad Channel</t>
  </si>
  <si>
    <t>2242 Webster Avenue</t>
  </si>
  <si>
    <t>1157 Intervale Ave</t>
  </si>
  <si>
    <t>2448 Rockaway Fwy</t>
  </si>
  <si>
    <t>1213 Neilson St</t>
  </si>
  <si>
    <t>2230 Univ Ave</t>
  </si>
  <si>
    <t>122 E 104th St</t>
  </si>
  <si>
    <t>395 Fort Washington Ave</t>
  </si>
  <si>
    <t>9610 57th Ave</t>
  </si>
  <si>
    <t>867 Saint Marks Ave</t>
  </si>
  <si>
    <t>447 E 116th St</t>
  </si>
  <si>
    <t>711C Seagirt Arve</t>
  </si>
  <si>
    <t>105 3rd Ave</t>
  </si>
  <si>
    <t>1843 Atlantic Ave</t>
  </si>
  <si>
    <t>5301 32nd Ave</t>
  </si>
  <si>
    <t>74 Norwood Ave</t>
  </si>
  <si>
    <t>81 Ludlow St</t>
  </si>
  <si>
    <t>11130 Inwood St</t>
  </si>
  <si>
    <t>3279 Hull Ave</t>
  </si>
  <si>
    <t>12640 149th St</t>
  </si>
  <si>
    <t>1875 Atlantic Ave</t>
  </si>
  <si>
    <t>1750 Grand Concourse</t>
  </si>
  <si>
    <t>165 Nagle Ave</t>
  </si>
  <si>
    <t>979 42nd St</t>
  </si>
  <si>
    <t>1356 Walton Ave</t>
  </si>
  <si>
    <t>642 Eldert Ln</t>
  </si>
  <si>
    <t>208 Nagle Ave</t>
  </si>
  <si>
    <t>348 Dewey Ave</t>
  </si>
  <si>
    <t>455 Fort Washington Ave</t>
  </si>
  <si>
    <t>1152 Elton St</t>
  </si>
  <si>
    <t>2310 93rd St</t>
  </si>
  <si>
    <t>1771 Monroe Ave</t>
  </si>
  <si>
    <t>596 logan St</t>
  </si>
  <si>
    <t>520 Isham St</t>
  </si>
  <si>
    <t>260 Fort Washington Ave</t>
  </si>
  <si>
    <t>1165 Gerard Ave</t>
  </si>
  <si>
    <t>601 W 174th St</t>
  </si>
  <si>
    <t>11880 Metropolitan Ave</t>
  </si>
  <si>
    <t>130 Fort Washington Ave</t>
  </si>
  <si>
    <t>336 Throop Ave</t>
  </si>
  <si>
    <t>975 Walton Ave</t>
  </si>
  <si>
    <t>223 E 89th St</t>
  </si>
  <si>
    <t>1512 Eastern Pkwy</t>
  </si>
  <si>
    <t>800 Victory Blvd</t>
  </si>
  <si>
    <t>662 Brooklyn Ave</t>
  </si>
  <si>
    <t>1711 Randall Ave</t>
  </si>
  <si>
    <t>4002 Gouverneur Ave</t>
  </si>
  <si>
    <t>11275 Sea View Ave</t>
  </si>
  <si>
    <t>376 Montauk Ave</t>
  </si>
  <si>
    <t>2 Starboard Ct</t>
  </si>
  <si>
    <t>9602 57th Ave</t>
  </si>
  <si>
    <t>1620 Caton Ave</t>
  </si>
  <si>
    <t>3961 carpenter ave</t>
  </si>
  <si>
    <t>297 Lenox RD</t>
  </si>
  <si>
    <t>595 Van Duzer St</t>
  </si>
  <si>
    <t>100 Haven Ave</t>
  </si>
  <si>
    <t>1024 Gipson St</t>
  </si>
  <si>
    <t>9825 Horace Harding Expy</t>
  </si>
  <si>
    <t>1890 Pacific St</t>
  </si>
  <si>
    <t>1918 Pacific St</t>
  </si>
  <si>
    <t>35 Marcy Pl</t>
  </si>
  <si>
    <t>409 Macon St</t>
  </si>
  <si>
    <t>6820 Burns St</t>
  </si>
  <si>
    <t>7525 153rd St</t>
  </si>
  <si>
    <t>21879 98th Ave</t>
  </si>
  <si>
    <t>57 Wadsworth Ter</t>
  </si>
  <si>
    <t>1969 Bergen St</t>
  </si>
  <si>
    <t>7261 150th St</t>
  </si>
  <si>
    <t>500 W 213th St</t>
  </si>
  <si>
    <t>35 covert st</t>
  </si>
  <si>
    <t>250 W 146th St</t>
  </si>
  <si>
    <t>815 Gerard Ave</t>
  </si>
  <si>
    <t>2011 Amsterdam Ave</t>
  </si>
  <si>
    <t>2106 Union St</t>
  </si>
  <si>
    <t>2448 rockaway fwy</t>
  </si>
  <si>
    <t>449 W 206th St</t>
  </si>
  <si>
    <t>59 E 3rd St</t>
  </si>
  <si>
    <t>1967 Marmion Ave</t>
  </si>
  <si>
    <t>1234 Hoe Ave</t>
  </si>
  <si>
    <t>532 Bradford St</t>
  </si>
  <si>
    <t>1775 Davidson Ave</t>
  </si>
  <si>
    <t>221 Sherman Ave</t>
  </si>
  <si>
    <t>22 Post Ave</t>
  </si>
  <si>
    <t>727 6th Ave</t>
  </si>
  <si>
    <t>367 Wadsworth Ave</t>
  </si>
  <si>
    <t>4035 67th St</t>
  </si>
  <si>
    <t>505 Rockaway pkwy</t>
  </si>
  <si>
    <t>871 Hegeman Ave</t>
  </si>
  <si>
    <t>1275 Edward L Grant Hwy</t>
  </si>
  <si>
    <t>6946 Almeda Ave</t>
  </si>
  <si>
    <t>410a Beach 25th St</t>
  </si>
  <si>
    <t>2804 44th St</t>
  </si>
  <si>
    <t>8912 183rd St</t>
  </si>
  <si>
    <t>9037 Pitkin Ave</t>
  </si>
  <si>
    <t>6922 Caldwell Ave</t>
  </si>
  <si>
    <t>446 E 98th St</t>
  </si>
  <si>
    <t>510 Riverdale Ave</t>
  </si>
  <si>
    <t>2078 Morris Ave</t>
  </si>
  <si>
    <t>90 N Railroad Ave</t>
  </si>
  <si>
    <t>600 W 183rd St</t>
  </si>
  <si>
    <t>436 Beach 64th St</t>
  </si>
  <si>
    <t>15 Mary St</t>
  </si>
  <si>
    <t>870 Southern Blvd</t>
  </si>
  <si>
    <t>1360 Herkimer St</t>
  </si>
  <si>
    <t>2028 Bergen St</t>
  </si>
  <si>
    <t>412 Thomas S Boyland st</t>
  </si>
  <si>
    <t>5926 48th Ave</t>
  </si>
  <si>
    <t>506 Mosel Ave</t>
  </si>
  <si>
    <t>15 B Dwight Street</t>
  </si>
  <si>
    <t>151 Rockaway Ave</t>
  </si>
  <si>
    <t>1359 Chandler St</t>
  </si>
  <si>
    <t>1669 Grand Ave</t>
  </si>
  <si>
    <t>1023 Hegeman Ave</t>
  </si>
  <si>
    <t>1465 Geneva Loop</t>
  </si>
  <si>
    <t>1546 E 24th St</t>
  </si>
  <si>
    <t>350 Snediker Ave</t>
  </si>
  <si>
    <t>2543 Decatur Ave</t>
  </si>
  <si>
    <t>195 Steuben St</t>
  </si>
  <si>
    <t>58 E 117th St</t>
  </si>
  <si>
    <t>506 W 178th St</t>
  </si>
  <si>
    <t>Suber</t>
  </si>
  <si>
    <t>Quildon</t>
  </si>
  <si>
    <t>Spratley</t>
  </si>
  <si>
    <t>Marchena</t>
  </si>
  <si>
    <t>Makha</t>
  </si>
  <si>
    <t>Rojas</t>
  </si>
  <si>
    <t>Lovett</t>
  </si>
  <si>
    <t>Hamer</t>
  </si>
  <si>
    <t>Alvi</t>
  </si>
  <si>
    <t>Rijo</t>
  </si>
  <si>
    <t>Gore</t>
  </si>
  <si>
    <t>Mustafic</t>
  </si>
  <si>
    <t>Reeves</t>
  </si>
  <si>
    <t>Eshkenazi</t>
  </si>
  <si>
    <t>Karim</t>
  </si>
  <si>
    <t>Jang</t>
  </si>
  <si>
    <t>Aslamzada</t>
  </si>
  <si>
    <t>Mukhamadieva</t>
  </si>
  <si>
    <t>Licona</t>
  </si>
  <si>
    <t>Mcgeachy</t>
  </si>
  <si>
    <t>Lopez-Pinajote</t>
  </si>
  <si>
    <t>Kippins</t>
  </si>
  <si>
    <t>Defreitas</t>
  </si>
  <si>
    <t>Littles</t>
  </si>
  <si>
    <t>Hewitt</t>
  </si>
  <si>
    <t>Agramonte</t>
  </si>
  <si>
    <t>Baououi</t>
  </si>
  <si>
    <t>Bockman</t>
  </si>
  <si>
    <t>Elmore</t>
  </si>
  <si>
    <t>Martinez Guzman</t>
  </si>
  <si>
    <t>Escalante</t>
  </si>
  <si>
    <t>Mestizo</t>
  </si>
  <si>
    <t>Shivers</t>
  </si>
  <si>
    <t>McMillan</t>
  </si>
  <si>
    <t>Islam</t>
  </si>
  <si>
    <t>Bernardez</t>
  </si>
  <si>
    <t>Figueroa-Irizarry</t>
  </si>
  <si>
    <t>Torres Merced</t>
  </si>
  <si>
    <t>Tolento</t>
  </si>
  <si>
    <t>Vitola</t>
  </si>
  <si>
    <t>Burrell</t>
  </si>
  <si>
    <t>Balayo</t>
  </si>
  <si>
    <t>Polk</t>
  </si>
  <si>
    <t>Cornielle</t>
  </si>
  <si>
    <t>DUBON</t>
  </si>
  <si>
    <t>Montolio</t>
  </si>
  <si>
    <t>Ardila</t>
  </si>
  <si>
    <t>Blumenberg</t>
  </si>
  <si>
    <t>Parrish</t>
  </si>
  <si>
    <t>Sellassie</t>
  </si>
  <si>
    <t>Isler</t>
  </si>
  <si>
    <t>Miller Moore</t>
  </si>
  <si>
    <t>Agosto</t>
  </si>
  <si>
    <t>Lindo</t>
  </si>
  <si>
    <t>McCarter-Yates</t>
  </si>
  <si>
    <t>Little</t>
  </si>
  <si>
    <t>Alladoumngue</t>
  </si>
  <si>
    <t>Royal</t>
  </si>
  <si>
    <t>Reed</t>
  </si>
  <si>
    <t>Crisantos</t>
  </si>
  <si>
    <t>Jeffries</t>
  </si>
  <si>
    <t>Uddin</t>
  </si>
  <si>
    <t>Gray</t>
  </si>
  <si>
    <t>Azerbarzin</t>
  </si>
  <si>
    <t>Erazo</t>
  </si>
  <si>
    <t>Genao-Antonio</t>
  </si>
  <si>
    <t>Almond</t>
  </si>
  <si>
    <t>Jallow</t>
  </si>
  <si>
    <t>O'Sullivan</t>
  </si>
  <si>
    <t>Maffetone</t>
  </si>
  <si>
    <t>Dye</t>
  </si>
  <si>
    <t>Minot</t>
  </si>
  <si>
    <t>Remsey</t>
  </si>
  <si>
    <t>Emam</t>
  </si>
  <si>
    <t>Sey</t>
  </si>
  <si>
    <t>Fulford</t>
  </si>
  <si>
    <t>Beckles</t>
  </si>
  <si>
    <t>Ayala</t>
  </si>
  <si>
    <t>Esteras</t>
  </si>
  <si>
    <t>Bradshaw</t>
  </si>
  <si>
    <t>Engesser</t>
  </si>
  <si>
    <t>Findley</t>
  </si>
  <si>
    <t>Dollisme</t>
  </si>
  <si>
    <t>Sinclair</t>
  </si>
  <si>
    <t>Nogotaly</t>
  </si>
  <si>
    <t>Abbas</t>
  </si>
  <si>
    <t>De La Rosa</t>
  </si>
  <si>
    <t>Adodo-Addeh</t>
  </si>
  <si>
    <t>Rodriguez-Fouzi</t>
  </si>
  <si>
    <t>Okai</t>
  </si>
  <si>
    <t>Pandydiego</t>
  </si>
  <si>
    <t>Cruceta</t>
  </si>
  <si>
    <t>Benyahmeen</t>
  </si>
  <si>
    <t>Dail</t>
  </si>
  <si>
    <t>Villavicencio</t>
  </si>
  <si>
    <t>Steer</t>
  </si>
  <si>
    <t>Akhi</t>
  </si>
  <si>
    <t>Owusuah</t>
  </si>
  <si>
    <t>Bahadoorsingh</t>
  </si>
  <si>
    <t>Sinishtaj</t>
  </si>
  <si>
    <t>Hughes</t>
  </si>
  <si>
    <t>Czeh</t>
  </si>
  <si>
    <t>Diaz Quiles</t>
  </si>
  <si>
    <t>Coleman</t>
  </si>
  <si>
    <t>Pelaez</t>
  </si>
  <si>
    <t>Diego</t>
  </si>
  <si>
    <t>Villamizar</t>
  </si>
  <si>
    <t>Ricks</t>
  </si>
  <si>
    <t>Raposo</t>
  </si>
  <si>
    <t>Philp</t>
  </si>
  <si>
    <t>Figaro</t>
  </si>
  <si>
    <t>Rasheed</t>
  </si>
  <si>
    <t>Dinorcia</t>
  </si>
  <si>
    <t>Bardai</t>
  </si>
  <si>
    <t>Delacruz</t>
  </si>
  <si>
    <t>Dubreuil</t>
  </si>
  <si>
    <t>Benton</t>
  </si>
  <si>
    <t>Holder</t>
  </si>
  <si>
    <t>Nebellet</t>
  </si>
  <si>
    <t>Gilliam</t>
  </si>
  <si>
    <t>Pressley</t>
  </si>
  <si>
    <t>Moultry</t>
  </si>
  <si>
    <t>Abraham</t>
  </si>
  <si>
    <t>Sunday</t>
  </si>
  <si>
    <t>Hiraldo</t>
  </si>
  <si>
    <t>Blue</t>
  </si>
  <si>
    <t>Crucey</t>
  </si>
  <si>
    <t>Miles</t>
  </si>
  <si>
    <t>Sayed</t>
  </si>
  <si>
    <t>McGee</t>
  </si>
  <si>
    <t>Boutrin-Jones</t>
  </si>
  <si>
    <t>Burns</t>
  </si>
  <si>
    <t>Mccolley</t>
  </si>
  <si>
    <t>McColley</t>
  </si>
  <si>
    <t>Hauser</t>
  </si>
  <si>
    <t>Kenchen</t>
  </si>
  <si>
    <t>Bajwa</t>
  </si>
  <si>
    <t>Moreta</t>
  </si>
  <si>
    <t>Reynoso Garcia</t>
  </si>
  <si>
    <t>Arevalo Martinez</t>
  </si>
  <si>
    <t>Hernandez Reyes</t>
  </si>
  <si>
    <t>Tambriz Guarchaj</t>
  </si>
  <si>
    <t>Westwood</t>
  </si>
  <si>
    <t>Tudor</t>
  </si>
  <si>
    <t>Escobar</t>
  </si>
  <si>
    <t>Dove</t>
  </si>
  <si>
    <t>Crosse</t>
  </si>
  <si>
    <t>Brewer</t>
  </si>
  <si>
    <t>Fofana</t>
  </si>
  <si>
    <t>Suazo</t>
  </si>
  <si>
    <t>Depirro</t>
  </si>
  <si>
    <t>Leitch</t>
  </si>
  <si>
    <t>Munoz</t>
  </si>
  <si>
    <t>Fenton</t>
  </si>
  <si>
    <t>Rochez</t>
  </si>
  <si>
    <t>Olmo</t>
  </si>
  <si>
    <t>Cocks</t>
  </si>
  <si>
    <t>Cazley</t>
  </si>
  <si>
    <t>Whint</t>
  </si>
  <si>
    <t>Stone</t>
  </si>
  <si>
    <t>Manning</t>
  </si>
  <si>
    <t>Reyes Fernandez</t>
  </si>
  <si>
    <t>Ojebe</t>
  </si>
  <si>
    <t>Castaneda</t>
  </si>
  <si>
    <t>Hilario</t>
  </si>
  <si>
    <t>Montealegre</t>
  </si>
  <si>
    <t>Aguilar</t>
  </si>
  <si>
    <t>Faulk</t>
  </si>
  <si>
    <t>Magny</t>
  </si>
  <si>
    <t>Bohannon</t>
  </si>
  <si>
    <t>Yang</t>
  </si>
  <si>
    <t>Apararicio</t>
  </si>
  <si>
    <t>Sykes</t>
  </si>
  <si>
    <t>Faye</t>
  </si>
  <si>
    <t>Keve Lier</t>
  </si>
  <si>
    <t>Wells</t>
  </si>
  <si>
    <t>Akinyele</t>
  </si>
  <si>
    <t>Adames</t>
  </si>
  <si>
    <t>Blot</t>
  </si>
  <si>
    <t>Arellano</t>
  </si>
  <si>
    <t>Fadeyi</t>
  </si>
  <si>
    <t>Locklear</t>
  </si>
  <si>
    <t>Avalo</t>
  </si>
  <si>
    <t>Nimmons</t>
  </si>
  <si>
    <t>Adeleye</t>
  </si>
  <si>
    <t>Watt</t>
  </si>
  <si>
    <t>Compton</t>
  </si>
  <si>
    <t>Abiodun</t>
  </si>
  <si>
    <t>Galvan</t>
  </si>
  <si>
    <t>Villalona</t>
  </si>
  <si>
    <t>Frith</t>
  </si>
  <si>
    <t>Yaport-Garcia</t>
  </si>
  <si>
    <t>Jean-Simon</t>
  </si>
  <si>
    <t>Seecharan</t>
  </si>
  <si>
    <t>Rosemond</t>
  </si>
  <si>
    <t>Kinsey-Clark</t>
  </si>
  <si>
    <t>Barry</t>
  </si>
  <si>
    <t>Recinos</t>
  </si>
  <si>
    <t>Lawal</t>
  </si>
  <si>
    <t>Mejia De Espejo</t>
  </si>
  <si>
    <t>Fashionne</t>
  </si>
  <si>
    <t>Kollie</t>
  </si>
  <si>
    <t>#3L</t>
  </si>
  <si>
    <t>3T</t>
  </si>
  <si>
    <t>C6D</t>
  </si>
  <si>
    <t>#17A</t>
  </si>
  <si>
    <t>5I</t>
  </si>
  <si>
    <t>5L</t>
  </si>
  <si>
    <t>C8</t>
  </si>
  <si>
    <t>#1F</t>
  </si>
  <si>
    <t>Apt 6A</t>
  </si>
  <si>
    <t>13A</t>
  </si>
  <si>
    <t>16 D</t>
  </si>
  <si>
    <t>4R</t>
  </si>
  <si>
    <t>2J</t>
  </si>
  <si>
    <t>8L</t>
  </si>
  <si>
    <t>G21</t>
  </si>
  <si>
    <t>6-G</t>
  </si>
  <si>
    <t>1RR</t>
  </si>
  <si>
    <t>20 H</t>
  </si>
  <si>
    <t>19 D</t>
  </si>
  <si>
    <t>4-M</t>
  </si>
  <si>
    <t>51-B</t>
  </si>
  <si>
    <t>7A</t>
  </si>
  <si>
    <t>10E</t>
  </si>
  <si>
    <t>2L</t>
  </si>
  <si>
    <t>9D</t>
  </si>
  <si>
    <t>20D</t>
  </si>
  <si>
    <t>11F</t>
  </si>
  <si>
    <t>1st floor apt 3</t>
  </si>
  <si>
    <t>12G</t>
  </si>
  <si>
    <t>A1</t>
  </si>
  <si>
    <t>1st FL</t>
  </si>
  <si>
    <t>22B</t>
  </si>
  <si>
    <t>D7</t>
  </si>
  <si>
    <t>2G</t>
  </si>
  <si>
    <t>C2</t>
  </si>
  <si>
    <t>14 K</t>
  </si>
  <si>
    <t>2-F</t>
  </si>
  <si>
    <t>23E</t>
  </si>
  <si>
    <t>6I</t>
  </si>
  <si>
    <t>53B</t>
  </si>
  <si>
    <t>B4</t>
  </si>
  <si>
    <t>4-2k</t>
  </si>
  <si>
    <t>10K</t>
  </si>
  <si>
    <t>A53</t>
  </si>
  <si>
    <t>3 R</t>
  </si>
  <si>
    <t>16N</t>
  </si>
  <si>
    <t>17B</t>
  </si>
  <si>
    <t>21C</t>
  </si>
  <si>
    <t>1 LR</t>
  </si>
  <si>
    <t>Apt 5A</t>
  </si>
  <si>
    <t>D6</t>
  </si>
  <si>
    <t>15D</t>
  </si>
  <si>
    <t>2-K</t>
  </si>
  <si>
    <t>#1C</t>
  </si>
  <si>
    <t>66B</t>
  </si>
  <si>
    <t>12F</t>
  </si>
  <si>
    <t>9M</t>
  </si>
  <si>
    <t>11M</t>
  </si>
  <si>
    <t>13D</t>
  </si>
  <si>
    <t>3r</t>
  </si>
  <si>
    <t>24D</t>
  </si>
  <si>
    <t>4I</t>
  </si>
  <si>
    <t>Apt 6BN</t>
  </si>
  <si>
    <t>11G</t>
  </si>
  <si>
    <t>2Q</t>
  </si>
  <si>
    <t>29A</t>
  </si>
  <si>
    <t>6-B</t>
  </si>
  <si>
    <t>1-L</t>
  </si>
  <si>
    <t>4J</t>
  </si>
  <si>
    <t>B-6</t>
  </si>
  <si>
    <t>B24</t>
  </si>
  <si>
    <t>21 G</t>
  </si>
  <si>
    <t>13 E</t>
  </si>
  <si>
    <t>6-D</t>
  </si>
  <si>
    <t>7H</t>
  </si>
  <si>
    <t>1A South</t>
  </si>
  <si>
    <t>2-G</t>
  </si>
  <si>
    <t>19R</t>
  </si>
  <si>
    <t>11C</t>
  </si>
  <si>
    <t>19G</t>
  </si>
  <si>
    <t>apt. 41</t>
  </si>
  <si>
    <t>2N</t>
  </si>
  <si>
    <t>8R</t>
  </si>
  <si>
    <t>9L</t>
  </si>
  <si>
    <t>11P</t>
  </si>
  <si>
    <t>9H</t>
  </si>
  <si>
    <t>5n</t>
  </si>
  <si>
    <t>14E</t>
  </si>
  <si>
    <t>12H</t>
  </si>
  <si>
    <t>B-6L</t>
  </si>
  <si>
    <t>3M</t>
  </si>
  <si>
    <t>18M</t>
  </si>
  <si>
    <t>LS</t>
  </si>
  <si>
    <t>LE</t>
  </si>
  <si>
    <t>26C</t>
  </si>
  <si>
    <t>8E</t>
  </si>
  <si>
    <t>4L</t>
  </si>
  <si>
    <t>A-10</t>
  </si>
  <si>
    <t>10F</t>
  </si>
  <si>
    <t>16K</t>
  </si>
  <si>
    <t>Apt 1</t>
  </si>
  <si>
    <t>D4</t>
  </si>
  <si>
    <t>20B</t>
  </si>
  <si>
    <t>7E</t>
  </si>
  <si>
    <t>1-N</t>
  </si>
  <si>
    <t>11N</t>
  </si>
  <si>
    <t>Apt 3B</t>
  </si>
  <si>
    <t>F21</t>
  </si>
  <si>
    <t>20A</t>
  </si>
  <si>
    <t>Apt 2K</t>
  </si>
  <si>
    <t>2K</t>
  </si>
  <si>
    <t>19N</t>
  </si>
  <si>
    <t>4e</t>
  </si>
  <si>
    <t>Apt 316</t>
  </si>
  <si>
    <t>14N</t>
  </si>
  <si>
    <t>PHB</t>
  </si>
  <si>
    <t>6F</t>
  </si>
  <si>
    <t>12 F</t>
  </si>
  <si>
    <t>Apt 2L</t>
  </si>
  <si>
    <t>7M</t>
  </si>
  <si>
    <t>Apt.1</t>
  </si>
  <si>
    <t>4i</t>
  </si>
  <si>
    <t>5f</t>
  </si>
  <si>
    <t>24P</t>
  </si>
  <si>
    <t>5K</t>
  </si>
  <si>
    <t>17R</t>
  </si>
  <si>
    <t>E-12</t>
  </si>
  <si>
    <t>Apt. 611</t>
  </si>
  <si>
    <t>54 B</t>
  </si>
  <si>
    <t>C5</t>
  </si>
  <si>
    <t>19L</t>
  </si>
  <si>
    <t>17E</t>
  </si>
  <si>
    <t>Apt 5</t>
  </si>
  <si>
    <t>5P</t>
  </si>
  <si>
    <t>16F</t>
  </si>
  <si>
    <t>A43</t>
  </si>
  <si>
    <t>21J</t>
  </si>
  <si>
    <t>1-H</t>
  </si>
  <si>
    <t>R5</t>
  </si>
  <si>
    <t>7D</t>
  </si>
  <si>
    <t>18 H</t>
  </si>
  <si>
    <t>24E</t>
  </si>
  <si>
    <t>basement</t>
  </si>
  <si>
    <t>11A</t>
  </si>
  <si>
    <t>12L</t>
  </si>
  <si>
    <t>10D</t>
  </si>
  <si>
    <t>1J</t>
  </si>
  <si>
    <t>First Floor</t>
  </si>
  <si>
    <t>21K</t>
  </si>
  <si>
    <t>11S</t>
  </si>
  <si>
    <t>18G</t>
  </si>
  <si>
    <t>AA</t>
  </si>
  <si>
    <t>18C</t>
  </si>
  <si>
    <t>14L</t>
  </si>
  <si>
    <t>12C</t>
  </si>
  <si>
    <t>19A</t>
  </si>
  <si>
    <t>14D</t>
  </si>
  <si>
    <t>5-G</t>
  </si>
  <si>
    <t>21F</t>
  </si>
  <si>
    <t>4DS</t>
  </si>
  <si>
    <t>26B</t>
  </si>
  <si>
    <t>7J</t>
  </si>
  <si>
    <t>apt1</t>
  </si>
  <si>
    <t>1-A</t>
  </si>
  <si>
    <t>3a</t>
  </si>
  <si>
    <t>6a</t>
  </si>
  <si>
    <t>6J</t>
  </si>
  <si>
    <t>4H</t>
  </si>
  <si>
    <t>53A</t>
  </si>
  <si>
    <t>2-B</t>
  </si>
  <si>
    <t>A46</t>
  </si>
  <si>
    <t>2S</t>
  </si>
  <si>
    <t>21M</t>
  </si>
  <si>
    <t>18N</t>
  </si>
  <si>
    <t>11K</t>
  </si>
  <si>
    <t>11L</t>
  </si>
  <si>
    <t>12A</t>
  </si>
  <si>
    <t>Apt. 6L</t>
  </si>
  <si>
    <t>20-0</t>
  </si>
  <si>
    <t>A-4</t>
  </si>
  <si>
    <t>2I</t>
  </si>
  <si>
    <t>74B</t>
  </si>
  <si>
    <t>23G</t>
  </si>
  <si>
    <t>12P</t>
  </si>
  <si>
    <t>18J</t>
  </si>
  <si>
    <t>5/3L</t>
  </si>
  <si>
    <t>6M</t>
  </si>
  <si>
    <t>D24</t>
  </si>
  <si>
    <t>F6</t>
  </si>
  <si>
    <t>C4</t>
  </si>
  <si>
    <t>26G</t>
  </si>
  <si>
    <t>PHD</t>
  </si>
  <si>
    <t>3I</t>
  </si>
  <si>
    <t>D3</t>
  </si>
  <si>
    <t>9G</t>
  </si>
  <si>
    <t>4AA</t>
  </si>
  <si>
    <t>2M</t>
  </si>
  <si>
    <t>E30</t>
  </si>
  <si>
    <t>17C</t>
  </si>
  <si>
    <t>4-H</t>
  </si>
  <si>
    <t>2nd Floor - Rear</t>
  </si>
  <si>
    <t>A2</t>
  </si>
  <si>
    <t>Basement 2</t>
  </si>
  <si>
    <t>7-K</t>
  </si>
  <si>
    <t>2P</t>
  </si>
  <si>
    <t>1st floor</t>
  </si>
  <si>
    <t>3B12</t>
  </si>
  <si>
    <t>5DD</t>
  </si>
  <si>
    <t>16D</t>
  </si>
  <si>
    <t>Apt. 1E</t>
  </si>
  <si>
    <t>2nd Fl</t>
  </si>
  <si>
    <t>B2</t>
  </si>
  <si>
    <t>GB</t>
  </si>
  <si>
    <t>Bsmnt</t>
  </si>
  <si>
    <t>6n</t>
  </si>
  <si>
    <t>10B</t>
  </si>
  <si>
    <t>1h</t>
  </si>
  <si>
    <t>21B</t>
  </si>
  <si>
    <t>3-0</t>
  </si>
  <si>
    <t>18H</t>
  </si>
  <si>
    <t>7K</t>
  </si>
  <si>
    <t>19E</t>
  </si>
  <si>
    <t>2-M</t>
  </si>
  <si>
    <t>G2</t>
  </si>
  <si>
    <t>3-A</t>
  </si>
  <si>
    <t>60C</t>
  </si>
  <si>
    <t>42C</t>
  </si>
  <si>
    <t>1-WN</t>
  </si>
  <si>
    <t>GG</t>
  </si>
  <si>
    <t>1-B</t>
  </si>
  <si>
    <t>B7</t>
  </si>
  <si>
    <t>Apt. 1B</t>
  </si>
  <si>
    <t>B6</t>
  </si>
  <si>
    <t>3b</t>
  </si>
  <si>
    <t>B1</t>
  </si>
  <si>
    <t>2-C</t>
  </si>
  <si>
    <t>3-E</t>
  </si>
  <si>
    <t>12 E</t>
  </si>
  <si>
    <t>CC</t>
  </si>
  <si>
    <t>2a</t>
  </si>
  <si>
    <t>4-F</t>
  </si>
  <si>
    <t>12B</t>
  </si>
  <si>
    <t>24A</t>
  </si>
  <si>
    <t>10N</t>
  </si>
  <si>
    <t>38B</t>
  </si>
  <si>
    <t>6Z</t>
  </si>
  <si>
    <t>6V</t>
  </si>
  <si>
    <t>D32</t>
  </si>
  <si>
    <t>52 N</t>
  </si>
  <si>
    <t># 2B</t>
  </si>
  <si>
    <t>4P</t>
  </si>
  <si>
    <t>3rd FL</t>
  </si>
  <si>
    <t>B-36</t>
  </si>
  <si>
    <t>3rd</t>
  </si>
  <si>
    <t>B21</t>
  </si>
  <si>
    <t>Apt. 4G</t>
  </si>
  <si>
    <t>BSMT</t>
  </si>
  <si>
    <t>Apt. 1</t>
  </si>
  <si>
    <t>36K</t>
  </si>
  <si>
    <t>4th Fl</t>
  </si>
  <si>
    <t>17 A</t>
  </si>
  <si>
    <t>6-O</t>
  </si>
  <si>
    <t>28A</t>
  </si>
  <si>
    <t>A5C</t>
  </si>
  <si>
    <t>2Y</t>
  </si>
  <si>
    <t>Apt 2C</t>
  </si>
  <si>
    <t>25 A</t>
  </si>
  <si>
    <t>North 10</t>
  </si>
  <si>
    <t>1st Flr.</t>
  </si>
  <si>
    <t>6N</t>
  </si>
  <si>
    <t>Bsmt</t>
  </si>
  <si>
    <t>B18</t>
  </si>
  <si>
    <t>B-55</t>
  </si>
  <si>
    <t>9C1</t>
  </si>
  <si>
    <t>A28</t>
  </si>
  <si>
    <t>1-C</t>
  </si>
  <si>
    <t>10-O</t>
  </si>
  <si>
    <t>37c</t>
  </si>
  <si>
    <t>3-U</t>
  </si>
  <si>
    <t>30F</t>
  </si>
  <si>
    <t>10A</t>
  </si>
  <si>
    <t>6h</t>
  </si>
  <si>
    <t>Apt A</t>
  </si>
  <si>
    <t>S51</t>
  </si>
  <si>
    <t>6-J</t>
  </si>
  <si>
    <t>16L</t>
  </si>
  <si>
    <t>27D</t>
  </si>
  <si>
    <t>11E</t>
  </si>
  <si>
    <t>2 Rear</t>
  </si>
  <si>
    <t>1b</t>
  </si>
  <si>
    <t>Garden Floor</t>
  </si>
  <si>
    <t>18 B</t>
  </si>
  <si>
    <t>15S</t>
  </si>
  <si>
    <t>47A</t>
  </si>
  <si>
    <t>C15</t>
  </si>
  <si>
    <t>Apt 209</t>
  </si>
  <si>
    <t>Apt.6G</t>
  </si>
  <si>
    <t>21A</t>
  </si>
  <si>
    <t>Apt 3K</t>
  </si>
  <si>
    <t>22G</t>
  </si>
  <si>
    <t>1y</t>
  </si>
  <si>
    <t>4b</t>
  </si>
  <si>
    <t>4g</t>
  </si>
  <si>
    <t>23A</t>
  </si>
  <si>
    <t>1i</t>
  </si>
  <si>
    <t>2 A</t>
  </si>
  <si>
    <t>15H</t>
  </si>
  <si>
    <t>A81</t>
  </si>
  <si>
    <t>4h</t>
  </si>
  <si>
    <t>10S</t>
  </si>
  <si>
    <t>6i</t>
  </si>
  <si>
    <t>7V</t>
  </si>
  <si>
    <t>3-C</t>
  </si>
  <si>
    <t>R510</t>
  </si>
  <si>
    <t>21 E</t>
  </si>
  <si>
    <t>1-E</t>
  </si>
  <si>
    <t>52A</t>
  </si>
  <si>
    <t>31A</t>
  </si>
  <si>
    <t>N54</t>
  </si>
  <si>
    <t>C3E</t>
  </si>
  <si>
    <t>A3</t>
  </si>
  <si>
    <t>23B</t>
  </si>
  <si>
    <t>ST1</t>
  </si>
  <si>
    <t>16M</t>
  </si>
  <si>
    <t>17GA</t>
  </si>
  <si>
    <t>2d</t>
  </si>
  <si>
    <t>1-D</t>
  </si>
  <si>
    <t>B5</t>
  </si>
  <si>
    <t>Apt A-15</t>
  </si>
  <si>
    <t>19B</t>
  </si>
  <si>
    <t>Apt.2L</t>
  </si>
  <si>
    <t>4S</t>
  </si>
  <si>
    <t>63A</t>
  </si>
  <si>
    <t>3A - 1st floor</t>
  </si>
  <si>
    <t>d4</t>
  </si>
  <si>
    <t>18 C</t>
  </si>
  <si>
    <t>E9</t>
  </si>
  <si>
    <t>Apt 3C</t>
  </si>
  <si>
    <t>B66</t>
  </si>
  <si>
    <t>16B</t>
  </si>
  <si>
    <t>7R</t>
  </si>
  <si>
    <t>D312</t>
  </si>
  <si>
    <t>2 C</t>
  </si>
  <si>
    <t>LG3</t>
  </si>
  <si>
    <t>3-R</t>
  </si>
  <si>
    <t>37A</t>
  </si>
  <si>
    <t>BB</t>
  </si>
  <si>
    <t>12E</t>
  </si>
  <si>
    <t>A49</t>
  </si>
  <si>
    <t>B82</t>
  </si>
  <si>
    <t>5S</t>
  </si>
  <si>
    <t>2nd Floor, #2</t>
  </si>
  <si>
    <t>1405W</t>
  </si>
  <si>
    <t>17N</t>
  </si>
  <si>
    <t>17 H</t>
  </si>
  <si>
    <t>28G</t>
  </si>
  <si>
    <t>1Q</t>
  </si>
  <si>
    <t>I2</t>
  </si>
  <si>
    <t>4 B</t>
  </si>
  <si>
    <t>D1B</t>
  </si>
  <si>
    <t>Apt 7H</t>
  </si>
  <si>
    <t>C2C</t>
  </si>
  <si>
    <t>2-H</t>
  </si>
  <si>
    <t>17 GI</t>
  </si>
  <si>
    <t>Apt. 6F</t>
  </si>
  <si>
    <t>#4-R</t>
  </si>
  <si>
    <t>28E</t>
  </si>
  <si>
    <t>16E</t>
  </si>
  <si>
    <t>C</t>
  </si>
  <si>
    <t>3O</t>
  </si>
  <si>
    <t>Apt. B</t>
  </si>
  <si>
    <t>9K</t>
  </si>
  <si>
    <t>Apt 5G</t>
  </si>
  <si>
    <t>305A</t>
  </si>
  <si>
    <t>Room 3</t>
  </si>
  <si>
    <t>9DN</t>
  </si>
  <si>
    <t>Front apartment</t>
  </si>
  <si>
    <t>1-F</t>
  </si>
  <si>
    <t>E</t>
  </si>
  <si>
    <t>A41</t>
  </si>
  <si>
    <t>4k</t>
  </si>
  <si>
    <t>B31</t>
  </si>
  <si>
    <t>5Q</t>
  </si>
  <si>
    <t>Apt 409</t>
  </si>
  <si>
    <t>Room #10</t>
  </si>
  <si>
    <t>1AA</t>
  </si>
  <si>
    <t>11R</t>
  </si>
  <si>
    <t>45A</t>
  </si>
  <si>
    <t>7F</t>
  </si>
  <si>
    <t>D6A</t>
  </si>
  <si>
    <t>11-B</t>
  </si>
  <si>
    <t>37 A</t>
  </si>
  <si>
    <t>B306</t>
  </si>
  <si>
    <t>20C</t>
  </si>
  <si>
    <t>2-A</t>
  </si>
  <si>
    <t>22P</t>
  </si>
  <si>
    <t>15M</t>
  </si>
  <si>
    <t>52B</t>
  </si>
  <si>
    <t>5-0</t>
  </si>
  <si>
    <t>WCD</t>
  </si>
  <si>
    <t>12 A</t>
  </si>
  <si>
    <t>1f</t>
  </si>
  <si>
    <t>39B</t>
  </si>
  <si>
    <t>A5</t>
  </si>
  <si>
    <t>29F</t>
  </si>
  <si>
    <t>1FL</t>
  </si>
  <si>
    <t>Apt. 3C</t>
  </si>
  <si>
    <t>59A</t>
  </si>
  <si>
    <t>12 C</t>
  </si>
  <si>
    <t>33K</t>
  </si>
  <si>
    <t>7 I</t>
  </si>
  <si>
    <t>A4</t>
  </si>
  <si>
    <t>3-D</t>
  </si>
  <si>
    <t>E2</t>
  </si>
  <si>
    <t>Apt 5K</t>
  </si>
  <si>
    <t>1I</t>
  </si>
  <si>
    <t>65A</t>
  </si>
  <si>
    <t>18L</t>
  </si>
  <si>
    <t>5-H</t>
  </si>
  <si>
    <t>W3N</t>
  </si>
  <si>
    <t>Apt. 5F</t>
  </si>
  <si>
    <t>E5</t>
  </si>
  <si>
    <t>Second Floor, room 1</t>
  </si>
  <si>
    <t>F</t>
  </si>
  <si>
    <t>A-32</t>
  </si>
  <si>
    <t>15 T</t>
  </si>
  <si>
    <t>6k</t>
  </si>
  <si>
    <t>#2FL</t>
  </si>
  <si>
    <t>41A</t>
  </si>
  <si>
    <t>9C</t>
  </si>
  <si>
    <t>5BN</t>
  </si>
  <si>
    <t>A31</t>
  </si>
  <si>
    <t>4RE</t>
  </si>
  <si>
    <t>24B</t>
  </si>
  <si>
    <t>23 A</t>
  </si>
  <si>
    <t>19F</t>
  </si>
  <si>
    <t>4-C</t>
  </si>
  <si>
    <t>3d</t>
  </si>
  <si>
    <t>C-3</t>
  </si>
  <si>
    <t>A21</t>
  </si>
  <si>
    <t>9Y</t>
  </si>
  <si>
    <t>33B</t>
  </si>
  <si>
    <t>A-23</t>
  </si>
  <si>
    <t>2416W</t>
  </si>
  <si>
    <t>2nd Flr</t>
  </si>
  <si>
    <t>27F</t>
  </si>
  <si>
    <t>7L</t>
  </si>
  <si>
    <t>1 Floor</t>
  </si>
  <si>
    <t>1 Rm 2</t>
  </si>
  <si>
    <t>#20</t>
  </si>
  <si>
    <t>15V</t>
  </si>
  <si>
    <t>1J (back bedroom)</t>
  </si>
  <si>
    <t>Apt 3A</t>
  </si>
  <si>
    <t>2nd Fl.</t>
  </si>
  <si>
    <t>2nd Fl Rm C</t>
  </si>
  <si>
    <t>6R</t>
  </si>
  <si>
    <t>3-L</t>
  </si>
  <si>
    <t>3rd floor</t>
  </si>
  <si>
    <t>1g</t>
  </si>
  <si>
    <t>PH</t>
  </si>
  <si>
    <t>Apt 1D</t>
  </si>
  <si>
    <t>495A</t>
  </si>
  <si>
    <t>22L</t>
  </si>
  <si>
    <t>43B</t>
  </si>
  <si>
    <t>Apt 8C</t>
  </si>
  <si>
    <t>k</t>
  </si>
  <si>
    <t>4f</t>
  </si>
  <si>
    <t>A6</t>
  </si>
  <si>
    <t>B3</t>
  </si>
  <si>
    <t>25E</t>
  </si>
  <si>
    <t>Room 2</t>
  </si>
  <si>
    <t>1X</t>
  </si>
  <si>
    <t>A-58</t>
  </si>
  <si>
    <t>3W</t>
  </si>
  <si>
    <t>Apt. 511</t>
  </si>
  <si>
    <t>22A</t>
  </si>
  <si>
    <t>Apt 2 Room 3</t>
  </si>
  <si>
    <t>17 F</t>
  </si>
  <si>
    <t>18B</t>
  </si>
  <si>
    <t>2RE</t>
  </si>
  <si>
    <t>2-S</t>
  </si>
  <si>
    <t>11D</t>
  </si>
  <si>
    <t>35 B</t>
  </si>
  <si>
    <t>1 E</t>
  </si>
  <si>
    <t>1N</t>
  </si>
  <si>
    <t>4 M</t>
  </si>
  <si>
    <t>5b</t>
  </si>
  <si>
    <t>1l</t>
  </si>
  <si>
    <t>10R</t>
  </si>
  <si>
    <t>BA</t>
  </si>
  <si>
    <t>Apt. 1 2nd floor</t>
  </si>
  <si>
    <t>Apt 2</t>
  </si>
  <si>
    <t>8P</t>
  </si>
  <si>
    <t>18T</t>
  </si>
  <si>
    <t>36B</t>
  </si>
  <si>
    <t>5d</t>
  </si>
  <si>
    <t>39-A</t>
  </si>
  <si>
    <t>12-0</t>
  </si>
  <si>
    <t>#3</t>
  </si>
  <si>
    <t>bsmnt</t>
  </si>
  <si>
    <t>14n</t>
  </si>
  <si>
    <t>10C</t>
  </si>
  <si>
    <t>27B</t>
  </si>
  <si>
    <t>16A</t>
  </si>
  <si>
    <t>6-A</t>
  </si>
  <si>
    <t>2GS</t>
  </si>
  <si>
    <t>9S</t>
  </si>
  <si>
    <t>5-A</t>
  </si>
  <si>
    <t>63-B</t>
  </si>
  <si>
    <t>1c</t>
  </si>
  <si>
    <t>17M</t>
  </si>
  <si>
    <t>1P</t>
  </si>
  <si>
    <t>B55</t>
  </si>
  <si>
    <t>A32</t>
  </si>
  <si>
    <t>Apt 309</t>
  </si>
  <si>
    <t>3Q</t>
  </si>
  <si>
    <t>A-3</t>
  </si>
  <si>
    <t>1 C</t>
  </si>
  <si>
    <t>15B</t>
  </si>
  <si>
    <t>G</t>
  </si>
  <si>
    <t>860 Belmont Ave</t>
  </si>
  <si>
    <t>1114 Gerard Ave</t>
  </si>
  <si>
    <t>1030 Winthrop St</t>
  </si>
  <si>
    <t>2591 Pitkin Ave</t>
  </si>
  <si>
    <t>670 Sheffield Ave</t>
  </si>
  <si>
    <t>127 Miller Ave</t>
  </si>
  <si>
    <t>1311 Merriam Ave</t>
  </si>
  <si>
    <t>2181 Strauss St</t>
  </si>
  <si>
    <t>538 Beach 68th st</t>
  </si>
  <si>
    <t>20 Richman Plz</t>
  </si>
  <si>
    <t>545 Bradford St</t>
  </si>
  <si>
    <t>310 Hemlock St</t>
  </si>
  <si>
    <t>535 E 142nd St</t>
  </si>
  <si>
    <t>1450 Jesup Ave</t>
  </si>
  <si>
    <t>12445 Flatlands Ave</t>
  </si>
  <si>
    <t>1027 E 216th St</t>
  </si>
  <si>
    <t>1613 Eastern Pkwy</t>
  </si>
  <si>
    <t>10049 198th St</t>
  </si>
  <si>
    <t>3714 32nd St</t>
  </si>
  <si>
    <t>3546 65th St</t>
  </si>
  <si>
    <t>124 Beach 31st St</t>
  </si>
  <si>
    <t>4410 30th Ave</t>
  </si>
  <si>
    <t>4831 44th St</t>
  </si>
  <si>
    <t>4309 165th St</t>
  </si>
  <si>
    <t>112 Beach 59th St</t>
  </si>
  <si>
    <t>7221 153rd St</t>
  </si>
  <si>
    <t>5124 Beach Channel Dr</t>
  </si>
  <si>
    <t>9118 86th St</t>
  </si>
  <si>
    <t>2280 Jaydee Ct</t>
  </si>
  <si>
    <t>6336 98th Pl</t>
  </si>
  <si>
    <t>3330 103rd St</t>
  </si>
  <si>
    <t>1665 Palmetto St</t>
  </si>
  <si>
    <t>6560 Booth St</t>
  </si>
  <si>
    <t>4135 149th St</t>
  </si>
  <si>
    <t>1652 Popham Ave</t>
  </si>
  <si>
    <t>1301 Hoe Ave</t>
  </si>
  <si>
    <t>9716 101st Ave</t>
  </si>
  <si>
    <t>1631 Saint Marks Ave</t>
  </si>
  <si>
    <t>54 Bristol St</t>
  </si>
  <si>
    <t>990 Bronx Park S</t>
  </si>
  <si>
    <t>51 E 129th St # 55</t>
  </si>
  <si>
    <t>443 Wyona St</t>
  </si>
  <si>
    <t>279 Van Siclen Ave</t>
  </si>
  <si>
    <t>271 67th st</t>
  </si>
  <si>
    <t>254 Seaman Ave</t>
  </si>
  <si>
    <t>2095 Mohegan Ave</t>
  </si>
  <si>
    <t>1144 Simpson St</t>
  </si>
  <si>
    <t>387 Shepherd Ave</t>
  </si>
  <si>
    <t>79 Milford St</t>
  </si>
  <si>
    <t>1254 Decatur St</t>
  </si>
  <si>
    <t>1155 Grand Concourse</t>
  </si>
  <si>
    <t>811 Saint Johns Pl</t>
  </si>
  <si>
    <t>1780 Pitkin Ave</t>
  </si>
  <si>
    <t>2251 Dix Ave</t>
  </si>
  <si>
    <t>711 Jerome St</t>
  </si>
  <si>
    <t>1015 Bay 31st St</t>
  </si>
  <si>
    <t>830 Beck St</t>
  </si>
  <si>
    <t>309 Beach 85th St</t>
  </si>
  <si>
    <t>385 Chestnut St</t>
  </si>
  <si>
    <t>2042 Seagirt Blvd</t>
  </si>
  <si>
    <t>19 Hill St</t>
  </si>
  <si>
    <t>1082 Southern Blvd</t>
  </si>
  <si>
    <t>1036B Rev James A Polite Ave</t>
  </si>
  <si>
    <t>464 Howard Ave</t>
  </si>
  <si>
    <t>591 Logan St</t>
  </si>
  <si>
    <t>640 Beach 69th St</t>
  </si>
  <si>
    <t>2771 Marion Avenue</t>
  </si>
  <si>
    <t>4474 21st St</t>
  </si>
  <si>
    <t>119 Beach 56th Pl</t>
  </si>
  <si>
    <t>1500 Hoe Ave</t>
  </si>
  <si>
    <t>301 Grant Ave</t>
  </si>
  <si>
    <t>14623 220th St</t>
  </si>
  <si>
    <t>1920 Union St</t>
  </si>
  <si>
    <t>1435 26th Ave</t>
  </si>
  <si>
    <t>1466 Beach Ave</t>
  </si>
  <si>
    <t>1262 Lafayette Ave</t>
  </si>
  <si>
    <t>1039 Simpson St</t>
  </si>
  <si>
    <t>2679 Decatur Ave</t>
  </si>
  <si>
    <t>18709 Linden Blvd</t>
  </si>
  <si>
    <t>805 Fairmount Pl</t>
  </si>
  <si>
    <t>593 Flushing Ave</t>
  </si>
  <si>
    <t>4610 Crane St</t>
  </si>
  <si>
    <t>1716 Nereid Ave</t>
  </si>
  <si>
    <t>2932 Beach Channel Dr</t>
  </si>
  <si>
    <t>556 Thomas S Boyland St</t>
  </si>
  <si>
    <t>1450 Gateway Blvd</t>
  </si>
  <si>
    <t>2201 Norton Ave</t>
  </si>
  <si>
    <t>372 E 167th St</t>
  </si>
  <si>
    <t>663 Howard Ave</t>
  </si>
  <si>
    <t>217 Hull St</t>
  </si>
  <si>
    <t>1933 Union St</t>
  </si>
  <si>
    <t>14545 222nd St</t>
  </si>
  <si>
    <t>1677 Prospect PL</t>
  </si>
  <si>
    <t>10135 Woodhaven Blvd</t>
  </si>
  <si>
    <t>1085 Walton ave</t>
  </si>
  <si>
    <t>1255 Blake Ave</t>
  </si>
  <si>
    <t>9711 Horace Harding Expy</t>
  </si>
  <si>
    <t>495 Pine St</t>
  </si>
  <si>
    <t>1932 Strauss St</t>
  </si>
  <si>
    <t>12 E 177th St</t>
  </si>
  <si>
    <t>1075 Kelly St</t>
  </si>
  <si>
    <t>3530 94th St</t>
  </si>
  <si>
    <t>922 Broadway</t>
  </si>
  <si>
    <t>111 Piave Ave</t>
  </si>
  <si>
    <t>2610 18th St</t>
  </si>
  <si>
    <t>18 Irving Ave</t>
  </si>
  <si>
    <t>520 Tinton Ave</t>
  </si>
  <si>
    <t>542 Chauncey St</t>
  </si>
  <si>
    <t>595 Autumn Ave</t>
  </si>
  <si>
    <t>333 E 181st St</t>
  </si>
  <si>
    <t>3650 Bronx Blvd</t>
  </si>
  <si>
    <t>1049 Glenmore Ave</t>
  </si>
  <si>
    <t>10717 Van Wyck Expy</t>
  </si>
  <si>
    <t>13020 Inwood St</t>
  </si>
  <si>
    <t>1353 Pinson St</t>
  </si>
  <si>
    <t>10204 89th St</t>
  </si>
  <si>
    <t>2176 Grand Ave</t>
  </si>
  <si>
    <t>1985 Webster Ave</t>
  </si>
  <si>
    <t>25766 145th Ave</t>
  </si>
  <si>
    <t>1430 Seagirt Blvd</t>
  </si>
  <si>
    <t>14939 88th St</t>
  </si>
  <si>
    <t>2026 Seagirt Blvd</t>
  </si>
  <si>
    <t>539 W 179th St</t>
  </si>
  <si>
    <t>324 Beach 63rd Ar</t>
  </si>
  <si>
    <t>250 Macdougal St</t>
  </si>
  <si>
    <t>8858 76th St</t>
  </si>
  <si>
    <t>2403 41st St</t>
  </si>
  <si>
    <t>729 Eldert Ln</t>
  </si>
  <si>
    <t>135 Beach 56th Pl</t>
  </si>
  <si>
    <t>1571 Fulton Ave</t>
  </si>
  <si>
    <t>14340 222nd St</t>
  </si>
  <si>
    <t>2115 Honeywell Ave</t>
  </si>
  <si>
    <t>127 Bainbridge St</t>
  </si>
  <si>
    <t>448 Beach 48th St</t>
  </si>
  <si>
    <t>1361 Pinson St</t>
  </si>
  <si>
    <t>86 Fountain Ave</t>
  </si>
  <si>
    <t>22 E 108th St</t>
  </si>
  <si>
    <t>8435 Lander St</t>
  </si>
  <si>
    <t>2545 Grand Concourse</t>
  </si>
  <si>
    <t>304 E 156th St</t>
  </si>
  <si>
    <t>7002 Parsons Blvd</t>
  </si>
  <si>
    <t>10929 Sutphin Blvd</t>
  </si>
  <si>
    <t>1321 Mcbride St</t>
  </si>
  <si>
    <t>2230 New Haven Ave</t>
  </si>
  <si>
    <t>7414 Rockaway Blvd</t>
  </si>
  <si>
    <t>2226 Loring Pl N</t>
  </si>
  <si>
    <t>18723 Hillside Ave</t>
  </si>
  <si>
    <t>11907 101st Ave</t>
  </si>
  <si>
    <t>602 New Lots Ave</t>
  </si>
  <si>
    <t>588 Decatur St</t>
  </si>
  <si>
    <t>461 Wales Ave</t>
  </si>
  <si>
    <t>1147 Sutter Ave</t>
  </si>
  <si>
    <t>461 Milford St</t>
  </si>
  <si>
    <t>10649 Princeton St</t>
  </si>
  <si>
    <t>104 Vermilyea Ave</t>
  </si>
  <si>
    <t>2155 Morris Ave</t>
  </si>
  <si>
    <t>458 Ruby St</t>
  </si>
  <si>
    <t>802 Belmont Ave</t>
  </si>
  <si>
    <t>356 Sumpter St</t>
  </si>
  <si>
    <t>40 W Mosholu Pkwy S</t>
  </si>
  <si>
    <t>2211 New Haven Ave</t>
  </si>
  <si>
    <t>61 Macdougal St</t>
  </si>
  <si>
    <t>918 E 226th St</t>
  </si>
  <si>
    <t>634 Grassmere Ter</t>
  </si>
  <si>
    <t>651 Barbey St</t>
  </si>
  <si>
    <t>179 Mother Gaston Blvd</t>
  </si>
  <si>
    <t>490 Lincoln Ave</t>
  </si>
  <si>
    <t>386 Autumn Ave</t>
  </si>
  <si>
    <t>202 Walker St</t>
  </si>
  <si>
    <t>2540 23rd St</t>
  </si>
  <si>
    <t>520 Concord Ave</t>
  </si>
  <si>
    <t>1170 Walton Ave</t>
  </si>
  <si>
    <t>1480 Popham Ave</t>
  </si>
  <si>
    <t>1346 Dickens St</t>
  </si>
  <si>
    <t>524 Jerome St</t>
  </si>
  <si>
    <t>2145 Matthews Ave</t>
  </si>
  <si>
    <t>1384 Mcbride St</t>
  </si>
  <si>
    <t>11636 141st St</t>
  </si>
  <si>
    <t>128 Beach 26th St</t>
  </si>
  <si>
    <t>1417 Wythe Pl</t>
  </si>
  <si>
    <t>1129 Vyse Ave</t>
  </si>
  <si>
    <t>878 Euclid Ave</t>
  </si>
  <si>
    <t>104 Terrace View Ave</t>
  </si>
  <si>
    <t>3611 12th St</t>
  </si>
  <si>
    <t>2107 East 137th Street</t>
  </si>
  <si>
    <t>501 E 161st St</t>
  </si>
  <si>
    <t>1711 Davidson Ave</t>
  </si>
  <si>
    <t>200 E 110th St</t>
  </si>
  <si>
    <t>843 E 161st St</t>
  </si>
  <si>
    <t>14518 34th Ave</t>
  </si>
  <si>
    <t>262 Pulaski Ave</t>
  </si>
  <si>
    <t>487 Herzl St</t>
  </si>
  <si>
    <t>1733 Univ Ave</t>
  </si>
  <si>
    <t>2944 Beach Channel Dr</t>
  </si>
  <si>
    <t>1743 Davidson Ave</t>
  </si>
  <si>
    <t>1 Edgar Ter</t>
  </si>
  <si>
    <t>1100 W Farms Rd</t>
  </si>
  <si>
    <t>712 E 27th St</t>
  </si>
  <si>
    <t>812 E 227th St</t>
  </si>
  <si>
    <t>50 Legion St</t>
  </si>
  <si>
    <t>356 Pine Street</t>
  </si>
  <si>
    <t>120 Tapscott St</t>
  </si>
  <si>
    <t>723 Hancock St</t>
  </si>
  <si>
    <t>22129 90th Ave</t>
  </si>
  <si>
    <t>27 Granite St</t>
  </si>
  <si>
    <t>901 Drew St</t>
  </si>
  <si>
    <t>901 Franklin Ave</t>
  </si>
  <si>
    <t>1920 Walton Ave</t>
  </si>
  <si>
    <t>2324 Beach Channel Dr</t>
  </si>
  <si>
    <t>333 Ovington Ave</t>
  </si>
  <si>
    <t>15 Taxter Pl</t>
  </si>
  <si>
    <t>116 Riverdale Ave</t>
  </si>
  <si>
    <t>1664 Davidson Ave</t>
  </si>
  <si>
    <t>1711 Fulton St</t>
  </si>
  <si>
    <t>2299 Andrews Ave</t>
  </si>
  <si>
    <t>750 grand concourse</t>
  </si>
  <si>
    <t>389 Herzl St</t>
  </si>
  <si>
    <t>655 Warwick St</t>
  </si>
  <si>
    <t>105 E 192nd St</t>
  </si>
  <si>
    <t>383 Lewis Ave</t>
  </si>
  <si>
    <t>385 Lewis Ave</t>
  </si>
  <si>
    <t>331 E 109th St</t>
  </si>
  <si>
    <t>1575 E New York Ave</t>
  </si>
  <si>
    <t>707 Miller Ave</t>
  </si>
  <si>
    <t>8806 191st St</t>
  </si>
  <si>
    <t>202 Lott Ave</t>
  </si>
  <si>
    <t>3541 94th St</t>
  </si>
  <si>
    <t>4135 53rd St</t>
  </si>
  <si>
    <t>10232 45th Ave</t>
  </si>
  <si>
    <t>8049 88th Rd</t>
  </si>
  <si>
    <t>1233 White Plains Rd</t>
  </si>
  <si>
    <t>3420 78TH St</t>
  </si>
  <si>
    <t>21471 Jamaica Ave</t>
  </si>
  <si>
    <t>148 Bismark Ave</t>
  </si>
  <si>
    <t>2295 Morris Ave</t>
  </si>
  <si>
    <t>2 E 128th St</t>
  </si>
  <si>
    <t>550 Cauldwell Ave</t>
  </si>
  <si>
    <t>2001 Morris Avenue</t>
  </si>
  <si>
    <t>34 Layton Ave</t>
  </si>
  <si>
    <t>312 Court St</t>
  </si>
  <si>
    <t>71 Pilling St</t>
  </si>
  <si>
    <t>1070 Fox St</t>
  </si>
  <si>
    <t>124 Sherman Ave</t>
  </si>
  <si>
    <t>150 Jumel St</t>
  </si>
  <si>
    <t>1050 Soundview Ave</t>
  </si>
  <si>
    <t>1875 Univ Ave</t>
  </si>
  <si>
    <t>759 46th St</t>
  </si>
  <si>
    <t>202 Westervelt Ave</t>
  </si>
  <si>
    <t>389 E 151st St</t>
  </si>
  <si>
    <t>552 W 186th St</t>
  </si>
  <si>
    <t>1305 Nelson Ave</t>
  </si>
  <si>
    <t>1459 Wythe Pl</t>
  </si>
  <si>
    <t>824 Southern Blvd</t>
  </si>
  <si>
    <t>9507 Kings Hwy</t>
  </si>
  <si>
    <t>1454 Walton Ave</t>
  </si>
  <si>
    <t>544 Academy St</t>
  </si>
  <si>
    <t>562 Bolton Ave</t>
  </si>
  <si>
    <t>550 Academy St</t>
  </si>
  <si>
    <t>363 E 163rd St</t>
  </si>
  <si>
    <t>130 Lefferts Pl</t>
  </si>
  <si>
    <t>1610 Sedgwick Ave</t>
  </si>
  <si>
    <t>6140 146th St</t>
  </si>
  <si>
    <t>1937 Daly Ave</t>
  </si>
  <si>
    <t>1090 Saint Nicholas Ave</t>
  </si>
  <si>
    <t>100 Pulaski St</t>
  </si>
  <si>
    <t>40 Sharrotts Ln</t>
  </si>
  <si>
    <t>1540 Walton Ave</t>
  </si>
  <si>
    <t>231 Sherman Ave</t>
  </si>
  <si>
    <t>2267 2nd Ave</t>
  </si>
  <si>
    <t>1717 Vyse Ave</t>
  </si>
  <si>
    <t>1340 Stratford Ave</t>
  </si>
  <si>
    <t>2787 Briggs Ave</t>
  </si>
  <si>
    <t>232 E 106th St</t>
  </si>
  <si>
    <t>862 Southern Boulevard</t>
  </si>
  <si>
    <t>132 Sherman Ave</t>
  </si>
  <si>
    <t>1068 Winthrop St</t>
  </si>
  <si>
    <t>272 Targee St</t>
  </si>
  <si>
    <t>985 Anderson Ave</t>
  </si>
  <si>
    <t>2425 Nostrand Ave</t>
  </si>
  <si>
    <t>241 Sherman Ave</t>
  </si>
  <si>
    <t>558 Riverdale Ave</t>
  </si>
  <si>
    <t>1344 Univ Ave</t>
  </si>
  <si>
    <t>8757 124th St</t>
  </si>
  <si>
    <t>3852 10th ave</t>
  </si>
  <si>
    <t>9730 57th Ave</t>
  </si>
  <si>
    <t>Jackson Hts</t>
  </si>
  <si>
    <t>Rockaway Park</t>
  </si>
  <si>
    <t>BRONX</t>
  </si>
  <si>
    <t>Ridgewood</t>
  </si>
  <si>
    <t>Woodhaven</t>
  </si>
  <si>
    <t>South Richmond Hill</t>
  </si>
  <si>
    <t>S Richmond Hl</t>
  </si>
  <si>
    <t>Ozone Park</t>
  </si>
  <si>
    <t>BROOKLYN</t>
  </si>
  <si>
    <t>Fresh Meadows</t>
  </si>
  <si>
    <t>Long Island City</t>
  </si>
  <si>
    <t>S Ozone Park</t>
  </si>
  <si>
    <t>Forest Hills</t>
  </si>
  <si>
    <t>Bellerose</t>
  </si>
  <si>
    <t>Elmhurst</t>
  </si>
  <si>
    <t>Queens Vlg</t>
  </si>
  <si>
    <t>brooklyn</t>
  </si>
  <si>
    <t>Floral Park</t>
  </si>
  <si>
    <t>College Point</t>
  </si>
  <si>
    <t>Laurelton</t>
  </si>
  <si>
    <t>Maspeth</t>
  </si>
  <si>
    <t>1T</t>
  </si>
  <si>
    <t>E-3</t>
  </si>
  <si>
    <t>17K</t>
  </si>
  <si>
    <t>3KK</t>
  </si>
  <si>
    <t>Unit 1C</t>
  </si>
  <si>
    <t>3rd Floor</t>
  </si>
  <si>
    <t>Apt. 4C</t>
  </si>
  <si>
    <t>2 Fl.</t>
  </si>
  <si>
    <t>1 R</t>
  </si>
  <si>
    <t>D9</t>
  </si>
  <si>
    <t>13G</t>
  </si>
  <si>
    <t>5h</t>
  </si>
  <si>
    <t>Apt 1N</t>
  </si>
  <si>
    <t>E1</t>
  </si>
  <si>
    <t>Apt.45</t>
  </si>
  <si>
    <t>D809</t>
  </si>
  <si>
    <t>14H</t>
  </si>
  <si>
    <t>Apt. 5E</t>
  </si>
  <si>
    <t>18S</t>
  </si>
  <si>
    <t>Unit 1</t>
  </si>
  <si>
    <t>13B</t>
  </si>
  <si>
    <t>26k</t>
  </si>
  <si>
    <t>R607</t>
  </si>
  <si>
    <t>8G</t>
  </si>
  <si>
    <t>Apt 33</t>
  </si>
  <si>
    <t>J</t>
  </si>
  <si>
    <t>2106W</t>
  </si>
  <si>
    <t>35J</t>
  </si>
  <si>
    <t>20K</t>
  </si>
  <si>
    <t>House 1</t>
  </si>
  <si>
    <t>rent house</t>
  </si>
  <si>
    <t>A17</t>
  </si>
  <si>
    <t>3rd FL.</t>
  </si>
  <si>
    <t>#2F</t>
  </si>
  <si>
    <t>3-B</t>
  </si>
  <si>
    <t>3k</t>
  </si>
  <si>
    <t>A-34</t>
  </si>
  <si>
    <t>2X</t>
  </si>
  <si>
    <t>#7-D</t>
  </si>
  <si>
    <t>Apt 3</t>
  </si>
  <si>
    <t>18F</t>
  </si>
  <si>
    <t>9O</t>
  </si>
  <si>
    <t>4-L</t>
  </si>
  <si>
    <t>22F</t>
  </si>
  <si>
    <t>Floor 2</t>
  </si>
  <si>
    <t>1-R</t>
  </si>
  <si>
    <t>18D</t>
  </si>
  <si>
    <t>23M</t>
  </si>
  <si>
    <t>24-D</t>
  </si>
  <si>
    <t>19M</t>
  </si>
  <si>
    <t>24C</t>
  </si>
  <si>
    <t>4CN</t>
  </si>
  <si>
    <t>40A</t>
  </si>
  <si>
    <t>GC</t>
  </si>
  <si>
    <t>apt 1</t>
  </si>
  <si>
    <t>23L</t>
  </si>
  <si>
    <t>20F</t>
  </si>
  <si>
    <t>J41</t>
  </si>
  <si>
    <t>8-O</t>
  </si>
  <si>
    <t>4-J</t>
  </si>
  <si>
    <t>16-0</t>
  </si>
  <si>
    <t>11J</t>
  </si>
  <si>
    <t>20H</t>
  </si>
  <si>
    <t>1BS</t>
  </si>
  <si>
    <t>1-G</t>
  </si>
  <si>
    <t>16G</t>
  </si>
  <si>
    <t>Rockaway Bch</t>
  </si>
  <si>
    <t>Springfield Gardens</t>
  </si>
  <si>
    <t>Jackson Heights</t>
  </si>
  <si>
    <t>LT-059724-19/KI</t>
  </si>
  <si>
    <t>LT-088059-18/KI</t>
  </si>
  <si>
    <t>LT-51011-19/RI</t>
  </si>
  <si>
    <t>LT-058764-19/KI</t>
  </si>
  <si>
    <t>LT-095833-18/KI</t>
  </si>
  <si>
    <t>LT-081566-18/KI</t>
  </si>
  <si>
    <t>LT-073346-18/KI</t>
  </si>
  <si>
    <t>LT-062456-19/KI</t>
  </si>
  <si>
    <t>LT-097199-18/KI</t>
  </si>
  <si>
    <t>LT-000278-19/KI</t>
  </si>
  <si>
    <t>LT-049916-16/BX</t>
  </si>
  <si>
    <t>LT-038030-18/BX</t>
  </si>
  <si>
    <t>LT-067819-18/NY</t>
  </si>
  <si>
    <t>LT-72321-18/QU</t>
  </si>
  <si>
    <t>LT-072276-16/BX</t>
  </si>
  <si>
    <t>LT-083502-17/KI</t>
  </si>
  <si>
    <t>LT-86877-18/KI</t>
  </si>
  <si>
    <t>LT-062646-18/NY</t>
  </si>
  <si>
    <t>LT-098068-17/KI</t>
  </si>
  <si>
    <t>LT-065731-17/BX</t>
  </si>
  <si>
    <t>LT-060914-18/NY</t>
  </si>
  <si>
    <t>LT-159854-18/BX</t>
  </si>
  <si>
    <t>LT-058478-18/NY</t>
  </si>
  <si>
    <t>LT-043271-16/BX</t>
  </si>
  <si>
    <t>LT-060394-19/NY</t>
  </si>
  <si>
    <t>LT-093820-18/KI</t>
  </si>
  <si>
    <t>LT-051562-18/RI</t>
  </si>
  <si>
    <t>LT-066238-18/NY</t>
  </si>
  <si>
    <t>LT-083037-18/KI</t>
  </si>
  <si>
    <t>LT-065695-18/NY</t>
  </si>
  <si>
    <t>LT-071218-18/NY</t>
  </si>
  <si>
    <t>LT-052530-18/RI</t>
  </si>
  <si>
    <t>LT-54649-18/KI</t>
  </si>
  <si>
    <t>CV-450609-19/NY</t>
  </si>
  <si>
    <t>LT-067575-18/QU</t>
  </si>
  <si>
    <t>LT-006163-18/NY</t>
  </si>
  <si>
    <t>LT-080878-18/KI</t>
  </si>
  <si>
    <t>LT-094059-18/KI</t>
  </si>
  <si>
    <t>LT-060417-18/KI</t>
  </si>
  <si>
    <t>LT-67414-18/NY</t>
  </si>
  <si>
    <t>LT-006480-18/KI</t>
  </si>
  <si>
    <t>LT-18723-19/BX</t>
  </si>
  <si>
    <t>LT-063297-19/KI</t>
  </si>
  <si>
    <t>LT-058237-19/NY</t>
  </si>
  <si>
    <t>LT-087341-18/KI</t>
  </si>
  <si>
    <t>LT-059152-19/NY</t>
  </si>
  <si>
    <t>LT-010544-19/BX</t>
  </si>
  <si>
    <t>LT-050671-19/RI</t>
  </si>
  <si>
    <t>LT-050273-18/QU</t>
  </si>
  <si>
    <t>LT-060296-19/NY</t>
  </si>
  <si>
    <t>LT-056691-19/NY</t>
  </si>
  <si>
    <t>LT-762071-18/KI</t>
  </si>
  <si>
    <t>LT-034589-18/BX</t>
  </si>
  <si>
    <t>LT-67408-18/NY</t>
  </si>
  <si>
    <t>LT-07444-18/KI</t>
  </si>
  <si>
    <t>LT-063685-19/KI</t>
  </si>
  <si>
    <t>LT-064232-18/KI</t>
  </si>
  <si>
    <t>LT-000029-19/NY</t>
  </si>
  <si>
    <t>LT-075721-18/KI</t>
  </si>
  <si>
    <t>LT-72132-17/KI</t>
  </si>
  <si>
    <t>LT 064608/2019</t>
  </si>
  <si>
    <t>LT-067409-18/NY</t>
  </si>
  <si>
    <t>LT-064564-18/NY</t>
  </si>
  <si>
    <t>LT-058125-19/KI</t>
  </si>
  <si>
    <t>LT-078550-17/KI</t>
  </si>
  <si>
    <t>LT-054953-17/KI</t>
  </si>
  <si>
    <t>LT-094943-19/KI</t>
  </si>
  <si>
    <t>LT-250024-19/NY</t>
  </si>
  <si>
    <t>LT-074445-18/KI</t>
  </si>
  <si>
    <t>LT-074368-18/KI</t>
  </si>
  <si>
    <t>LT-052066-18/BX</t>
  </si>
  <si>
    <t>LT-070632-18/KI</t>
  </si>
  <si>
    <t>LT-079778-18/KI</t>
  </si>
  <si>
    <t>LT-067286-18/NY</t>
  </si>
  <si>
    <t>LT-70254-18/NY</t>
  </si>
  <si>
    <t>FX210021B</t>
  </si>
  <si>
    <t>GM-210137-S</t>
  </si>
  <si>
    <t>LT-064757-18/BX</t>
  </si>
  <si>
    <t>GW-610013-B</t>
  </si>
  <si>
    <t>LT-063325-18/NY</t>
  </si>
  <si>
    <t>LT-008249-19/BX</t>
  </si>
  <si>
    <t>LT-041950-18/BX</t>
  </si>
  <si>
    <t>LT-160581-18/NY</t>
  </si>
  <si>
    <t>3982-18</t>
  </si>
  <si>
    <t>LT-068253-18/KI</t>
  </si>
  <si>
    <t>LT-082210-16/ki</t>
  </si>
  <si>
    <t>LT-063808-19/KI</t>
  </si>
  <si>
    <t>LT-078345-18/NY</t>
  </si>
  <si>
    <t>LT-050072-16/NY</t>
  </si>
  <si>
    <t>LT-065115-19/KI</t>
  </si>
  <si>
    <t>LT-082811-18/KI</t>
  </si>
  <si>
    <t>LT-076172-17/NY</t>
  </si>
  <si>
    <t>none yet</t>
  </si>
  <si>
    <t>LT-05758/19-NY</t>
  </si>
  <si>
    <t>LT-051621-18/RI</t>
  </si>
  <si>
    <t>LT-056575-18/NY</t>
  </si>
  <si>
    <t>LT-013318-18/QU</t>
  </si>
  <si>
    <t>LT-050509-19/RI</t>
  </si>
  <si>
    <t>LT-021068-19/BX</t>
  </si>
  <si>
    <t>LT-053872-19/KI</t>
  </si>
  <si>
    <t>FR 210111 S</t>
  </si>
  <si>
    <t>LT-086989-18/KI</t>
  </si>
  <si>
    <t>LT-021605-18/NY</t>
  </si>
  <si>
    <t>LT-62657-19/KI</t>
  </si>
  <si>
    <t>FX210213S</t>
  </si>
  <si>
    <t>LT-53129-18/RI</t>
  </si>
  <si>
    <t>LT-045280-18/BX</t>
  </si>
  <si>
    <t>LT-016731-19/BX</t>
  </si>
  <si>
    <t>LT-055930-18/KI</t>
  </si>
  <si>
    <t>LT-002612-18/KI</t>
  </si>
  <si>
    <t>LT-058364-19/KI</t>
  </si>
  <si>
    <t>LT-086282-18/KI</t>
  </si>
  <si>
    <t>LT-094597-18/KI</t>
  </si>
  <si>
    <t>LT-066105-18/NY</t>
  </si>
  <si>
    <t>CX-610003-RP</t>
  </si>
  <si>
    <t>3453/18</t>
  </si>
  <si>
    <t>LT-003453-18/KI</t>
  </si>
  <si>
    <t>LT-64406-18/NY</t>
  </si>
  <si>
    <t>LT-080596-16/NY</t>
  </si>
  <si>
    <t>LT-59614-19/NY</t>
  </si>
  <si>
    <t>LT-079225-18/KI</t>
  </si>
  <si>
    <t>LT-088224-17/KI</t>
  </si>
  <si>
    <t>LT-053881-18/BX</t>
  </si>
  <si>
    <t>Nonw</t>
  </si>
  <si>
    <t>LT-047908-18/BX</t>
  </si>
  <si>
    <t>LT-079013-18/NY</t>
  </si>
  <si>
    <t>LT-738286-19/NY</t>
  </si>
  <si>
    <t>LT-074444-18/KI</t>
  </si>
  <si>
    <t>LT-069924-17/BX</t>
  </si>
  <si>
    <t>LT-088031-18/KI</t>
  </si>
  <si>
    <t>LT-052001-19/KI</t>
  </si>
  <si>
    <t>LT-041238-18/BX</t>
  </si>
  <si>
    <t>LT-050052-19/RI</t>
  </si>
  <si>
    <t>LT-052774-19/NY</t>
  </si>
  <si>
    <t>LT-073598-18/NY</t>
  </si>
  <si>
    <t>LT-071662-18/NY</t>
  </si>
  <si>
    <t>LT-052803-18/RI</t>
  </si>
  <si>
    <t>002704/2018</t>
  </si>
  <si>
    <t>LT-053322-18/RI</t>
  </si>
  <si>
    <t>LT-005504-19/BX</t>
  </si>
  <si>
    <t>GR210018 OM</t>
  </si>
  <si>
    <t>HN 210044 B</t>
  </si>
  <si>
    <t>LT-050637-19/KI</t>
  </si>
  <si>
    <t>LT-000467-19/NY</t>
  </si>
  <si>
    <t>LT-051410-18/RI</t>
  </si>
  <si>
    <t>LT-068976-18/BX</t>
  </si>
  <si>
    <t>2704/18</t>
  </si>
  <si>
    <t>HM-130106-OM</t>
  </si>
  <si>
    <t>LT-001339-18/NY</t>
  </si>
  <si>
    <t>LT-091375-18/NY</t>
  </si>
  <si>
    <t>GR-210005-UC</t>
  </si>
  <si>
    <t>905693-TD-2018</t>
  </si>
  <si>
    <t>LT-68049-18/BX</t>
  </si>
  <si>
    <t>LT-060751-11/BX</t>
  </si>
  <si>
    <t>LT-056307-18/KI</t>
  </si>
  <si>
    <t>LT-050180-19/RI</t>
  </si>
  <si>
    <t>LT-067407-18/NY</t>
  </si>
  <si>
    <t>LT-057577-19/QU</t>
  </si>
  <si>
    <t>LT-062958-19/KI</t>
  </si>
  <si>
    <t>LT-013115-17/BX</t>
  </si>
  <si>
    <t>LT-070826-18/NY</t>
  </si>
  <si>
    <t>LT-251456-18/NY</t>
  </si>
  <si>
    <t>LT-079249-18/NY</t>
  </si>
  <si>
    <t>LT-075703-18/NY</t>
  </si>
  <si>
    <t>EU-630005-OM</t>
  </si>
  <si>
    <t>LT-251184-13/NY</t>
  </si>
  <si>
    <t>LT-059000-19/QU</t>
  </si>
  <si>
    <t>LT-079704-12/NY</t>
  </si>
  <si>
    <t>LT-086747-18/ KI (HC)</t>
  </si>
  <si>
    <t>042003/2016</t>
  </si>
  <si>
    <t>HP-1619-19/KI</t>
  </si>
  <si>
    <t>06480/18</t>
  </si>
  <si>
    <t>LT-60415-19/KI</t>
  </si>
  <si>
    <t>LT-069332-18/KI</t>
  </si>
  <si>
    <t>LT-059641-19/QU</t>
  </si>
  <si>
    <t>LT-070145-18/KI</t>
  </si>
  <si>
    <t>LT-033482-18/BX</t>
  </si>
  <si>
    <t>LT-250722-19/NY</t>
  </si>
  <si>
    <t>LT-64322-18/KI</t>
  </si>
  <si>
    <t>LT-070143-18/KI</t>
  </si>
  <si>
    <t>19-40820</t>
  </si>
  <si>
    <t>LT-64595-19/KI</t>
  </si>
  <si>
    <t>LT-078385-18/KI</t>
  </si>
  <si>
    <t>LT-012021-19/BX</t>
  </si>
  <si>
    <t>LT-076733-18/QU</t>
  </si>
  <si>
    <t>HN 2100270 R</t>
  </si>
  <si>
    <t>LT-063665-19/KI</t>
  </si>
  <si>
    <t>none provided</t>
  </si>
  <si>
    <t>LT-086265-17/KI</t>
  </si>
  <si>
    <t>LT-035600-18/BX</t>
  </si>
  <si>
    <t>LT-059597-19/QU</t>
  </si>
  <si>
    <t>FX210216S</t>
  </si>
  <si>
    <t>GS 210092</t>
  </si>
  <si>
    <t>LT-060416-18/KI</t>
  </si>
  <si>
    <t>LT-058120-19/KI</t>
  </si>
  <si>
    <t>LT-055942-16/QU</t>
  </si>
  <si>
    <t>LT-079909-17/QU</t>
  </si>
  <si>
    <t>no case yet</t>
  </si>
  <si>
    <t>LT-00271-19/QU</t>
  </si>
  <si>
    <t>LT-073625-18/QU</t>
  </si>
  <si>
    <t>LT-060704-19/QU</t>
  </si>
  <si>
    <t>LT-078992-18/QU</t>
  </si>
  <si>
    <t>LT-014297-18/QU</t>
  </si>
  <si>
    <t>LT-077983-18/QU</t>
  </si>
  <si>
    <t>LT-001050-18/QU</t>
  </si>
  <si>
    <t>LT-061755-18/KI</t>
  </si>
  <si>
    <t>LT-062582-17/KI</t>
  </si>
  <si>
    <t>LT-058333-18/KI</t>
  </si>
  <si>
    <t>LT-058985-19/KI</t>
  </si>
  <si>
    <t>LT-066418-18/QU</t>
  </si>
  <si>
    <t>LT-043716-18/BX</t>
  </si>
  <si>
    <t>LT-055430-18/BX</t>
  </si>
  <si>
    <t>LT-806603-17/BX</t>
  </si>
  <si>
    <t>LT-064900-18/KI</t>
  </si>
  <si>
    <t>LT-051366-18/RI</t>
  </si>
  <si>
    <t>LT-025003-17/NY</t>
  </si>
  <si>
    <t>LT-077337-18/NY</t>
  </si>
  <si>
    <t>LT-065291-18/NY</t>
  </si>
  <si>
    <t>LT-066621-18/NY</t>
  </si>
  <si>
    <t>LT-081381-18/NY</t>
  </si>
  <si>
    <t>LT-071339-17/NY</t>
  </si>
  <si>
    <t>LT-080895-17/NY</t>
  </si>
  <si>
    <t>NO CASE</t>
  </si>
  <si>
    <t>LT-054735-19/QU</t>
  </si>
  <si>
    <t>LT-78025-18/QU</t>
  </si>
  <si>
    <t>LT-072629-18/KI</t>
  </si>
  <si>
    <t>LT-051481-19/KI</t>
  </si>
  <si>
    <t>LT-87502-18/KI</t>
  </si>
  <si>
    <t>LT-000564-19/NY</t>
  </si>
  <si>
    <t>LT-10125-19/RI</t>
  </si>
  <si>
    <t>LT-053240-17/RI</t>
  </si>
  <si>
    <t>LT-056213-18/KI</t>
  </si>
  <si>
    <t>LT-051100-19/QU</t>
  </si>
  <si>
    <t>LT-074136-18/KI</t>
  </si>
  <si>
    <t>LT-062402-18/KI</t>
  </si>
  <si>
    <t>LT-069832-18/NY</t>
  </si>
  <si>
    <t>521089/2017</t>
  </si>
  <si>
    <t>LT-077170-18/NY</t>
  </si>
  <si>
    <t>94 RSC 2019</t>
  </si>
  <si>
    <t>LT-076387-18/QU</t>
  </si>
  <si>
    <t>LT-072629-17/KI</t>
  </si>
  <si>
    <t>GX210004NC</t>
  </si>
  <si>
    <t>GS210092</t>
  </si>
  <si>
    <t>CX-063009-OM</t>
  </si>
  <si>
    <t>FM-630024-RT</t>
  </si>
  <si>
    <t>LT-056778-18/QU</t>
  </si>
  <si>
    <t>LT-067605-18/QU</t>
  </si>
  <si>
    <t>LT-067814-18/QU</t>
  </si>
  <si>
    <t>LT-053576-18/KI</t>
  </si>
  <si>
    <t>LT-071730-16/KI</t>
  </si>
  <si>
    <t>LT-071033-18/KI</t>
  </si>
  <si>
    <t>LT-65708-18/KI</t>
  </si>
  <si>
    <t>LT-084795-18/KI</t>
  </si>
  <si>
    <t>LT-003413-17/KI</t>
  </si>
  <si>
    <t>LT-80336-18/KI</t>
  </si>
  <si>
    <t>LT-52500-18/RI</t>
  </si>
  <si>
    <t>LT-053170-18/RI</t>
  </si>
  <si>
    <t>LT-053693-18/RI</t>
  </si>
  <si>
    <t>LT-068250-18/QU</t>
  </si>
  <si>
    <t>L&amp;T 52167/17</t>
  </si>
  <si>
    <t>LT-074285-18/QU</t>
  </si>
  <si>
    <t>LT-060260-19/QU</t>
  </si>
  <si>
    <t>LT-056952-19/QU</t>
  </si>
  <si>
    <t>LT-069364-18/QU</t>
  </si>
  <si>
    <t>LT-082646-18/KI</t>
  </si>
  <si>
    <t>LT-086257-18/KI</t>
  </si>
  <si>
    <t>LT-095266-18/KI</t>
  </si>
  <si>
    <t>LT-95268-18/KI</t>
  </si>
  <si>
    <t>LT-59459-19/KI</t>
  </si>
  <si>
    <t>LT-087894-18/KI</t>
  </si>
  <si>
    <t>LT-087600-18/KI</t>
  </si>
  <si>
    <t>LT-060912-19/KI</t>
  </si>
  <si>
    <t>LT-56760-19/QU</t>
  </si>
  <si>
    <t>LT-022999-19/BX</t>
  </si>
  <si>
    <t>LT-064776-18/BX</t>
  </si>
  <si>
    <t>LT-15152-19/BX</t>
  </si>
  <si>
    <t>LT-052063-18/BX</t>
  </si>
  <si>
    <t>LT-051415-19/RI</t>
  </si>
  <si>
    <t>LT-005699-18/RI</t>
  </si>
  <si>
    <t>LT-050719-19/RI</t>
  </si>
  <si>
    <t>LT-069239-18/NY</t>
  </si>
  <si>
    <t>LT-59055-18/NY</t>
  </si>
  <si>
    <t>LT-059273-19</t>
  </si>
  <si>
    <t>LT-050811-17/BX</t>
  </si>
  <si>
    <t>LT-004842-19/BX</t>
  </si>
  <si>
    <t>LT-052933-18/RI</t>
  </si>
  <si>
    <t>LT-073300-18//KI</t>
  </si>
  <si>
    <t>LT-019432-19/BX</t>
  </si>
  <si>
    <t>LT-067042-18/KI</t>
  </si>
  <si>
    <t>LT-045585-18/BX</t>
  </si>
  <si>
    <t>LT-038353-18/BX</t>
  </si>
  <si>
    <t>LT-031292-18/BX</t>
  </si>
  <si>
    <t>LT-251148-17/NY</t>
  </si>
  <si>
    <t>LT-050348-18/BX</t>
  </si>
  <si>
    <t>LT-030591-18/BX</t>
  </si>
  <si>
    <t>LT-057533-19/KI</t>
  </si>
  <si>
    <t>LT-082869-18/KI</t>
  </si>
  <si>
    <t>LT-080752-17/NY</t>
  </si>
  <si>
    <t>LT-056655-19/KI</t>
  </si>
  <si>
    <t>LT-001515-18/NY</t>
  </si>
  <si>
    <t>LT-028337-18/BX</t>
  </si>
  <si>
    <t>LT-056286-18/KI</t>
  </si>
  <si>
    <t>LT-088674-18/KI</t>
  </si>
  <si>
    <t>LT-076250-18/KI</t>
  </si>
  <si>
    <t>LT-089594-18/KI</t>
  </si>
  <si>
    <t>LT-008855-19/BX</t>
  </si>
  <si>
    <t>LT-041050-18/BX</t>
  </si>
  <si>
    <t>LT-073080-17/QU</t>
  </si>
  <si>
    <t>LT-070731-18/NY</t>
  </si>
  <si>
    <t>LT-085791-18/KI</t>
  </si>
  <si>
    <t>LT-060904-19/QU</t>
  </si>
  <si>
    <t>LT-077618-18/QU</t>
  </si>
  <si>
    <t>LT-056245-19/QU</t>
  </si>
  <si>
    <t>LT-062373-18/BX</t>
  </si>
  <si>
    <t>LT-066297-18/QU</t>
  </si>
  <si>
    <t>LT-076886-18/KI</t>
  </si>
  <si>
    <t>LT-063396-18/NY</t>
  </si>
  <si>
    <t>LT-001861-18/NY</t>
  </si>
  <si>
    <t>LT-58333-18/KI</t>
  </si>
  <si>
    <t>LT-037251-18/BX</t>
  </si>
  <si>
    <t>LT-074595-18/KI</t>
  </si>
  <si>
    <t>LT-061712-18/BX</t>
  </si>
  <si>
    <t>LT-051427</t>
  </si>
  <si>
    <t>LT-1861-18/NY</t>
  </si>
  <si>
    <t>LT-66608-18/QU</t>
  </si>
  <si>
    <t>LT-058963-19/QU</t>
  </si>
  <si>
    <t>LT-052971-16/BX</t>
  </si>
  <si>
    <t>LT-001885-19/BX</t>
  </si>
  <si>
    <t>LT-079733-17/KI</t>
  </si>
  <si>
    <t>LT-057344-18/QU</t>
  </si>
  <si>
    <t>LT-077516-18/KI</t>
  </si>
  <si>
    <t>LT-080471-18/KI</t>
  </si>
  <si>
    <t>LT-000802-19/KI</t>
  </si>
  <si>
    <t>LT-053329-18/BX</t>
  </si>
  <si>
    <t>LT-074824-18/QU</t>
  </si>
  <si>
    <t>LT-502370-19/KI</t>
  </si>
  <si>
    <t>LT-251193-18/NY</t>
  </si>
  <si>
    <t>LT-011332-19/BX</t>
  </si>
  <si>
    <t>LT-070657-18/QU</t>
  </si>
  <si>
    <t>LT-096221-18/KI</t>
  </si>
  <si>
    <t>LT-99996-16/KI</t>
  </si>
  <si>
    <t>LT-059655-19/KI</t>
  </si>
  <si>
    <t>LT-074714-16/BX</t>
  </si>
  <si>
    <t>LT-81411-18/NY</t>
  </si>
  <si>
    <t>LT-050961-19/RI</t>
  </si>
  <si>
    <t>LT-061627-18/KI</t>
  </si>
  <si>
    <t>LT-053150-19/KI</t>
  </si>
  <si>
    <t>LT-046932-15/BX</t>
  </si>
  <si>
    <t>LT-000037-19/RI</t>
  </si>
  <si>
    <t>LT-058049-18/NY</t>
  </si>
  <si>
    <t>LT-050184-19/NY</t>
  </si>
  <si>
    <t>LT-733886-18/QU</t>
  </si>
  <si>
    <t>LT-075284-18/NY</t>
  </si>
  <si>
    <t>LT-052730-18/RI</t>
  </si>
  <si>
    <t>LT-052426-18 RI</t>
  </si>
  <si>
    <t>LT-053171-18/RI</t>
  </si>
  <si>
    <t>LT-084792-18/KI</t>
  </si>
  <si>
    <t>LT-011691-18/BX</t>
  </si>
  <si>
    <t>LT-00317-19/QU</t>
  </si>
  <si>
    <t>LT-200113-18/NY</t>
  </si>
  <si>
    <t>LT-057468-19/QU</t>
  </si>
  <si>
    <t>LT-71311-18/KI</t>
  </si>
  <si>
    <t>LT-051709-18/RI</t>
  </si>
  <si>
    <t>LT-081008-17/KI</t>
  </si>
  <si>
    <t>LT-50389-19/NY</t>
  </si>
  <si>
    <t>LT-58694-17/KI</t>
  </si>
  <si>
    <t>LT-07068-18/KI</t>
  </si>
  <si>
    <t>LT-050532-19/KI</t>
  </si>
  <si>
    <t>LT-029758-18/BX</t>
  </si>
  <si>
    <t>LT-069770-18/QU</t>
  </si>
  <si>
    <t>LT-096258-18/KI</t>
  </si>
  <si>
    <t>LT-050123-18/RI</t>
  </si>
  <si>
    <t>LT-051006-19/NY</t>
  </si>
  <si>
    <t>LT-064508-18/QU</t>
  </si>
  <si>
    <t>HM 130106 OM</t>
  </si>
  <si>
    <t>LT-050741-19/RI</t>
  </si>
  <si>
    <t>LT-088036-18/KI</t>
  </si>
  <si>
    <t>LT-82961-16/KI</t>
  </si>
  <si>
    <t>LT-64607-19/KI</t>
  </si>
  <si>
    <t>LT-029419-18/BX</t>
  </si>
  <si>
    <t>LT-063666-19/KI</t>
  </si>
  <si>
    <t>1579/2017</t>
  </si>
  <si>
    <t>LT-059294-19/KI</t>
  </si>
  <si>
    <t>LT-76589-18/NY</t>
  </si>
  <si>
    <t>LT-009301-19/BX</t>
  </si>
  <si>
    <t>LT-51446-18/RI</t>
  </si>
  <si>
    <t>LT-016036-19/BX</t>
  </si>
  <si>
    <t>LT-053323-18/QU</t>
  </si>
  <si>
    <t>LT-080317-18/KI</t>
  </si>
  <si>
    <t>LT-073427-18/NY</t>
  </si>
  <si>
    <t>LT-085021-18/KI</t>
  </si>
  <si>
    <t>LT-088144-18/KI</t>
  </si>
  <si>
    <t>LT-020497-19/BX</t>
  </si>
  <si>
    <t>LT-055909-19/KI</t>
  </si>
  <si>
    <t xml:space="preserve">LT-085240-18/KI </t>
  </si>
  <si>
    <t>LT-068555-18/QU</t>
  </si>
  <si>
    <t>LT-055593-18/KI</t>
  </si>
  <si>
    <t>LT-6258-18/KI</t>
  </si>
  <si>
    <t>LT- 003812-18/KI</t>
  </si>
  <si>
    <t>LT-060994-18/NY</t>
  </si>
  <si>
    <t>LT-065828-19/KI</t>
  </si>
  <si>
    <t>451329/2018</t>
  </si>
  <si>
    <t>LT-57380-19/QU</t>
  </si>
  <si>
    <t>LT-69807-18/NY</t>
  </si>
  <si>
    <t>LT-056734-18/BX</t>
  </si>
  <si>
    <t>LT-052839-19/NY</t>
  </si>
  <si>
    <t>NONE</t>
  </si>
  <si>
    <t>LT-082361-18/KI</t>
  </si>
  <si>
    <t>LT-063919-18/QU</t>
  </si>
  <si>
    <t>LT-050657-19/QU</t>
  </si>
  <si>
    <t>LT-074577-18/KI</t>
  </si>
  <si>
    <t>LT-003383-18/KI</t>
  </si>
  <si>
    <t>LT-000579-19/KI</t>
  </si>
  <si>
    <t>LT-055254-19/QU</t>
  </si>
  <si>
    <t>LT-50481-19/RI</t>
  </si>
  <si>
    <t>LT-057505-18/BX</t>
  </si>
  <si>
    <t>LT-030267-18/BX</t>
  </si>
  <si>
    <t>LT-058350-18/BX</t>
  </si>
  <si>
    <t>LT-89829-18/KI</t>
  </si>
  <si>
    <t>LT-006659-18/BX</t>
  </si>
  <si>
    <t>051332/19</t>
  </si>
  <si>
    <t>LT-00322-19/QU</t>
  </si>
  <si>
    <t>LT-053238-18/RI</t>
  </si>
  <si>
    <t>LT-048446-17/KI</t>
  </si>
  <si>
    <t>LT-062489-19/NY</t>
  </si>
  <si>
    <t>LT-012964-18/BX</t>
  </si>
  <si>
    <t>LT-006139-18/QU</t>
  </si>
  <si>
    <t>LT-067757-18/BX</t>
  </si>
  <si>
    <t>LT-007084-19/BX</t>
  </si>
  <si>
    <t>LT-053652-18/RI</t>
  </si>
  <si>
    <t>LT-061061-19/NY</t>
  </si>
  <si>
    <t>LT-05281-18/RI</t>
  </si>
  <si>
    <t>LT-54967-19/NY</t>
  </si>
  <si>
    <t>LT-050411-19/QU</t>
  </si>
  <si>
    <t>LT-029470-17/BX</t>
  </si>
  <si>
    <t>LT-053082-19/QU</t>
  </si>
  <si>
    <t>LT-096533-18/KI</t>
  </si>
  <si>
    <t>LT-092112-17/KI</t>
  </si>
  <si>
    <t>LT-052785-19/KI</t>
  </si>
  <si>
    <t>LT-053119-19/KI</t>
  </si>
  <si>
    <t>LT-78320-18/NY</t>
  </si>
  <si>
    <t>LT-058751-17/QU</t>
  </si>
  <si>
    <t>LT-519412-18/RI</t>
  </si>
  <si>
    <t>LT-0044541-15/BX</t>
  </si>
  <si>
    <t>LT-063326-18/BX</t>
  </si>
  <si>
    <t>LT-006663-19/BX</t>
  </si>
  <si>
    <t>LT-050381-19/RI</t>
  </si>
  <si>
    <t>LT-003811-16/BX</t>
  </si>
  <si>
    <t>LT-251420-18/NY</t>
  </si>
  <si>
    <t>LT-032730-18/BX</t>
  </si>
  <si>
    <t>LT-1681-18/NY</t>
  </si>
  <si>
    <t>LT-001355-18/QU</t>
  </si>
  <si>
    <t>LT-604733-18/BX</t>
  </si>
  <si>
    <t>LT-073102-18/QU</t>
  </si>
  <si>
    <t>LT-033395-18/BX</t>
  </si>
  <si>
    <t>LT-071482-18/KI</t>
  </si>
  <si>
    <t>LT-053308-19/KI</t>
  </si>
  <si>
    <t>LT-56459/18-NY</t>
  </si>
  <si>
    <t>LT-071257-18/QU</t>
  </si>
  <si>
    <t>LT-050440-19/KI</t>
  </si>
  <si>
    <t>LT-050289-19/QU</t>
  </si>
  <si>
    <t>LT-050968-19/KI</t>
  </si>
  <si>
    <t>LT-009297-19/BX</t>
  </si>
  <si>
    <t>LT-074282-18/QU</t>
  </si>
  <si>
    <t>LT-065438-18/KI</t>
  </si>
  <si>
    <t>LT-52930-18/RI</t>
  </si>
  <si>
    <t>LT-000174-18/RI</t>
  </si>
  <si>
    <t>LT-052781-18/RI</t>
  </si>
  <si>
    <t>LT-068647-18/QU</t>
  </si>
  <si>
    <t>LT-086826-18/KI</t>
  </si>
  <si>
    <t>LT-052865-19/KI</t>
  </si>
  <si>
    <t>LT-056440-19/KI</t>
  </si>
  <si>
    <t>LT-027121-19/BX</t>
  </si>
  <si>
    <t>LT-079272-18/NY</t>
  </si>
  <si>
    <t>LT-044066-18/BX</t>
  </si>
  <si>
    <t>LT-051222-19</t>
  </si>
  <si>
    <t>LT-059658-19/NY</t>
  </si>
  <si>
    <t>LT-250590-19/NY</t>
  </si>
  <si>
    <t>LT-014802-19/KI</t>
  </si>
  <si>
    <t>LT-58112-19/QU</t>
  </si>
  <si>
    <t>LT-064640-18/NY</t>
  </si>
  <si>
    <t>LT-063293-18/QU</t>
  </si>
  <si>
    <t>LT-069776-18/QU</t>
  </si>
  <si>
    <t>LT-088200-17/KI</t>
  </si>
  <si>
    <t>LT-073178-18/KI</t>
  </si>
  <si>
    <t>LT-067527-18/NY</t>
  </si>
  <si>
    <t>FV-610044-OM</t>
  </si>
  <si>
    <t>LT-80394-18/KI</t>
  </si>
  <si>
    <t>LT-041047-18/BX</t>
  </si>
  <si>
    <t>LT-68682-18/NY</t>
  </si>
  <si>
    <t>LT-072396-18/KI</t>
  </si>
  <si>
    <t>LT-015339-18/KI</t>
  </si>
  <si>
    <t>LT-060144-18/QU</t>
  </si>
  <si>
    <t>LT-071426-18/QU</t>
  </si>
  <si>
    <t>LT-65097-18/QU</t>
  </si>
  <si>
    <t>LT-037657-18/BX</t>
  </si>
  <si>
    <t>LT-039359-18/BX</t>
  </si>
  <si>
    <t>LT-051836-18/RI</t>
  </si>
  <si>
    <t>LT-023744-19/BX</t>
  </si>
  <si>
    <t>LT-057461-19/KI</t>
  </si>
  <si>
    <t>LT-057004-19/NY</t>
  </si>
  <si>
    <t>LT-018295-18/NY</t>
  </si>
  <si>
    <t>LT-070293-18/QU</t>
  </si>
  <si>
    <t>LT-072419-18/KI</t>
  </si>
  <si>
    <t>LT-085568-18/KI</t>
  </si>
  <si>
    <t>LT-451656-17/NY</t>
  </si>
  <si>
    <t>LT-050853-19/RI</t>
  </si>
  <si>
    <t>LT-55642-18/QU</t>
  </si>
  <si>
    <t>LT-062922-18/BX</t>
  </si>
  <si>
    <t>LT-055511-19/KI</t>
  </si>
  <si>
    <t>LT-077433-18/NY</t>
  </si>
  <si>
    <t>LT-079777-18/KI</t>
  </si>
  <si>
    <t>LT-78626-18/NY</t>
  </si>
  <si>
    <t>LT-066547-18/QU</t>
  </si>
  <si>
    <t>LT-068893-18/QU</t>
  </si>
  <si>
    <t>LT-050473-19/RI</t>
  </si>
  <si>
    <t>LT-063442-18/BX</t>
  </si>
  <si>
    <t>LT-005856-19/BX</t>
  </si>
  <si>
    <t>GQ-610029-B</t>
  </si>
  <si>
    <t>LT-059797-19/QU</t>
  </si>
  <si>
    <t>LT-072216-18/KI</t>
  </si>
  <si>
    <t>93331/2018</t>
  </si>
  <si>
    <t>LT-001680-18/NY</t>
  </si>
  <si>
    <t>LT-087625-18/KI</t>
  </si>
  <si>
    <t>LT-0622017-19/QU</t>
  </si>
  <si>
    <t>LT-033911-18/BX</t>
  </si>
  <si>
    <t>LT-074169-18/KI</t>
  </si>
  <si>
    <t>LT-052770-18/RI</t>
  </si>
  <si>
    <t>LT-052791-18/RI</t>
  </si>
  <si>
    <t>LT-059393-17/NY</t>
  </si>
  <si>
    <t>260188/2018</t>
  </si>
  <si>
    <t>LT-039826-18/BX</t>
  </si>
  <si>
    <t>LT-65309-18/NY</t>
  </si>
  <si>
    <t>LT-090458-18/KI</t>
  </si>
  <si>
    <t>LT-060549-19/NY</t>
  </si>
  <si>
    <t>LT-60432-17/NY</t>
  </si>
  <si>
    <t>LT-87325-18/KI</t>
  </si>
  <si>
    <t>LT-090878-18/KI</t>
  </si>
  <si>
    <t>LT-51873-18/RI</t>
  </si>
  <si>
    <t>LT-002370-17/KI</t>
  </si>
  <si>
    <t>LT-092266-18/KI</t>
  </si>
  <si>
    <t>LT-064040-18/NY</t>
  </si>
  <si>
    <t>LT-092404-18/KI</t>
  </si>
  <si>
    <t>LT-048820-18/BX</t>
  </si>
  <si>
    <t>LT-053418-17/RI</t>
  </si>
  <si>
    <t>LT-065893-18/NY</t>
  </si>
  <si>
    <t>LT-059335-18/BX</t>
  </si>
  <si>
    <t>LT-061436-18/KI</t>
  </si>
  <si>
    <t>LT-059657-19/KI</t>
  </si>
  <si>
    <t>LT-05850219/QU</t>
  </si>
  <si>
    <t>18-10159</t>
  </si>
  <si>
    <t>LT-071999-18/QU</t>
  </si>
  <si>
    <t>LT-093368-18/KI</t>
  </si>
  <si>
    <t>LT-082835-18/KI</t>
  </si>
  <si>
    <t>LT-052841-19/KI</t>
  </si>
  <si>
    <t>LT-001919-18/NY</t>
  </si>
  <si>
    <t>LT-095865-18/KI</t>
  </si>
  <si>
    <t>LT-059228-18/QU</t>
  </si>
  <si>
    <t>LT-067729-18/QU</t>
  </si>
  <si>
    <t>LT-251111-18/NY</t>
  </si>
  <si>
    <t>LT-003808-18/KI</t>
  </si>
  <si>
    <t>LT-200123-18/NY</t>
  </si>
  <si>
    <t>LT-039030-18/BX</t>
  </si>
  <si>
    <t>LT-080058-18/NY</t>
  </si>
  <si>
    <t>LT-089484-18/KI</t>
  </si>
  <si>
    <t>LT-057797-19/NY</t>
  </si>
  <si>
    <t>LT-062540-18/QU</t>
  </si>
  <si>
    <t>LT-061420-18/NY</t>
  </si>
  <si>
    <t>LT-251009-18/NY</t>
  </si>
  <si>
    <t>LT-031708-18/BX</t>
  </si>
  <si>
    <t>LT-073342-18/KI</t>
  </si>
  <si>
    <t>LT-063812-18/QU</t>
  </si>
  <si>
    <t>LT-059384-19/KI</t>
  </si>
  <si>
    <t>no case as of April 2018</t>
  </si>
  <si>
    <t>LT-93067-18/KI</t>
  </si>
  <si>
    <t>LT-062593-18/NY</t>
  </si>
  <si>
    <t>LT-072674-18/KI</t>
  </si>
  <si>
    <t>LT-010159-18/BX</t>
  </si>
  <si>
    <t>LT-043202-18/BX</t>
  </si>
  <si>
    <t>LT-55186-18/KI</t>
  </si>
  <si>
    <t>LT-063774-18/QU</t>
  </si>
  <si>
    <t>LT-062392-18/BX</t>
  </si>
  <si>
    <t>LT-037923-18/BX</t>
  </si>
  <si>
    <t>LT-081279-16/QU</t>
  </si>
  <si>
    <t>LT-064998-18/NY</t>
  </si>
  <si>
    <t>LT-57875-19/NY</t>
  </si>
  <si>
    <t>LT-056822-18/KI</t>
  </si>
  <si>
    <t>LT-088662-18/KI</t>
  </si>
  <si>
    <t>LT-059137-18/BX</t>
  </si>
  <si>
    <t>LT-089318-17/KI</t>
  </si>
  <si>
    <t>LT-94436-18/KI</t>
  </si>
  <si>
    <t>LT-480874-18/BX</t>
  </si>
  <si>
    <t>LT-064219-18/QU</t>
  </si>
  <si>
    <t>LT-11426-19/QU</t>
  </si>
  <si>
    <t>LT-061106-19/NY</t>
  </si>
  <si>
    <t>LT-064550-19/KI</t>
  </si>
  <si>
    <t>FQ-220003-RE</t>
  </si>
  <si>
    <t>LT-053962-19/KI</t>
  </si>
  <si>
    <t>LT-058173-19/KI</t>
  </si>
  <si>
    <t>LT-006199-19/BX</t>
  </si>
  <si>
    <t>LT-050964-18/KI</t>
  </si>
  <si>
    <t>LT-018615-17/NY</t>
  </si>
  <si>
    <t>LT-688769-18/NY</t>
  </si>
  <si>
    <t>LT-057034-19/QU</t>
  </si>
  <si>
    <t>LT-094913-18/KI</t>
  </si>
  <si>
    <t>LT-51670-18/RI</t>
  </si>
  <si>
    <t>LT-055862-18/BX</t>
  </si>
  <si>
    <t>LT-060353-19/QU</t>
  </si>
  <si>
    <t>LT-052417-18/RI</t>
  </si>
  <si>
    <t>LT-071803-18/KI</t>
  </si>
  <si>
    <t>LT-097297-18/KI</t>
  </si>
  <si>
    <t>GS-210012-OM</t>
  </si>
  <si>
    <t>LT-055771-19/QU</t>
  </si>
  <si>
    <t>LT-001681-18/NY</t>
  </si>
  <si>
    <t>LT-3064-18/BX</t>
  </si>
  <si>
    <t>LT-027298-19/BX</t>
  </si>
  <si>
    <t>LT-078967-18/KI</t>
  </si>
  <si>
    <t>LT-004686-19/BX</t>
  </si>
  <si>
    <t>LT-034725-18/BX</t>
  </si>
  <si>
    <t>LT-053117-18/RI</t>
  </si>
  <si>
    <t>LT-052141-18/RI</t>
  </si>
  <si>
    <t>LT-056734-19/QU</t>
  </si>
  <si>
    <t>LT-071603-18/QU</t>
  </si>
  <si>
    <t>LT-037345-18/BX</t>
  </si>
  <si>
    <t>LT-051904-18/RI</t>
  </si>
  <si>
    <t>LT-075056-18/QU</t>
  </si>
  <si>
    <t>LT-062243-19/KI</t>
  </si>
  <si>
    <t>LT-050282-19/RI</t>
  </si>
  <si>
    <t>LT-070911-18/QU</t>
  </si>
  <si>
    <t>LT-040546-18/BX</t>
  </si>
  <si>
    <t>LT-054723-19/NY</t>
  </si>
  <si>
    <t>LT-69760-18/KI</t>
  </si>
  <si>
    <t>LT-097401-18/KI</t>
  </si>
  <si>
    <t>300015/2019</t>
  </si>
  <si>
    <t>94810/2018</t>
  </si>
  <si>
    <t>LT-048819-18/BX</t>
  </si>
  <si>
    <t>LT-063303-19/KI</t>
  </si>
  <si>
    <t>LT-94811-18/KI</t>
  </si>
  <si>
    <t>LT-70144-18/KI</t>
  </si>
  <si>
    <t>LT-200119-17/NY</t>
  </si>
  <si>
    <t>LT-057049-18/QU</t>
  </si>
  <si>
    <t>LT-000801-18/BX</t>
  </si>
  <si>
    <t>LT-059077-19/KI</t>
  </si>
  <si>
    <t>LT-056495-19/QU</t>
  </si>
  <si>
    <t>LT-043319-18/BX</t>
  </si>
  <si>
    <t>LT-066840-18/KI</t>
  </si>
  <si>
    <t>LT-057076-19/QU</t>
  </si>
  <si>
    <t>155/18</t>
  </si>
  <si>
    <t>LT-020170-18/BX</t>
  </si>
  <si>
    <t>042029/2016</t>
  </si>
  <si>
    <t>LT-063023-17/BX</t>
  </si>
  <si>
    <t>LT-052513-19/QU</t>
  </si>
  <si>
    <t>LT-070279-18/QU</t>
  </si>
  <si>
    <t>GR 210001 B</t>
  </si>
  <si>
    <t>LT-057519-19/NY</t>
  </si>
  <si>
    <t>LT-070453-18/QU</t>
  </si>
  <si>
    <t>LT-070186-18/QU</t>
  </si>
  <si>
    <t>GS-610032-R</t>
  </si>
  <si>
    <t>LT-782831-18/KI</t>
  </si>
  <si>
    <t>LT-068891-18/BX</t>
  </si>
  <si>
    <t>LT-051933-19/QU</t>
  </si>
  <si>
    <t>LT-062485-19/NY</t>
  </si>
  <si>
    <t>LT-091750-18/KI</t>
  </si>
  <si>
    <t>LT-252431-18/NY</t>
  </si>
  <si>
    <t>GR-210054-S</t>
  </si>
  <si>
    <t>LT-065085-18/NY</t>
  </si>
  <si>
    <t>LT-002939-18/KI</t>
  </si>
  <si>
    <t>LT-092515-17/KI</t>
  </si>
  <si>
    <t>LT-037648-18/BX</t>
  </si>
  <si>
    <t>LT-000838-18/KI</t>
  </si>
  <si>
    <t>LT-067376-18/KI</t>
  </si>
  <si>
    <t>LT-000373-19/QU</t>
  </si>
  <si>
    <t>CV-007622-19/BX</t>
  </si>
  <si>
    <t>LT-086497-18/NY</t>
  </si>
  <si>
    <t>CV-000826-19/RI</t>
  </si>
  <si>
    <t>LT-1860-18/NY</t>
  </si>
  <si>
    <t>LT-000347-19/QU</t>
  </si>
  <si>
    <t>LT-021547-17/BX</t>
  </si>
  <si>
    <t>LT-059281-18/QU</t>
  </si>
  <si>
    <t>LT-075242-16/KI</t>
  </si>
  <si>
    <t>LT-80514-17/NY</t>
  </si>
  <si>
    <t>LT-031369-18/BX</t>
  </si>
  <si>
    <t>LT-069318-17/BX</t>
  </si>
  <si>
    <t>LT-63687-19/KI</t>
  </si>
  <si>
    <t>LT-075396-18/KI</t>
  </si>
  <si>
    <t>LT-070880-18/QU</t>
  </si>
  <si>
    <t>LT-059900-19/NY</t>
  </si>
  <si>
    <t>LT-051535-18/QU</t>
  </si>
  <si>
    <t>LT-059926-18/NY</t>
  </si>
  <si>
    <t>LT-59886-18/NY</t>
  </si>
  <si>
    <t>LT-051635-18/RI</t>
  </si>
  <si>
    <t>LT-000149-18/RI</t>
  </si>
  <si>
    <t>LT-057233-18/BX</t>
  </si>
  <si>
    <t>LT-077764-18/KI</t>
  </si>
  <si>
    <t>LT-084686-18/KI</t>
  </si>
  <si>
    <t>LT-014073-18/QU</t>
  </si>
  <si>
    <t>LT-014187-18/QU</t>
  </si>
  <si>
    <t>LT-014225-18/QU</t>
  </si>
  <si>
    <t>LT-060153</t>
  </si>
  <si>
    <t>LT-092672-18/KI</t>
  </si>
  <si>
    <t>LT-094203-18/KI</t>
  </si>
  <si>
    <t>LT-058414-18/KI</t>
  </si>
  <si>
    <t>LT-063685-18/NY</t>
  </si>
  <si>
    <t>LT-055130-18/NY</t>
  </si>
  <si>
    <t>LT-000136-18/NY</t>
  </si>
  <si>
    <t>LT-095560-18/KI</t>
  </si>
  <si>
    <t>LT-072310-18/QU</t>
  </si>
  <si>
    <t>LT-096372-18/KI</t>
  </si>
  <si>
    <t>LT-052960-19/KI</t>
  </si>
  <si>
    <t>LT-076837-18/KI</t>
  </si>
  <si>
    <t>6612-19</t>
  </si>
  <si>
    <t>S24355</t>
  </si>
  <si>
    <t>LT-093040-18/KI</t>
  </si>
  <si>
    <t>LT-59715-19/NY</t>
  </si>
  <si>
    <t>LT-065791-18/QU</t>
  </si>
  <si>
    <t>LT-65791-18/QU</t>
  </si>
  <si>
    <t>LT-058353-19/KI</t>
  </si>
  <si>
    <t>LT-023403-19/BX</t>
  </si>
  <si>
    <t>LT-070492-18/QU</t>
  </si>
  <si>
    <t>LT-069569-18/QU</t>
  </si>
  <si>
    <t>LT-077275-18/QU</t>
  </si>
  <si>
    <t>LT-064760-18/NY</t>
  </si>
  <si>
    <t>M-H-G-17-27485</t>
  </si>
  <si>
    <t>LT-036721-18/BX</t>
  </si>
  <si>
    <t>LT-067250-18/NY</t>
  </si>
  <si>
    <t>LT-068890-17/BX</t>
  </si>
  <si>
    <t>LT-093578-18/KI</t>
  </si>
  <si>
    <t>LT-028334-18/BX</t>
  </si>
  <si>
    <t>LT-001259-18/NY</t>
  </si>
  <si>
    <t>LT-051326-19/RI</t>
  </si>
  <si>
    <t>M-H-G-16-1032856</t>
  </si>
  <si>
    <t>LT-074637-18/QU</t>
  </si>
  <si>
    <t>LT-056277-18/BX</t>
  </si>
  <si>
    <t>LT-61607-17/NY</t>
  </si>
  <si>
    <t>LT-019369-18/BX</t>
  </si>
  <si>
    <t>LT-078530-18/KI</t>
  </si>
  <si>
    <t>LT-077818-18/KI</t>
  </si>
  <si>
    <t>LT-054816-19/KI</t>
  </si>
  <si>
    <t>LT-005278-19/BX</t>
  </si>
  <si>
    <t>LT-023533-18/BX</t>
  </si>
  <si>
    <t>LT-068258-18//QU</t>
  </si>
  <si>
    <t>LT-041049-18/BX</t>
  </si>
  <si>
    <t>LT-050720-19/RI</t>
  </si>
  <si>
    <t>LT-076452-18/KI</t>
  </si>
  <si>
    <t>no case as of 3/1/19</t>
  </si>
  <si>
    <t>LT-061380-19/NY</t>
  </si>
  <si>
    <t>LT-096618-18/KI</t>
  </si>
  <si>
    <t>LT-06300-18/QU</t>
  </si>
  <si>
    <t>LT-01490-18/KI</t>
  </si>
  <si>
    <t>LT- 059724-19/KI</t>
  </si>
  <si>
    <t>LT-046525-18/BX</t>
  </si>
  <si>
    <t>LT-064368-18/QU</t>
  </si>
  <si>
    <t>LT-20777-19/BX</t>
  </si>
  <si>
    <t>LT-053757-19/QU</t>
  </si>
  <si>
    <t>LT-028513-18/BX</t>
  </si>
  <si>
    <t>LT-060102-18/NY</t>
  </si>
  <si>
    <t>LT-069456-18/QU</t>
  </si>
  <si>
    <t>LT-097407-18/KI</t>
  </si>
  <si>
    <t>LT-066745-18/KI</t>
  </si>
  <si>
    <t>LT-054692-19/NY</t>
  </si>
  <si>
    <t>LT-073766-18/QU</t>
  </si>
  <si>
    <t>LT-067981-18/QU</t>
  </si>
  <si>
    <t xml:space="preserve">LT-085567-18/KI </t>
  </si>
  <si>
    <t>LT-001380-19/BX</t>
  </si>
  <si>
    <t>LT-096652-18/KI</t>
  </si>
  <si>
    <t>LT-050690-19/RI</t>
  </si>
  <si>
    <t>LT-54557/19-NY</t>
  </si>
  <si>
    <t>LT-063289-19/KI</t>
  </si>
  <si>
    <t>LT-082279-18/KI</t>
  </si>
  <si>
    <t>LT-73274-18/QU</t>
  </si>
  <si>
    <t>LT-77087-18/KI</t>
  </si>
  <si>
    <t>LT-060728-19/QU</t>
  </si>
  <si>
    <t>LT-058477-19/KI</t>
  </si>
  <si>
    <t>LT-095284-18/KI</t>
  </si>
  <si>
    <t>LT-088140-18/KI</t>
  </si>
  <si>
    <t>LT-059882-18/NY</t>
  </si>
  <si>
    <t>LT-059007-19/KI</t>
  </si>
  <si>
    <t>LT-054826-19/NY</t>
  </si>
  <si>
    <t>LT-067339-18/NY</t>
  </si>
  <si>
    <t>LT-066176-18/NY</t>
  </si>
  <si>
    <t>LT-058629-19/KI</t>
  </si>
  <si>
    <t>LT-73624-18/KI</t>
  </si>
  <si>
    <t>LT-80105-18/KI</t>
  </si>
  <si>
    <t>LT-033922-18/BX</t>
  </si>
  <si>
    <t>LT-252378-18/NY</t>
  </si>
  <si>
    <t>LT-047367-18/BX</t>
  </si>
  <si>
    <t>LT-054966-19/QU</t>
  </si>
  <si>
    <t>HR 610005 B</t>
  </si>
  <si>
    <t>LT-083728-18/KI</t>
  </si>
  <si>
    <t>LT-052165-19/KI</t>
  </si>
  <si>
    <t>LT-069384-18/KI</t>
  </si>
  <si>
    <t>HP-210189-S</t>
  </si>
  <si>
    <t>LT-032562-18/BX</t>
  </si>
  <si>
    <t>LT-251686-18/NY</t>
  </si>
  <si>
    <t>LT-052244-18/RI</t>
  </si>
  <si>
    <t>LT-070890-18/QU</t>
  </si>
  <si>
    <t>LT-004227-19/BX</t>
  </si>
  <si>
    <t>LT-079643-18/KI</t>
  </si>
  <si>
    <t>LT-087321-18/KI</t>
  </si>
  <si>
    <t>LT-068180-19/KI</t>
  </si>
  <si>
    <t>LT-069431-18/QU</t>
  </si>
  <si>
    <t>LT-087064-18/KI</t>
  </si>
  <si>
    <t>LT-025217-18/BX</t>
  </si>
  <si>
    <t>LT-070046-18/KI</t>
  </si>
  <si>
    <t>LT-056875-19/QU</t>
  </si>
  <si>
    <t>FX210214S</t>
  </si>
  <si>
    <t>LT-064773-18/BX</t>
  </si>
  <si>
    <t>LT-057467-19/NY</t>
  </si>
  <si>
    <t>LT-59885-19/NY</t>
  </si>
  <si>
    <t>LT-065879-19/KI</t>
  </si>
  <si>
    <t>LT-063304-2019</t>
  </si>
  <si>
    <t>LT-052279-18/RI</t>
  </si>
  <si>
    <t>006844-19</t>
  </si>
  <si>
    <t>287-19/KI</t>
  </si>
  <si>
    <t>LT-051928-18/RI</t>
  </si>
  <si>
    <t>LT-022753-18/BX</t>
  </si>
  <si>
    <t>LT-051048-19/NY</t>
  </si>
  <si>
    <t>LT-074207-18/KI</t>
  </si>
  <si>
    <t>LT-080600-17/QU</t>
  </si>
  <si>
    <t>LT-022923-18/BX</t>
  </si>
  <si>
    <t>LT-15538-19/BX</t>
  </si>
  <si>
    <t>LT-072072-18/QU</t>
  </si>
  <si>
    <t>LT-059322-18/QU</t>
  </si>
  <si>
    <t>LT-034759-18/BX</t>
  </si>
  <si>
    <t>LT-062124-18/NY</t>
  </si>
  <si>
    <t>LT-006147-18/KI</t>
  </si>
  <si>
    <t>LT-060524-19/QU</t>
  </si>
  <si>
    <t>LT-001912-16/KI</t>
  </si>
  <si>
    <t>LT-66185-18/NY</t>
  </si>
  <si>
    <t>LT-95270-18/KI</t>
  </si>
  <si>
    <t>LT-075543-18/QU</t>
  </si>
  <si>
    <t>LT-003929-18/KI</t>
  </si>
  <si>
    <t>LT-060570-19/NY</t>
  </si>
  <si>
    <t>LT-066162-18/QU</t>
  </si>
  <si>
    <t>LT-064762-18/QU</t>
  </si>
  <si>
    <t>LT-053980-19/KI</t>
  </si>
  <si>
    <t>LT-062145-19/KI</t>
  </si>
  <si>
    <t>client to provide</t>
  </si>
  <si>
    <t>LT-53460-18/RI</t>
  </si>
  <si>
    <t>LT-096052-18/KI</t>
  </si>
  <si>
    <t>LT-062184-18/QU</t>
  </si>
  <si>
    <t>LT-074618-18/NY</t>
  </si>
  <si>
    <t>LT-057794-19/NY</t>
  </si>
  <si>
    <t>LT-059107-19/NY</t>
  </si>
  <si>
    <t>LT-073047-18/QU</t>
  </si>
  <si>
    <t>LT-063236-18/BX</t>
  </si>
  <si>
    <t>LT-069169-18/NY</t>
  </si>
  <si>
    <t>LT-51639-19/KI</t>
  </si>
  <si>
    <t>LT-052413-18/RI</t>
  </si>
  <si>
    <t>LT-053427-18/RI</t>
  </si>
  <si>
    <t>LT-073677-18/KI</t>
  </si>
  <si>
    <t>LT-057361-18/QU</t>
  </si>
  <si>
    <t>None yet</t>
  </si>
  <si>
    <t>LT-087369-18/KI</t>
  </si>
  <si>
    <t>LT-052201-19/KI</t>
  </si>
  <si>
    <t>LT-062457-19/KI</t>
  </si>
  <si>
    <t>LT-065814-18/QU</t>
  </si>
  <si>
    <t>LT-093597-17/KI</t>
  </si>
  <si>
    <t>LT-002608-18/KI</t>
  </si>
  <si>
    <t>LT-061344-18/QU</t>
  </si>
  <si>
    <t>LT-076743-18/KI</t>
  </si>
  <si>
    <t>LT-88600-18/KI</t>
  </si>
  <si>
    <t>LT-062358-18/KI</t>
  </si>
  <si>
    <t>LT-053039-19/QU</t>
  </si>
  <si>
    <t>LT-052273-19/QU</t>
  </si>
  <si>
    <t>LT-95269-18</t>
  </si>
  <si>
    <t>LT-073731-18/QU</t>
  </si>
  <si>
    <t>57887/2019</t>
  </si>
  <si>
    <t>LT-050513-18/RI</t>
  </si>
  <si>
    <t>LT-085494-17/KI</t>
  </si>
  <si>
    <t>LT-062243-19/QU</t>
  </si>
  <si>
    <t>LT-002246-17/KI</t>
  </si>
  <si>
    <t>LT-055149-19/NY</t>
  </si>
  <si>
    <t>LT-83464-18/KI</t>
  </si>
  <si>
    <t>LT-082955-18/KI</t>
  </si>
  <si>
    <t>LT-083207-18/KI</t>
  </si>
  <si>
    <t>LT-038795-18/BX</t>
  </si>
  <si>
    <t>LT-062635-18/NY</t>
  </si>
  <si>
    <t>LT-074803-18/KI</t>
  </si>
  <si>
    <t>LT-029158-18/BX</t>
  </si>
  <si>
    <t>LT-001882-19/BX</t>
  </si>
  <si>
    <t>LT-086504-18/KI</t>
  </si>
  <si>
    <t>LT-028828-18/BX</t>
  </si>
  <si>
    <t>LT-060758-18/KI</t>
  </si>
  <si>
    <t>LT-063115-18/NY</t>
  </si>
  <si>
    <t>LT-096694-18/KI</t>
  </si>
  <si>
    <t>LT-061985-18/NY</t>
  </si>
  <si>
    <t>LT-063594-19/KI</t>
  </si>
  <si>
    <t>LT-00237-19/QU</t>
  </si>
  <si>
    <t>LT-058928-18/QU</t>
  </si>
  <si>
    <t>LT-077041-18/QU</t>
  </si>
  <si>
    <t>LT-001176-18/QU</t>
  </si>
  <si>
    <t>LT-066283-18/KI</t>
  </si>
  <si>
    <t>LT-093707-17/KI</t>
  </si>
  <si>
    <t>LT-089315-17/KI</t>
  </si>
  <si>
    <t>LT-050657-19/RI</t>
  </si>
  <si>
    <t>LT-074577-17/QU</t>
  </si>
  <si>
    <t>LT-066383-18/BX</t>
  </si>
  <si>
    <t>LT-054594-17/KI</t>
  </si>
  <si>
    <t>LT-051542-19/KI</t>
  </si>
  <si>
    <t>LT-052745-19/KI</t>
  </si>
  <si>
    <t>LT-051513-19/RI</t>
  </si>
  <si>
    <t>LT-072787-18/KI</t>
  </si>
  <si>
    <t>LT-013952-18/QU</t>
  </si>
  <si>
    <t>LT-039024-18/BX</t>
  </si>
  <si>
    <t>LT-063375-18/KI</t>
  </si>
  <si>
    <t>LT-079487-18/KI</t>
  </si>
  <si>
    <t>LT-087145-18/KI</t>
  </si>
  <si>
    <t>LT-066517-19/KI</t>
  </si>
  <si>
    <t>LT-036266-18/BX</t>
  </si>
  <si>
    <t>LT-050321-19/RI</t>
  </si>
  <si>
    <t>LT-053099-18/RI</t>
  </si>
  <si>
    <t>LT-251014-18/NY</t>
  </si>
  <si>
    <t>PA Issue: FEPS</t>
  </si>
  <si>
    <t>Section 8 HQS</t>
  </si>
  <si>
    <t>Mitchell-Lama Termination</t>
  </si>
  <si>
    <t>NYCHA Housing Grievance</t>
  </si>
  <si>
    <t>Appeal-Appellate Term</t>
  </si>
  <si>
    <t>Mitchell-Lama RFM</t>
  </si>
  <si>
    <t>Affirmative Litigation Federal</t>
  </si>
  <si>
    <t>NYCHA Housing Termination</t>
  </si>
  <si>
    <t>Certificate of No Harassment Case</t>
  </si>
  <si>
    <t>PA Issue: LINC</t>
  </si>
  <si>
    <t xml:space="preserve">Brief Service </t>
  </si>
  <si>
    <t>Representation—EOIR</t>
  </si>
  <si>
    <t>LT-055204-19/KI</t>
  </si>
  <si>
    <t>LT-097350-18/KI</t>
  </si>
  <si>
    <t>LT-084760-18/KI</t>
  </si>
  <si>
    <t>LT-096536-18/KI</t>
  </si>
  <si>
    <t>LT-060098-19/KI</t>
  </si>
  <si>
    <t>LT-048357-18/BX</t>
  </si>
  <si>
    <t>LT-059228-19/KI</t>
  </si>
  <si>
    <t>LT-073327-18/QU</t>
  </si>
  <si>
    <t>LT-056118-18/BX</t>
  </si>
  <si>
    <t>LT-84032-18/KI</t>
  </si>
  <si>
    <t>LT-066567-18/KI</t>
  </si>
  <si>
    <t>LT-072292-18/KI</t>
  </si>
  <si>
    <t>LT-53763-19/KI</t>
  </si>
  <si>
    <t>LT-051150-19/QU</t>
  </si>
  <si>
    <t>LT-053280-19/QU</t>
  </si>
  <si>
    <t>LT-059864-19/QU</t>
  </si>
  <si>
    <t>LT-059177-19/QU</t>
  </si>
  <si>
    <t>LT-050361-18/QU</t>
  </si>
  <si>
    <t>LT-058185-19/QU</t>
  </si>
  <si>
    <t>LT-071774-18/QU</t>
  </si>
  <si>
    <t>LT-071513-18/QU</t>
  </si>
  <si>
    <t>LT-071051-18/QU</t>
  </si>
  <si>
    <t>LT-77457-18/QU</t>
  </si>
  <si>
    <t>LT-053425-19/QU</t>
  </si>
  <si>
    <t>LT-056405-18/BX</t>
  </si>
  <si>
    <t>LT-006200-19-BX</t>
  </si>
  <si>
    <t>LT-054156-18/QU</t>
  </si>
  <si>
    <t>LT-064196-19/KI</t>
  </si>
  <si>
    <t>LT-082168-18/KI</t>
  </si>
  <si>
    <t>LT-75828-18/KI</t>
  </si>
  <si>
    <t>LT-007876-19/BX</t>
  </si>
  <si>
    <t>LT-054056-18/BX</t>
  </si>
  <si>
    <t>LT-75689-18/KI</t>
  </si>
  <si>
    <t>LT-051847-19/KI</t>
  </si>
  <si>
    <t>LT-075409-18/KI</t>
  </si>
  <si>
    <t>LT-002718-19/BX</t>
  </si>
  <si>
    <t>LT-087605-18/KI</t>
  </si>
  <si>
    <t>LT-058735-19/KI</t>
  </si>
  <si>
    <t>LT-066917-18/BX</t>
  </si>
  <si>
    <t>LT-032351-18/BX</t>
  </si>
  <si>
    <t>LT-053103-19/KI</t>
  </si>
  <si>
    <t>LT-032397-18/BX</t>
  </si>
  <si>
    <t>LT-057357-18/QU</t>
  </si>
  <si>
    <t>LT-073648-18/KI</t>
  </si>
  <si>
    <t>LT-070654-18/QU</t>
  </si>
  <si>
    <t>LT-084844-18/KI</t>
  </si>
  <si>
    <t>006712/2018</t>
  </si>
  <si>
    <t>LT-598881-18/BX</t>
  </si>
  <si>
    <t>LT-01109-18/QU</t>
  </si>
  <si>
    <t>LT-069983-18/QU</t>
  </si>
  <si>
    <t>LT-075956-18/KI</t>
  </si>
  <si>
    <t>LT-033970-18/BX</t>
  </si>
  <si>
    <t>LT-052522-18/RI</t>
  </si>
  <si>
    <t>LT-083740-18/KI</t>
  </si>
  <si>
    <t>LT-063754-18/QU</t>
  </si>
  <si>
    <t>LT-038308-18/BX</t>
  </si>
  <si>
    <t>LT-025489-18/BX</t>
  </si>
  <si>
    <t>LT-072410-18/QU</t>
  </si>
  <si>
    <t>LT-068639-18/QU</t>
  </si>
  <si>
    <t>LT-026221-18/BX</t>
  </si>
  <si>
    <t>LT-070641-18/QU</t>
  </si>
  <si>
    <t>LT-061748-19/QU</t>
  </si>
  <si>
    <t>LT-007655-18/QU</t>
  </si>
  <si>
    <t>LT-066620-19/KI</t>
  </si>
  <si>
    <t>LT-070645-18/QU</t>
  </si>
  <si>
    <t>LT-074430-18/QU</t>
  </si>
  <si>
    <t>LT-051527-19/QU</t>
  </si>
  <si>
    <t>LT-036493-18/BX</t>
  </si>
  <si>
    <t>LT-000257-18/BX</t>
  </si>
  <si>
    <t>LT-012360-19/BX</t>
  </si>
  <si>
    <t>LT-035587-18/BX</t>
  </si>
  <si>
    <t>LT-069663-18/QU</t>
  </si>
  <si>
    <t xml:space="preserve">LT-015989-19/BX </t>
  </si>
  <si>
    <t>LT-050967-19/KI</t>
  </si>
  <si>
    <t>LT-063815-17/KI</t>
  </si>
  <si>
    <t>LT-068256-18/QU</t>
  </si>
  <si>
    <t>LT-070883-18/QU</t>
  </si>
  <si>
    <t>LT-002141-19/BX</t>
  </si>
  <si>
    <t>LT-056724-19/QU</t>
  </si>
  <si>
    <t>LT-092019-18/KI</t>
  </si>
  <si>
    <t>LT-041307-18/BX</t>
  </si>
  <si>
    <t>LT-065949-18/QU</t>
  </si>
  <si>
    <t>LT-043769-18/BX</t>
  </si>
  <si>
    <t>LT-070644-18/QU</t>
  </si>
  <si>
    <t>LT-088679-18/KI</t>
  </si>
  <si>
    <t>LT-067757-12/QU</t>
  </si>
  <si>
    <t>LT-050334-19/QU</t>
  </si>
  <si>
    <t>LT-057362-18/QU</t>
  </si>
  <si>
    <t>LT-096205-18/KI</t>
  </si>
  <si>
    <t>LT-077876-18/QU</t>
  </si>
  <si>
    <t>V#0456358; LID#902252</t>
  </si>
  <si>
    <t>LT-066169-19/KI</t>
  </si>
  <si>
    <t>LT-000841-19/KI</t>
  </si>
  <si>
    <t>LT-072727-18/QU</t>
  </si>
  <si>
    <t>LT-065589-18/QU</t>
  </si>
  <si>
    <t>LT-028070-18/BX</t>
  </si>
  <si>
    <t>LT-031252-18/BX</t>
  </si>
  <si>
    <t>HP-00578-19/QU</t>
  </si>
  <si>
    <t>LT-077759-18/KI</t>
  </si>
  <si>
    <t>LT-50896-18/RI</t>
  </si>
  <si>
    <t>LT-070514-18/QU</t>
  </si>
  <si>
    <t>LT-85659-18/KI</t>
  </si>
  <si>
    <t>LT-083648-18/KI</t>
  </si>
  <si>
    <t>LT-038079-18/BX</t>
  </si>
  <si>
    <t>LT-053161-18/RI</t>
  </si>
  <si>
    <t>no case at this time</t>
  </si>
  <si>
    <t>LT-074615-18/KI</t>
  </si>
  <si>
    <t>LT-062028-19/QU</t>
  </si>
  <si>
    <t>LT-62408-19/QU</t>
  </si>
  <si>
    <t>LT-073171-18/QU</t>
  </si>
  <si>
    <t>LT-057415-19/QU</t>
  </si>
  <si>
    <t>LT-83699-18/KI</t>
  </si>
  <si>
    <t>LT-078880-18/KI</t>
  </si>
  <si>
    <t>LT-034187-18/BX</t>
  </si>
  <si>
    <t>LT-063408-18/QU</t>
  </si>
  <si>
    <t>LT-014261-19/BX</t>
  </si>
  <si>
    <t>LT-069821-18/QU</t>
  </si>
  <si>
    <t>LT-057217-18/QU</t>
  </si>
  <si>
    <t>LT-071557-18/NY</t>
  </si>
  <si>
    <t>LT-071144-18/QU</t>
  </si>
  <si>
    <t>LT-068077-18/QU</t>
  </si>
  <si>
    <t>LT-074290-18/QU</t>
  </si>
  <si>
    <t>LT-054599-19/NY</t>
  </si>
  <si>
    <t>LT-076982-18/QU</t>
  </si>
  <si>
    <t>LT-063525-18/KI</t>
  </si>
  <si>
    <t>LT-060227-19/QU</t>
  </si>
  <si>
    <t>LT-068768-18/QU</t>
  </si>
  <si>
    <t>LT-078152-18/KI</t>
  </si>
  <si>
    <t>LT-065592-18/QU</t>
  </si>
  <si>
    <t>LT-069604-16/BX</t>
  </si>
  <si>
    <t>LT-057424-19/QU</t>
  </si>
  <si>
    <t>LT-022239-18/BX</t>
  </si>
  <si>
    <t>LT-088411-18/KI</t>
  </si>
  <si>
    <t>LT-065966-18/QU</t>
  </si>
  <si>
    <t>LT-064752-18/QU</t>
  </si>
  <si>
    <t>LT-074335-18/KI</t>
  </si>
  <si>
    <t>LT-054296-18/QU</t>
  </si>
  <si>
    <t>LT-093875-18/KI</t>
  </si>
  <si>
    <t>LT-802945-19/BX</t>
  </si>
  <si>
    <t>LT-062292-19/QU</t>
  </si>
  <si>
    <t>LT-056685-19/QU</t>
  </si>
  <si>
    <t>LT-060746-18/QU</t>
  </si>
  <si>
    <t>LT-074958-18/KI</t>
  </si>
  <si>
    <t>LT-065317-18/QU</t>
  </si>
  <si>
    <t>LT-063787-18/QU</t>
  </si>
  <si>
    <t>LT-056809-19/QU</t>
  </si>
  <si>
    <t>LT-047548-18/BX</t>
  </si>
  <si>
    <t>010159/2018</t>
  </si>
  <si>
    <t>LT-071240-18/QU</t>
  </si>
  <si>
    <t>LT-006130-19/QU</t>
  </si>
  <si>
    <t>LT-095151-18/KI</t>
  </si>
  <si>
    <t>LT-070881-18/QU</t>
  </si>
  <si>
    <t>LT-050579-19/KI</t>
  </si>
  <si>
    <t>LT-052162-18/BX</t>
  </si>
  <si>
    <t>LT-061701-19/KI</t>
  </si>
  <si>
    <t>LT-080172-18/KI</t>
  </si>
  <si>
    <t>LT-073315-18/QU</t>
  </si>
  <si>
    <t>LT-030556-18/BX</t>
  </si>
  <si>
    <t>LT-093726-18/KI</t>
  </si>
  <si>
    <t>LT-050053-19/QU</t>
  </si>
  <si>
    <t>LT-078213-18/KI</t>
  </si>
  <si>
    <t>LT-62103-18 QU</t>
  </si>
  <si>
    <t>LT-063301-19/KI</t>
  </si>
  <si>
    <t>LT-072264-18/QU</t>
  </si>
  <si>
    <t>LT-067279-18/KI</t>
  </si>
  <si>
    <t>LT-000202-18/BX</t>
  </si>
  <si>
    <t>LT-020172-18/BX</t>
  </si>
  <si>
    <t>LT-071730-18/QU</t>
  </si>
  <si>
    <t>LT-076816-18/KI</t>
  </si>
  <si>
    <t>LT-002584-18/KI</t>
  </si>
  <si>
    <t>LT-090995-18/KI</t>
  </si>
  <si>
    <t>LT-058076-19/KI</t>
  </si>
  <si>
    <t>LT-083052-18/KI</t>
  </si>
  <si>
    <t>LT-066159-19/KI</t>
  </si>
  <si>
    <t>LT-066627-18/QU</t>
  </si>
  <si>
    <t>LT-076251-18/QU</t>
  </si>
  <si>
    <t>LT-002127-18/BX</t>
  </si>
  <si>
    <t>LT-038054-18/BX</t>
  </si>
  <si>
    <t>LT-032847-18/BX</t>
  </si>
  <si>
    <t>LT-063661-18/QU</t>
  </si>
  <si>
    <t>LT-085763-18/KI</t>
  </si>
  <si>
    <t>LT-070656-18/QU</t>
  </si>
  <si>
    <t>LT-003517-18/BX</t>
  </si>
  <si>
    <t>LT-053065-18/QU</t>
  </si>
  <si>
    <t>LT-066567-18/QU</t>
  </si>
  <si>
    <t>LT-056458-18/QU</t>
  </si>
  <si>
    <t>LT-069621-18/QU</t>
  </si>
  <si>
    <t>LT-063031-17/BX</t>
  </si>
  <si>
    <t>LT-022299-18/BX</t>
  </si>
  <si>
    <t>LT-051094-19/KI</t>
  </si>
  <si>
    <t>LT-052572-18/BX</t>
  </si>
  <si>
    <t>LT-052811-19/QU</t>
  </si>
  <si>
    <t>LT-052879-18/BX</t>
  </si>
  <si>
    <t>LT-016685-19/BX</t>
  </si>
  <si>
    <t>LT-060984-18/BX</t>
  </si>
  <si>
    <t>LT-051498-19/QU</t>
  </si>
  <si>
    <t>LT-051482-29/RI</t>
  </si>
  <si>
    <t>LT-081981-18/KI</t>
  </si>
  <si>
    <t>LT-12491-18/QU</t>
  </si>
  <si>
    <t>LT-034608-18/BX</t>
  </si>
  <si>
    <t>LT-080398-18/KI</t>
  </si>
  <si>
    <t>LT-060254-18/QU</t>
  </si>
  <si>
    <t>LT-070888-18/QU</t>
  </si>
  <si>
    <t>LT-027623-17/BX</t>
  </si>
  <si>
    <t>LT-064751-18/QU</t>
  </si>
  <si>
    <t>LT-074683-18/QU</t>
  </si>
  <si>
    <t>LT-050681-19/RI</t>
  </si>
  <si>
    <t>LT-035276-18/BX</t>
  </si>
  <si>
    <t>LT-056873-19/QU</t>
  </si>
  <si>
    <t>LT-56140-18/KI</t>
  </si>
  <si>
    <t>LT-003539-18/KI</t>
  </si>
  <si>
    <t>LT-79908-17/KI</t>
  </si>
  <si>
    <t>LT-072426-18/KI</t>
  </si>
  <si>
    <t>LT-076152-18/KI</t>
  </si>
  <si>
    <t>LT-069834-18/QU</t>
  </si>
  <si>
    <t>LT-060492-18/KI</t>
  </si>
  <si>
    <t>LT-055235-18/BX</t>
  </si>
  <si>
    <t>LT-055564-19/KI</t>
  </si>
  <si>
    <t>LT-055564-19/KI (HC)</t>
  </si>
  <si>
    <t>LT-007945-19/BX</t>
  </si>
  <si>
    <t>LT-063332-18/QU</t>
  </si>
  <si>
    <t>LT-027413-19/BX</t>
  </si>
  <si>
    <t>LT-070649-18/QU</t>
  </si>
  <si>
    <t>LT-053490-18/RI</t>
  </si>
  <si>
    <t>LT-069191-18/KI</t>
  </si>
  <si>
    <t>LT-003530-18/BX</t>
  </si>
  <si>
    <t>LT-093932-18/KI</t>
  </si>
  <si>
    <t>LT-061942-18/BX</t>
  </si>
  <si>
    <t>LT-090839-18/KI</t>
  </si>
  <si>
    <t>LT-076975-18/KI</t>
  </si>
  <si>
    <t>LT-76975-18/KI</t>
  </si>
  <si>
    <t>LT-050107-18/RI</t>
  </si>
  <si>
    <t>LT-78395-18/NY</t>
  </si>
  <si>
    <t>LT-086961-18/KI</t>
  </si>
  <si>
    <t>LT-056562-18/KI</t>
  </si>
  <si>
    <t>LT-74424-18/QU</t>
  </si>
  <si>
    <t>LT-073792-18/QU</t>
  </si>
  <si>
    <t>LT-096815-18/KI</t>
  </si>
  <si>
    <t>LT-071306-18/QU</t>
  </si>
  <si>
    <t>LT-050950-19/RI</t>
  </si>
  <si>
    <t>LT-051322-18/RI</t>
  </si>
  <si>
    <t>LT-251035-18/NY</t>
  </si>
  <si>
    <t>LT-010155-19/RI</t>
  </si>
  <si>
    <t>LT-058348-19/KI</t>
  </si>
  <si>
    <t>LT-096863-18/KI</t>
  </si>
  <si>
    <t>LT-066618-17/KI</t>
  </si>
  <si>
    <t>LT-64593-19/KI</t>
  </si>
  <si>
    <t>LT-059113-19/KI</t>
  </si>
  <si>
    <t>LT-801310-19/BX</t>
  </si>
  <si>
    <t>LT-63664-19/KI</t>
  </si>
  <si>
    <t>LT-813425-18/BX</t>
  </si>
  <si>
    <t>LT-51910-18/RI</t>
  </si>
  <si>
    <t>LT-056835-18/BX</t>
  </si>
  <si>
    <t>LT-063459-18/NY</t>
  </si>
  <si>
    <t>LT-058768-19/NY</t>
  </si>
  <si>
    <t>LT-081762-18/KI</t>
  </si>
  <si>
    <t>LT-021612-18/BX</t>
  </si>
  <si>
    <t>LT-062670-19/KI</t>
  </si>
  <si>
    <t>LT-052953-18/RI</t>
  </si>
  <si>
    <t>LT-062512-18/BX</t>
  </si>
  <si>
    <t>LT-050675-18/BX</t>
  </si>
  <si>
    <t>LT-090956-18/KI</t>
  </si>
  <si>
    <t>LT-053715-18/RI</t>
  </si>
  <si>
    <t>LT-093398-17/KI</t>
  </si>
  <si>
    <t>LT-065023-18/KI</t>
  </si>
  <si>
    <t>No case yet</t>
  </si>
  <si>
    <t>LT-087474-18/KI</t>
  </si>
  <si>
    <t>LT-018762-17/NY</t>
  </si>
  <si>
    <t>LT-75756-18/QU</t>
  </si>
  <si>
    <t>LT-005611-19/BX</t>
  </si>
  <si>
    <t>IB - Contested Court Decision</t>
  </si>
  <si>
    <t>Prefer Not To Answer</t>
  </si>
  <si>
    <t>5556 Robin Hood-Foreclosure and Housing</t>
  </si>
  <si>
    <t>5221 SSUSA-Single Stop USA</t>
  </si>
  <si>
    <t>3311 Anti-Eviction and SRO Legal Services (formerly "HPD")</t>
  </si>
  <si>
    <t>3308 Anti-Eviction and SRO Legal Services (formerly known as “HPD” Contracts)</t>
  </si>
  <si>
    <t>5510 CB9 Manhattanville-West Harlem Tenant Advocacy Project</t>
  </si>
  <si>
    <t>3307 Anti Eviction and SRO Legal Services (formerly "HPD")</t>
  </si>
  <si>
    <t>3020 CLS-Civil Legal Services</t>
  </si>
  <si>
    <t>66 Housing Discrimination</t>
  </si>
  <si>
    <t>09 Other Consumer/Finance</t>
  </si>
  <si>
    <t>On for Trial</t>
  </si>
  <si>
    <t>06/01/2019</t>
  </si>
  <si>
    <t>12/23/2018</t>
  </si>
  <si>
    <t>05/11/2019</t>
  </si>
  <si>
    <t>04/14/2019</t>
  </si>
  <si>
    <t>01/06/2019</t>
  </si>
  <si>
    <t>10/27/2018</t>
  </si>
  <si>
    <t>02/23/2019</t>
  </si>
  <si>
    <t>02/02/2019</t>
  </si>
  <si>
    <t>01/13/2019</t>
  </si>
  <si>
    <t>07/08/2018</t>
  </si>
  <si>
    <t>11/23/2018</t>
  </si>
  <si>
    <t>12/30/2018</t>
  </si>
  <si>
    <t>07/04/2018</t>
  </si>
  <si>
    <t>10/28/2018</t>
  </si>
  <si>
    <t>05/18/2019</t>
  </si>
  <si>
    <t>0</t>
  </si>
  <si>
    <t>12/02/2018</t>
  </si>
  <si>
    <t>03/31/2019</t>
  </si>
  <si>
    <t>HRA ELS Part F Brooklyn</t>
  </si>
  <si>
    <t>ADP Hotline</t>
  </si>
  <si>
    <t>DHS</t>
  </si>
  <si>
    <t>School</t>
  </si>
  <si>
    <t>7012-Obtained advice and counsel  on an Income Maintenance matter</t>
  </si>
  <si>
    <t>7013-Obtained non-llitigation advocacy services on an Income Maintenance matter</t>
  </si>
  <si>
    <t>6007-Avoided, or obtained redress for charges by landlord</t>
  </si>
  <si>
    <t>6012-Overcame, or obtained redress for, discrimination of affordable housing</t>
  </si>
  <si>
    <t>ZZ-Client Withdrew—For ZZ Adm Closed Reason Closed Cases Only</t>
  </si>
  <si>
    <t>6008-Overcame denial of tenants rights under lease</t>
  </si>
  <si>
    <t>7015-Obtained other benefit on an Income Maintenance matter</t>
  </si>
  <si>
    <t>02/26/1986</t>
  </si>
  <si>
    <t>05/22/1977</t>
  </si>
  <si>
    <t>01/18/1944</t>
  </si>
  <si>
    <t>03/28/1962</t>
  </si>
  <si>
    <t>03/16/1977</t>
  </si>
  <si>
    <t>09/29/1963</t>
  </si>
  <si>
    <t>01/10/1972</t>
  </si>
  <si>
    <t>12/13/1973</t>
  </si>
  <si>
    <t>06/24/1974</t>
  </si>
  <si>
    <t>03/09/1962</t>
  </si>
  <si>
    <t>09/26/1959</t>
  </si>
  <si>
    <t>04/12/1985</t>
  </si>
  <si>
    <t>11/08/1966</t>
  </si>
  <si>
    <t>05/17/1951</t>
  </si>
  <si>
    <t>02/02/1963</t>
  </si>
  <si>
    <t>09/03/1972</t>
  </si>
  <si>
    <t>09/03/1968</t>
  </si>
  <si>
    <t>03/04/1993</t>
  </si>
  <si>
    <t>12/24/1956</t>
  </si>
  <si>
    <t>01/01/1975</t>
  </si>
  <si>
    <t>09/05/1958</t>
  </si>
  <si>
    <t>03/01/1951</t>
  </si>
  <si>
    <t>04/14/1945</t>
  </si>
  <si>
    <t>12/31/1951</t>
  </si>
  <si>
    <t>02/03/1955</t>
  </si>
  <si>
    <t>04/04/1954</t>
  </si>
  <si>
    <t>04/02/1974</t>
  </si>
  <si>
    <t>05/30/1993</t>
  </si>
  <si>
    <t>02/20/1967</t>
  </si>
  <si>
    <t>01/01/1958</t>
  </si>
  <si>
    <t>01/16/1951</t>
  </si>
  <si>
    <t>08/26/1962</t>
  </si>
  <si>
    <t>05/10/1990</t>
  </si>
  <si>
    <t>03/22/1970</t>
  </si>
  <si>
    <t>12/30/1923</t>
  </si>
  <si>
    <t>09/01/1953</t>
  </si>
  <si>
    <t>06/14/1976</t>
  </si>
  <si>
    <t>03/20/1963</t>
  </si>
  <si>
    <t>01/30/1956</t>
  </si>
  <si>
    <t>08/07/1969</t>
  </si>
  <si>
    <t>06/23/1959</t>
  </si>
  <si>
    <t>10/14/1962</t>
  </si>
  <si>
    <t>05/25/1976</t>
  </si>
  <si>
    <t>08/02/1953</t>
  </si>
  <si>
    <t>10/22/1941</t>
  </si>
  <si>
    <t>05/06/1958</t>
  </si>
  <si>
    <t>11/09/1972</t>
  </si>
  <si>
    <t>03/28/1973</t>
  </si>
  <si>
    <t>08/01/1970</t>
  </si>
  <si>
    <t>07/01/1958</t>
  </si>
  <si>
    <t>02/05/1961</t>
  </si>
  <si>
    <t>10/04/1959</t>
  </si>
  <si>
    <t>10/16/1980</t>
  </si>
  <si>
    <t>01/26/1968</t>
  </si>
  <si>
    <t>11/16/1981</t>
  </si>
  <si>
    <t>10/10/1990</t>
  </si>
  <si>
    <t>04/29/1974</t>
  </si>
  <si>
    <t>07/16/1995</t>
  </si>
  <si>
    <t>09/21/1966</t>
  </si>
  <si>
    <t>02/20/1971</t>
  </si>
  <si>
    <t>12/10/1946</t>
  </si>
  <si>
    <t>04/13/1937</t>
  </si>
  <si>
    <t>10/08/1947</t>
  </si>
  <si>
    <t>12/10/1952</t>
  </si>
  <si>
    <t>09/16/1969</t>
  </si>
  <si>
    <t>07/05/1961</t>
  </si>
  <si>
    <t>07/01/1965</t>
  </si>
  <si>
    <t>08/24/1950</t>
  </si>
  <si>
    <t>06/04/1965</t>
  </si>
  <si>
    <t>10/15/1950</t>
  </si>
  <si>
    <t>04/21/1958</t>
  </si>
  <si>
    <t>02/01/1973</t>
  </si>
  <si>
    <t>11/25/1973</t>
  </si>
  <si>
    <t>01/05/1952</t>
  </si>
  <si>
    <t>11/30/1982</t>
  </si>
  <si>
    <t>01/21/1965</t>
  </si>
  <si>
    <t>10/05/1988</t>
  </si>
  <si>
    <t>12/13/1955</t>
  </si>
  <si>
    <t>01/18/1972</t>
  </si>
  <si>
    <t>11/09/1980</t>
  </si>
  <si>
    <t>09/13/1964</t>
  </si>
  <si>
    <t>06/14/1977</t>
  </si>
  <si>
    <t>12/04/1971</t>
  </si>
  <si>
    <t>03/18/1960</t>
  </si>
  <si>
    <t>02/05/1995</t>
  </si>
  <si>
    <t>03/18/1954</t>
  </si>
  <si>
    <t>05/23/1957</t>
  </si>
  <si>
    <t>02/22/1985</t>
  </si>
  <si>
    <t>10/30/1929</t>
  </si>
  <si>
    <t>08/16/1986</t>
  </si>
  <si>
    <t>11/29/1993</t>
  </si>
  <si>
    <t>07/18/1989</t>
  </si>
  <si>
    <t>12/22/1982</t>
  </si>
  <si>
    <t>02/24/1982</t>
  </si>
  <si>
    <t>02/08/1960</t>
  </si>
  <si>
    <t>03/23/1951</t>
  </si>
  <si>
    <t>08/28/1971</t>
  </si>
  <si>
    <t>01/05/1980</t>
  </si>
  <si>
    <t>11/21/1975</t>
  </si>
  <si>
    <t>03/14/1965</t>
  </si>
  <si>
    <t>09/09/1967</t>
  </si>
  <si>
    <t>06/21/1977</t>
  </si>
  <si>
    <t>01/18/1941</t>
  </si>
  <si>
    <t>05/12/1956</t>
  </si>
  <si>
    <t>01/04/1975</t>
  </si>
  <si>
    <t>12/19/1969</t>
  </si>
  <si>
    <t>05/16/1970</t>
  </si>
  <si>
    <t>08/25/1969</t>
  </si>
  <si>
    <t>05/06/1976</t>
  </si>
  <si>
    <t>02/06/1944</t>
  </si>
  <si>
    <t>08/07/1961</t>
  </si>
  <si>
    <t>05/11/1976</t>
  </si>
  <si>
    <t>09/07/1951</t>
  </si>
  <si>
    <t>01/26/1944</t>
  </si>
  <si>
    <t>11/20/1969</t>
  </si>
  <si>
    <t>10/02/1987</t>
  </si>
  <si>
    <t>03/28/1980</t>
  </si>
  <si>
    <t>05/12/1991</t>
  </si>
  <si>
    <t>03/06/1949</t>
  </si>
  <si>
    <t>07/24/1945</t>
  </si>
  <si>
    <t>05/04/1962</t>
  </si>
  <si>
    <t>07/13/1954</t>
  </si>
  <si>
    <t>09/16/1989</t>
  </si>
  <si>
    <t>06/27/1957</t>
  </si>
  <si>
    <t>08/29/1981</t>
  </si>
  <si>
    <t>06/02/1987</t>
  </si>
  <si>
    <t>09/12/1953</t>
  </si>
  <si>
    <t>06/27/1967</t>
  </si>
  <si>
    <t>12/27/1963</t>
  </si>
  <si>
    <t>10/09/1948</t>
  </si>
  <si>
    <t>07/06/1956</t>
  </si>
  <si>
    <t>06/26/1952</t>
  </si>
  <si>
    <t>12/15/1983</t>
  </si>
  <si>
    <t>03/18/1973</t>
  </si>
  <si>
    <t>02/21/1954</t>
  </si>
  <si>
    <t>10/12/1953</t>
  </si>
  <si>
    <t>12/07/1959</t>
  </si>
  <si>
    <t>08/04/1950</t>
  </si>
  <si>
    <t>01/25/1965</t>
  </si>
  <si>
    <t>12/05/1982</t>
  </si>
  <si>
    <t>01/28/1985</t>
  </si>
  <si>
    <t>09/05/1978</t>
  </si>
  <si>
    <t>03/06/1964</t>
  </si>
  <si>
    <t>08/15/1989</t>
  </si>
  <si>
    <t>03/13/1960</t>
  </si>
  <si>
    <t>11/06/1990</t>
  </si>
  <si>
    <t>03/08/1967</t>
  </si>
  <si>
    <t>03/06/1959</t>
  </si>
  <si>
    <t>09/28/1986</t>
  </si>
  <si>
    <t>05/23/1959</t>
  </si>
  <si>
    <t>10/19/1972</t>
  </si>
  <si>
    <t>10/19/1977</t>
  </si>
  <si>
    <t>10/30/1947</t>
  </si>
  <si>
    <t>09/22/1957</t>
  </si>
  <si>
    <t>10/10/1948</t>
  </si>
  <si>
    <t>09/05/1979</t>
  </si>
  <si>
    <t>10/25/1974</t>
  </si>
  <si>
    <t>06/07/1956</t>
  </si>
  <si>
    <t>07/11/1961</t>
  </si>
  <si>
    <t>04/14/1960</t>
  </si>
  <si>
    <t>06/04/1985</t>
  </si>
  <si>
    <t>11/15/1975</t>
  </si>
  <si>
    <t>10/27/1967</t>
  </si>
  <si>
    <t>12/24/1979</t>
  </si>
  <si>
    <t>10/26/1940</t>
  </si>
  <si>
    <t>11/30/1941</t>
  </si>
  <si>
    <t>11/12/1982</t>
  </si>
  <si>
    <t>06/07/1945</t>
  </si>
  <si>
    <t>12/26/1957</t>
  </si>
  <si>
    <t>08/12/1970</t>
  </si>
  <si>
    <t>01/14/1970</t>
  </si>
  <si>
    <t>07/02/1975</t>
  </si>
  <si>
    <t>06/02/1970</t>
  </si>
  <si>
    <t>01/01/1959</t>
  </si>
  <si>
    <t>02/23/1980</t>
  </si>
  <si>
    <t>08/11/1956</t>
  </si>
  <si>
    <t>07/04/1965</t>
  </si>
  <si>
    <t>01/25/1978</t>
  </si>
  <si>
    <t>10/26/1945</t>
  </si>
  <si>
    <t>01/08/1956</t>
  </si>
  <si>
    <t>06/04/1953</t>
  </si>
  <si>
    <t>06/01/1981</t>
  </si>
  <si>
    <t>06/26/1969</t>
  </si>
  <si>
    <t>04/19/1950</t>
  </si>
  <si>
    <t>05/11/1973</t>
  </si>
  <si>
    <t>02/24/1974</t>
  </si>
  <si>
    <t>12/05/1949</t>
  </si>
  <si>
    <t>12/19/1982</t>
  </si>
  <si>
    <t>07/26/1955</t>
  </si>
  <si>
    <t>08/13/1985</t>
  </si>
  <si>
    <t>08/10/1977</t>
  </si>
  <si>
    <t>02/28/1957</t>
  </si>
  <si>
    <t>12/11/1985</t>
  </si>
  <si>
    <t>02/23/1982</t>
  </si>
  <si>
    <t>07/15/1955</t>
  </si>
  <si>
    <t>04/30/1952</t>
  </si>
  <si>
    <t>01/18/1978</t>
  </si>
  <si>
    <t>01/26/1949</t>
  </si>
  <si>
    <t>12/30/1977</t>
  </si>
  <si>
    <t>09/19/1956</t>
  </si>
  <si>
    <t>02/29/1944</t>
  </si>
  <si>
    <t>12/09/1988</t>
  </si>
  <si>
    <t>07/18/1984</t>
  </si>
  <si>
    <t>11/13/1947</t>
  </si>
  <si>
    <t>09/04/1980</t>
  </si>
  <si>
    <t>08/18/1950</t>
  </si>
  <si>
    <t>10/18/1948</t>
  </si>
  <si>
    <t>07/14/1958</t>
  </si>
  <si>
    <t>07/01/1979</t>
  </si>
  <si>
    <t>02/18/1971</t>
  </si>
  <si>
    <t>12/27/1960</t>
  </si>
  <si>
    <t>05/13/1975</t>
  </si>
  <si>
    <t>01/20/1941</t>
  </si>
  <si>
    <t>11/09/1941</t>
  </si>
  <si>
    <t>08/28/1965</t>
  </si>
  <si>
    <t>09/30/1940</t>
  </si>
  <si>
    <t>07/03/1973</t>
  </si>
  <si>
    <t>09/12/1973</t>
  </si>
  <si>
    <t>05/23/1946</t>
  </si>
  <si>
    <t>07/12/1951</t>
  </si>
  <si>
    <t>05/18/1971</t>
  </si>
  <si>
    <t>08/04/1947</t>
  </si>
  <si>
    <t>12/06/1940</t>
  </si>
  <si>
    <t>11/06/1941</t>
  </si>
  <si>
    <t>08/12/1966</t>
  </si>
  <si>
    <t>03/04/1988</t>
  </si>
  <si>
    <t>02/16/1939</t>
  </si>
  <si>
    <t>04/28/1967</t>
  </si>
  <si>
    <t>07/16/1947</t>
  </si>
  <si>
    <t>10/22/1974</t>
  </si>
  <si>
    <t>09/09/1987</t>
  </si>
  <si>
    <t>01/05/1975</t>
  </si>
  <si>
    <t>06/11/1975</t>
  </si>
  <si>
    <t>03/17/1966</t>
  </si>
  <si>
    <t>08/23/1965</t>
  </si>
  <si>
    <t>06/18/1958</t>
  </si>
  <si>
    <t>06/10/1965</t>
  </si>
  <si>
    <t>04/16/1971</t>
  </si>
  <si>
    <t>11/28/1973</t>
  </si>
  <si>
    <t>10/03/1958</t>
  </si>
  <si>
    <t>09/17/1979</t>
  </si>
  <si>
    <t>02/08/1976</t>
  </si>
  <si>
    <t>03/21/1950</t>
  </si>
  <si>
    <t>06/25/1955</t>
  </si>
  <si>
    <t>11/21/1947</t>
  </si>
  <si>
    <t>04/11/1965</t>
  </si>
  <si>
    <t>08/30/1967</t>
  </si>
  <si>
    <t>09/19/1950</t>
  </si>
  <si>
    <t>10/15/1957</t>
  </si>
  <si>
    <t>10/14/1963</t>
  </si>
  <si>
    <t>01/11/1974</t>
  </si>
  <si>
    <t>03/14/1964</t>
  </si>
  <si>
    <t>07/29/1988</t>
  </si>
  <si>
    <t>05/13/1973</t>
  </si>
  <si>
    <t>12/16/1947</t>
  </si>
  <si>
    <t>06/15/1958</t>
  </si>
  <si>
    <t>11/05/1954</t>
  </si>
  <si>
    <t>12/24/1930</t>
  </si>
  <si>
    <t>08/05/1973</t>
  </si>
  <si>
    <t>10/07/1963</t>
  </si>
  <si>
    <t>01/03/1993</t>
  </si>
  <si>
    <t>01/12/1957</t>
  </si>
  <si>
    <t>08/12/1993</t>
  </si>
  <si>
    <t>03/21/1962</t>
  </si>
  <si>
    <t>07/16/1972</t>
  </si>
  <si>
    <t>02/10/1972</t>
  </si>
  <si>
    <t>09/01/1967</t>
  </si>
  <si>
    <t>10/13/1974</t>
  </si>
  <si>
    <t>08/14/1963</t>
  </si>
  <si>
    <t>05/29/1965</t>
  </si>
  <si>
    <t>05/15/1947</t>
  </si>
  <si>
    <t>12/24/1965</t>
  </si>
  <si>
    <t>07/25/1982</t>
  </si>
  <si>
    <t>03/16/1968</t>
  </si>
  <si>
    <t>09/21/1962</t>
  </si>
  <si>
    <t>05/11/1993</t>
  </si>
  <si>
    <t>10/24/1953</t>
  </si>
  <si>
    <t>05/10/1946</t>
  </si>
  <si>
    <t>04/06/1942</t>
  </si>
  <si>
    <t>02/21/1961</t>
  </si>
  <si>
    <t>03/19/1953</t>
  </si>
  <si>
    <t>01/27/1966</t>
  </si>
  <si>
    <t>11/27/1981</t>
  </si>
  <si>
    <t>06/03/1953</t>
  </si>
  <si>
    <t>08/31/1940</t>
  </si>
  <si>
    <t>01/16/1979</t>
  </si>
  <si>
    <t>06/05/1979</t>
  </si>
  <si>
    <t>10/22/1962</t>
  </si>
  <si>
    <t>07/10/1976</t>
  </si>
  <si>
    <t>07/20/1946</t>
  </si>
  <si>
    <t>09/26/1971</t>
  </si>
  <si>
    <t>03/30/1982</t>
  </si>
  <si>
    <t>11/01/1989</t>
  </si>
  <si>
    <t>05/21/1970</t>
  </si>
  <si>
    <t>02/12/1970</t>
  </si>
  <si>
    <t>12/27/1959</t>
  </si>
  <si>
    <t>05/17/1967</t>
  </si>
  <si>
    <t>10/05/1963</t>
  </si>
  <si>
    <t>02/19/1978</t>
  </si>
  <si>
    <t>02/10/1969</t>
  </si>
  <si>
    <t>12/12/1961</t>
  </si>
  <si>
    <t>11/08/1976</t>
  </si>
  <si>
    <t>04/30/1979</t>
  </si>
  <si>
    <t>12/30/1984</t>
  </si>
  <si>
    <t>10/28/1987</t>
  </si>
  <si>
    <t>06/12/1987</t>
  </si>
  <si>
    <t>01/14/1954</t>
  </si>
  <si>
    <t>03/27/1989</t>
  </si>
  <si>
    <t>10/09/1939</t>
  </si>
  <si>
    <t>12/17/1947</t>
  </si>
  <si>
    <t>01/06/1968</t>
  </si>
  <si>
    <t>07/30/1966</t>
  </si>
  <si>
    <t>06/29/1964</t>
  </si>
  <si>
    <t>03/30/1952</t>
  </si>
  <si>
    <t>09/11/1954</t>
  </si>
  <si>
    <t>10/08/1966</t>
  </si>
  <si>
    <t>08/31/1962</t>
  </si>
  <si>
    <t>02/05/1947</t>
  </si>
  <si>
    <t>03/27/1992</t>
  </si>
  <si>
    <t>09/17/1972</t>
  </si>
  <si>
    <t>04/09/1981</t>
  </si>
  <si>
    <t>04/20/1969</t>
  </si>
  <si>
    <t>02/10/1957</t>
  </si>
  <si>
    <t>12/19/1979</t>
  </si>
  <si>
    <t>09/17/1961</t>
  </si>
  <si>
    <t>06/03/1979</t>
  </si>
  <si>
    <t>05/01/1996</t>
  </si>
  <si>
    <t>01/04/1948</t>
  </si>
  <si>
    <t>10/26/1987</t>
  </si>
  <si>
    <t>01/19/1991</t>
  </si>
  <si>
    <t>08/06/1986</t>
  </si>
  <si>
    <t>09/02/1967</t>
  </si>
  <si>
    <t>11/29/1979</t>
  </si>
  <si>
    <t>04/16/1968</t>
  </si>
  <si>
    <t>10/01/1952</t>
  </si>
  <si>
    <t>04/09/1992</t>
  </si>
  <si>
    <t>02/09/1952</t>
  </si>
  <si>
    <t>06/11/1982</t>
  </si>
  <si>
    <t>03/23/1962</t>
  </si>
  <si>
    <t>08/16/1981</t>
  </si>
  <si>
    <t>09/11/1966</t>
  </si>
  <si>
    <t>10/23/1953</t>
  </si>
  <si>
    <t>08/27/1949</t>
  </si>
  <si>
    <t>03/20/1959</t>
  </si>
  <si>
    <t>06/30/1960</t>
  </si>
  <si>
    <t>08/03/1958</t>
  </si>
  <si>
    <t>07/19/1962</t>
  </si>
  <si>
    <t>12/11/1949</t>
  </si>
  <si>
    <t>04/06/1962</t>
  </si>
  <si>
    <t>02/14/1979</t>
  </si>
  <si>
    <t>04/17/1979</t>
  </si>
  <si>
    <t>12/18/1981</t>
  </si>
  <si>
    <t>09/01/1982</t>
  </si>
  <si>
    <t>10/19/1954</t>
  </si>
  <si>
    <t>06/27/1944</t>
  </si>
  <si>
    <t>12/19/1967</t>
  </si>
  <si>
    <t>12/30/1950</t>
  </si>
  <si>
    <t>05/15/1979</t>
  </si>
  <si>
    <t>09/10/1968</t>
  </si>
  <si>
    <t>07/16/1958</t>
  </si>
  <si>
    <t>01/19/1982</t>
  </si>
  <si>
    <t>02/11/1985</t>
  </si>
  <si>
    <t>10/20/1976</t>
  </si>
  <si>
    <t>11/16/1962</t>
  </si>
  <si>
    <t>03/27/1967</t>
  </si>
  <si>
    <t>08/04/1985</t>
  </si>
  <si>
    <t>09/01/1980</t>
  </si>
  <si>
    <t>02/03/1970</t>
  </si>
  <si>
    <t>09/16/1941</t>
  </si>
  <si>
    <t>08/09/1987</t>
  </si>
  <si>
    <t>12/17/1962</t>
  </si>
  <si>
    <t>08/14/1982</t>
  </si>
  <si>
    <t>11/13/1952</t>
  </si>
  <si>
    <t>02/13/1947</t>
  </si>
  <si>
    <t>08/30/1947</t>
  </si>
  <si>
    <t>07/15/1951</t>
  </si>
  <si>
    <t>11/24/1984</t>
  </si>
  <si>
    <t>10/27/1971</t>
  </si>
  <si>
    <t>02/07/1971</t>
  </si>
  <si>
    <t>04/23/1965</t>
  </si>
  <si>
    <t>11/25/1968</t>
  </si>
  <si>
    <t>03/11/1950</t>
  </si>
  <si>
    <t>04/22/1993</t>
  </si>
  <si>
    <t>10/02/1953</t>
  </si>
  <si>
    <t>01/01/1987</t>
  </si>
  <si>
    <t>10/10/1957</t>
  </si>
  <si>
    <t>07/20/1964</t>
  </si>
  <si>
    <t>02/12/1969</t>
  </si>
  <si>
    <t>03/24/1970</t>
  </si>
  <si>
    <t>11/30/1964</t>
  </si>
  <si>
    <t>01/08/1987</t>
  </si>
  <si>
    <t>03/06/1942</t>
  </si>
  <si>
    <t>12/12/1954</t>
  </si>
  <si>
    <t>09/29/1923</t>
  </si>
  <si>
    <t>08/14/1964</t>
  </si>
  <si>
    <t>10/30/1960</t>
  </si>
  <si>
    <t>01/18/1982</t>
  </si>
  <si>
    <t>12/25/1962</t>
  </si>
  <si>
    <t>06/11/1961</t>
  </si>
  <si>
    <t>12/29/1986</t>
  </si>
  <si>
    <t>12/09/1964</t>
  </si>
  <si>
    <t>09/19/1941</t>
  </si>
  <si>
    <t>09/28/1975</t>
  </si>
  <si>
    <t>10/08/1981</t>
  </si>
  <si>
    <t>06/14/1960</t>
  </si>
  <si>
    <t>10/08/1950</t>
  </si>
  <si>
    <t>09/13/1981</t>
  </si>
  <si>
    <t>07/01/1961</t>
  </si>
  <si>
    <t>06/25/1987</t>
  </si>
  <si>
    <t>09/28/1965</t>
  </si>
  <si>
    <t>07/11/1966</t>
  </si>
  <si>
    <t>12/01/1969</t>
  </si>
  <si>
    <t>01/07/1991</t>
  </si>
  <si>
    <t>01/23/1971</t>
  </si>
  <si>
    <t>08/28/1979</t>
  </si>
  <si>
    <t>06/24/1960</t>
  </si>
  <si>
    <t>06/02/1977</t>
  </si>
  <si>
    <t>11/21/1981</t>
  </si>
  <si>
    <t>08/24/1949</t>
  </si>
  <si>
    <t>01/18/1947</t>
  </si>
  <si>
    <t>01/03/1942</t>
  </si>
  <si>
    <t>09/05/1969</t>
  </si>
  <si>
    <t>08/21/1947</t>
  </si>
  <si>
    <t>02/24/1942</t>
  </si>
  <si>
    <t>08/30/1959</t>
  </si>
  <si>
    <t>10/29/1969</t>
  </si>
  <si>
    <t>12/31/1941</t>
  </si>
  <si>
    <t>09/22/1942</t>
  </si>
  <si>
    <t>02/08/1993</t>
  </si>
  <si>
    <t>03/05/1994</t>
  </si>
  <si>
    <t>07/20/1989</t>
  </si>
  <si>
    <t>02/08/1974</t>
  </si>
  <si>
    <t>05/02/1982</t>
  </si>
  <si>
    <t>12/01/1950</t>
  </si>
  <si>
    <t>07/05/1964</t>
  </si>
  <si>
    <t>09/02/1997</t>
  </si>
  <si>
    <t>12/15/1949</t>
  </si>
  <si>
    <t>08/15/1990</t>
  </si>
  <si>
    <t>03/14/1971</t>
  </si>
  <si>
    <t>01/30/1985</t>
  </si>
  <si>
    <t>05/30/1955</t>
  </si>
  <si>
    <t>01/18/1956</t>
  </si>
  <si>
    <t>08/01/1989</t>
  </si>
  <si>
    <t>02/21/1960</t>
  </si>
  <si>
    <t>03/28/1948</t>
  </si>
  <si>
    <t>01/05/1955</t>
  </si>
  <si>
    <t>06/11/1966</t>
  </si>
  <si>
    <t>07/17/1975</t>
  </si>
  <si>
    <t>04/17/1990</t>
  </si>
  <si>
    <t>10/13/1958</t>
  </si>
  <si>
    <t>11/09/1977</t>
  </si>
  <si>
    <t>05/17/1957</t>
  </si>
  <si>
    <t>06/21/1961</t>
  </si>
  <si>
    <t>11/11/1981</t>
  </si>
  <si>
    <t>04/13/1994</t>
  </si>
  <si>
    <t>12/20/1962</t>
  </si>
  <si>
    <t>12/06/1969</t>
  </si>
  <si>
    <t>10/03/1976</t>
  </si>
  <si>
    <t>06/06/1940</t>
  </si>
  <si>
    <t>10/26/1974</t>
  </si>
  <si>
    <t>07/20/1961</t>
  </si>
  <si>
    <t>07/05/1968</t>
  </si>
  <si>
    <t>09/15/1957</t>
  </si>
  <si>
    <t>07/28/1963</t>
  </si>
  <si>
    <t>04/22/1990</t>
  </si>
  <si>
    <t>02/03/1988</t>
  </si>
  <si>
    <t>06/02/1989</t>
  </si>
  <si>
    <t>12/24/1984</t>
  </si>
  <si>
    <t>06/29/1968</t>
  </si>
  <si>
    <t>11/07/1967</t>
  </si>
  <si>
    <t>12/06/1964</t>
  </si>
  <si>
    <t>12/30/1963</t>
  </si>
  <si>
    <t>12/07/1965</t>
  </si>
  <si>
    <t>07/13/1953</t>
  </si>
  <si>
    <t>06/26/1949</t>
  </si>
  <si>
    <t>01/04/1967</t>
  </si>
  <si>
    <t>03/29/1984</t>
  </si>
  <si>
    <t>04/30/1985</t>
  </si>
  <si>
    <t>02/05/1992</t>
  </si>
  <si>
    <t>04/09/1984</t>
  </si>
  <si>
    <t>12/15/1991</t>
  </si>
  <si>
    <t>04/23/1986</t>
  </si>
  <si>
    <t>01/03/1958</t>
  </si>
  <si>
    <t>02/24/1991</t>
  </si>
  <si>
    <t>05/08/1945</t>
  </si>
  <si>
    <t>06/21/1970</t>
  </si>
  <si>
    <t>02/03/1966</t>
  </si>
  <si>
    <t>01/15/1956</t>
  </si>
  <si>
    <t>01/15/1948</t>
  </si>
  <si>
    <t>02/19/1990</t>
  </si>
  <si>
    <t>04/14/1955</t>
  </si>
  <si>
    <t>12/30/1951</t>
  </si>
  <si>
    <t>01/07/1960</t>
  </si>
  <si>
    <t>12/08/1970</t>
  </si>
  <si>
    <t>04/11/1977</t>
  </si>
  <si>
    <t>12/22/1948</t>
  </si>
  <si>
    <t>10/20/1993</t>
  </si>
  <si>
    <t>06/21/1976</t>
  </si>
  <si>
    <t>04/13/1962</t>
  </si>
  <si>
    <t>01/09/1975</t>
  </si>
  <si>
    <t>08/29/1963</t>
  </si>
  <si>
    <t>09/19/1990</t>
  </si>
  <si>
    <t>05/14/1975</t>
  </si>
  <si>
    <t>03/18/1994</t>
  </si>
  <si>
    <t>08/03/1972</t>
  </si>
  <si>
    <t>08/06/1960</t>
  </si>
  <si>
    <t>07/20/1984</t>
  </si>
  <si>
    <t>12/08/1986</t>
  </si>
  <si>
    <t>10/02/1986</t>
  </si>
  <si>
    <t>11/07/1956</t>
  </si>
  <si>
    <t>12/26/1983</t>
  </si>
  <si>
    <t>01/24/1992</t>
  </si>
  <si>
    <t>05/19/1977</t>
  </si>
  <si>
    <t>06/14/1965</t>
  </si>
  <si>
    <t>07/07/1959</t>
  </si>
  <si>
    <t>11/11/1961</t>
  </si>
  <si>
    <t>07/04/1971</t>
  </si>
  <si>
    <t>10/28/1993</t>
  </si>
  <si>
    <t>07/29/1984</t>
  </si>
  <si>
    <t>11/07/1964</t>
  </si>
  <si>
    <t>04/20/1994</t>
  </si>
  <si>
    <t>03/06/1991</t>
  </si>
  <si>
    <t>05/07/1972</t>
  </si>
  <si>
    <t>06/05/1954</t>
  </si>
  <si>
    <t>05/02/1941</t>
  </si>
  <si>
    <t>11/29/1981</t>
  </si>
  <si>
    <t>07/19/1959</t>
  </si>
  <si>
    <t>03/11/1961</t>
  </si>
  <si>
    <t>03/07/1963</t>
  </si>
  <si>
    <t>07/28/1975</t>
  </si>
  <si>
    <t>06/19/1939</t>
  </si>
  <si>
    <t>11/29/1963</t>
  </si>
  <si>
    <t>08/20/1978</t>
  </si>
  <si>
    <t>07/30/1994</t>
  </si>
  <si>
    <t>10/31/1977</t>
  </si>
  <si>
    <t>02/08/1982</t>
  </si>
  <si>
    <t>11/05/1975</t>
  </si>
  <si>
    <t>07/11/1953</t>
  </si>
  <si>
    <t>07/23/1958</t>
  </si>
  <si>
    <t>03/15/1962</t>
  </si>
  <si>
    <t>11/02/1942</t>
  </si>
  <si>
    <t>03/28/1986</t>
  </si>
  <si>
    <t>10/21/1988</t>
  </si>
  <si>
    <t>05/30/1981</t>
  </si>
  <si>
    <t>11/22/1976</t>
  </si>
  <si>
    <t>08/10/1991</t>
  </si>
  <si>
    <t>04/01/1993</t>
  </si>
  <si>
    <t>10/03/1950</t>
  </si>
  <si>
    <t>09/08/1991</t>
  </si>
  <si>
    <t>11/26/1951</t>
  </si>
  <si>
    <t>06/11/1978</t>
  </si>
  <si>
    <t>09/09/1970</t>
  </si>
  <si>
    <t>08/22/1987</t>
  </si>
  <si>
    <t>12/30/1988</t>
  </si>
  <si>
    <t>05/04/1965</t>
  </si>
  <si>
    <t>04/02/1962</t>
  </si>
  <si>
    <t>09/11/1965</t>
  </si>
  <si>
    <t>03/02/1987</t>
  </si>
  <si>
    <t>03/09/1968</t>
  </si>
  <si>
    <t>09/15/1964</t>
  </si>
  <si>
    <t>05/23/1994</t>
  </si>
  <si>
    <t>11/18/1984</t>
  </si>
  <si>
    <t>05/04/2016</t>
  </si>
  <si>
    <t>10/30/1963</t>
  </si>
  <si>
    <t>05/05/1991</t>
  </si>
  <si>
    <t>11/14/1977</t>
  </si>
  <si>
    <t>01/23/1991</t>
  </si>
  <si>
    <t>01/25/1957</t>
  </si>
  <si>
    <t>06/29/1960</t>
  </si>
  <si>
    <t>05/27/1989</t>
  </si>
  <si>
    <t>02/22/1969</t>
  </si>
  <si>
    <t>08/26/1969</t>
  </si>
  <si>
    <t>10/06/1968</t>
  </si>
  <si>
    <t>01/16/1987</t>
  </si>
  <si>
    <t>12/20/1943</t>
  </si>
  <si>
    <t>10/10/1975</t>
  </si>
  <si>
    <t>07/21/1984</t>
  </si>
  <si>
    <t>07/18/1992</t>
  </si>
  <si>
    <t>01/13/1952</t>
  </si>
  <si>
    <t>08/02/1949</t>
  </si>
  <si>
    <t>07/24/1971</t>
  </si>
  <si>
    <t>06/29/1987</t>
  </si>
  <si>
    <t>09/06/1983</t>
  </si>
  <si>
    <t>06/08/1982</t>
  </si>
  <si>
    <t>07/15/1971</t>
  </si>
  <si>
    <t>11/10/1981</t>
  </si>
  <si>
    <t>12/30/1958</t>
  </si>
  <si>
    <t>07/20/1990</t>
  </si>
  <si>
    <t>09/21/1987</t>
  </si>
  <si>
    <t>04/30/1959</t>
  </si>
  <si>
    <t>04/17/1991</t>
  </si>
  <si>
    <t>02/12/1983</t>
  </si>
  <si>
    <t>04/16/1985</t>
  </si>
  <si>
    <t>10/09/1994</t>
  </si>
  <si>
    <t>01/13/1987</t>
  </si>
  <si>
    <t>11/06/1977</t>
  </si>
  <si>
    <t>02/19/1980</t>
  </si>
  <si>
    <t>02/05/1957</t>
  </si>
  <si>
    <t>05/09/1992</t>
  </si>
  <si>
    <t>08/10/1978</t>
  </si>
  <si>
    <t>01/25/1988</t>
  </si>
  <si>
    <t>06/19/1979</t>
  </si>
  <si>
    <t>01/13/1979</t>
  </si>
  <si>
    <t>03/30/1984</t>
  </si>
  <si>
    <t>03/31/1955</t>
  </si>
  <si>
    <t>12/29/1988</t>
  </si>
  <si>
    <t>05/17/1979</t>
  </si>
  <si>
    <t>09/11/1977</t>
  </si>
  <si>
    <t>01/30/1986</t>
  </si>
  <si>
    <t>04/13/1982</t>
  </si>
  <si>
    <t>02/20/1990</t>
  </si>
  <si>
    <t>10/09/1973</t>
  </si>
  <si>
    <t>06/12/1995</t>
  </si>
  <si>
    <t>04/03/1952</t>
  </si>
  <si>
    <t>01/01/1985</t>
  </si>
  <si>
    <t>05/29/1983</t>
  </si>
  <si>
    <t>07/07/1989</t>
  </si>
  <si>
    <t>08/06/1969</t>
  </si>
  <si>
    <t>06/19/1981</t>
  </si>
  <si>
    <t>12/08/1950</t>
  </si>
  <si>
    <t>07/10/1960</t>
  </si>
  <si>
    <t>04/05/1984</t>
  </si>
  <si>
    <t>05/31/1976</t>
  </si>
  <si>
    <t>12/13/1978</t>
  </si>
  <si>
    <t>06/29/1966</t>
  </si>
  <si>
    <t>08/25/1977</t>
  </si>
  <si>
    <t>08/06/1982</t>
  </si>
  <si>
    <t>11/30/1958</t>
  </si>
  <si>
    <t>11/11/1990</t>
  </si>
  <si>
    <t>01/19/1979</t>
  </si>
  <si>
    <t>09/23/1986</t>
  </si>
  <si>
    <t>12/16/1950</t>
  </si>
  <si>
    <t>03/31/1950</t>
  </si>
  <si>
    <t>10/15/1977</t>
  </si>
  <si>
    <t>06/27/1965</t>
  </si>
  <si>
    <t>03/11/1986</t>
  </si>
  <si>
    <t>03/19/1934</t>
  </si>
  <si>
    <t>07/07/1955</t>
  </si>
  <si>
    <t>04/02/1958</t>
  </si>
  <si>
    <t>12/09/1953</t>
  </si>
  <si>
    <t>10/31/1969</t>
  </si>
  <si>
    <t>07/20/1983</t>
  </si>
  <si>
    <t>08/06/1959</t>
  </si>
  <si>
    <t>06/30/1975</t>
  </si>
  <si>
    <t>12/16/1968</t>
  </si>
  <si>
    <t>03/03/1937</t>
  </si>
  <si>
    <t>05/22/1963</t>
  </si>
  <si>
    <t>05/25/1962</t>
  </si>
  <si>
    <t>01/19/1957</t>
  </si>
  <si>
    <t>02/05/1978</t>
  </si>
  <si>
    <t>10/09/1965</t>
  </si>
  <si>
    <t>12/27/1969</t>
  </si>
  <si>
    <t>08/24/1994</t>
  </si>
  <si>
    <t>07/07/1991</t>
  </si>
  <si>
    <t>04/17/1984</t>
  </si>
  <si>
    <t>04/02/1985</t>
  </si>
  <si>
    <t>01/19/1955</t>
  </si>
  <si>
    <t>09/06/1955</t>
  </si>
  <si>
    <t>02/08/1959</t>
  </si>
  <si>
    <t>03/31/1968</t>
  </si>
  <si>
    <t>03/29/1978</t>
  </si>
  <si>
    <t>11/26/1966</t>
  </si>
  <si>
    <t>08/04/1982</t>
  </si>
  <si>
    <t>01/04/1963</t>
  </si>
  <si>
    <t>11/24/1936</t>
  </si>
  <si>
    <t>09/24/1974</t>
  </si>
  <si>
    <t>12/10/1954</t>
  </si>
  <si>
    <t>05/01/1964</t>
  </si>
  <si>
    <t>05/27/1962</t>
  </si>
  <si>
    <t>02/26/1962</t>
  </si>
  <si>
    <t>12/13/1964</t>
  </si>
  <si>
    <t>04/15/1965</t>
  </si>
  <si>
    <t>08/31/1971</t>
  </si>
  <si>
    <t>05/27/1975</t>
  </si>
  <si>
    <t>12/28/1984</t>
  </si>
  <si>
    <t>02/02/1982</t>
  </si>
  <si>
    <t>05/26/1972</t>
  </si>
  <si>
    <t>08/03/1987</t>
  </si>
  <si>
    <t>04/13/1966</t>
  </si>
  <si>
    <t>08/06/1997</t>
  </si>
  <si>
    <t>07/11/1958</t>
  </si>
  <si>
    <t>02/04/1967</t>
  </si>
  <si>
    <t>05/31/1987</t>
  </si>
  <si>
    <t>07/01/1955</t>
  </si>
  <si>
    <t>10/21/1993</t>
  </si>
  <si>
    <t>03/06/1975</t>
  </si>
  <si>
    <t>03/03/1963</t>
  </si>
  <si>
    <t>02/20/1958</t>
  </si>
  <si>
    <t>02/05/1980</t>
  </si>
  <si>
    <t>01/01/1970</t>
  </si>
  <si>
    <t>10/07/1982</t>
  </si>
  <si>
    <t>11/09/1984</t>
  </si>
  <si>
    <t>10/31/1963</t>
  </si>
  <si>
    <t>03/12/1946</t>
  </si>
  <si>
    <t>05/01/1949</t>
  </si>
  <si>
    <t>05/08/1954</t>
  </si>
  <si>
    <t>12/10/1972</t>
  </si>
  <si>
    <t>09/26/1933</t>
  </si>
  <si>
    <t>10/18/1976</t>
  </si>
  <si>
    <t>08/30/1944</t>
  </si>
  <si>
    <t>05/25/1928</t>
  </si>
  <si>
    <t>03/01/1972</t>
  </si>
  <si>
    <t>08/19/1953</t>
  </si>
  <si>
    <t>08/15/1996</t>
  </si>
  <si>
    <t>02/25/1975</t>
  </si>
  <si>
    <t>02/09/1958</t>
  </si>
  <si>
    <t>09/12/1983</t>
  </si>
  <si>
    <t>06/06/1968</t>
  </si>
  <si>
    <t>05/10/1969</t>
  </si>
  <si>
    <t>11/24/1942</t>
  </si>
  <si>
    <t>10/10/1993</t>
  </si>
  <si>
    <t>08/01/1951</t>
  </si>
  <si>
    <t>04/01/1975</t>
  </si>
  <si>
    <t>04/13/1983</t>
  </si>
  <si>
    <t>06/10/1947</t>
  </si>
  <si>
    <t>12/14/1960</t>
  </si>
  <si>
    <t>03/06/1970</t>
  </si>
  <si>
    <t>10/05/1956</t>
  </si>
  <si>
    <t>12/28/1941</t>
  </si>
  <si>
    <t>01/01/1961</t>
  </si>
  <si>
    <t>01/01/1969</t>
  </si>
  <si>
    <t>06/20/1984</t>
  </si>
  <si>
    <t>07/03/1995</t>
  </si>
  <si>
    <t>02/28/1961</t>
  </si>
  <si>
    <t>09/11/1962</t>
  </si>
  <si>
    <t>02/06/1947</t>
  </si>
  <si>
    <t>07/27/1955</t>
  </si>
  <si>
    <t>01/16/1960</t>
  </si>
  <si>
    <t>09/19/1971</t>
  </si>
  <si>
    <t>01/01/1971</t>
  </si>
  <si>
    <t>01/01/1983</t>
  </si>
  <si>
    <t>01/01/1981</t>
  </si>
  <si>
    <t>11/23/1953</t>
  </si>
  <si>
    <t>08/02/1975</t>
  </si>
  <si>
    <t>04/24/1961</t>
  </si>
  <si>
    <t>01/25/1985</t>
  </si>
  <si>
    <t>06/19/1963</t>
  </si>
  <si>
    <t>08/21/1957</t>
  </si>
  <si>
    <t>01/02/1945</t>
  </si>
  <si>
    <t>03/15/1955</t>
  </si>
  <si>
    <t>04/17/1954</t>
  </si>
  <si>
    <t>06/08/1965</t>
  </si>
  <si>
    <t>09/03/1974</t>
  </si>
  <si>
    <t>05/28/1962</t>
  </si>
  <si>
    <t>08/30/1995</t>
  </si>
  <si>
    <t>11/19/1962</t>
  </si>
  <si>
    <t>05/23/1978</t>
  </si>
  <si>
    <t>01/10/1971</t>
  </si>
  <si>
    <t>04/14/1976</t>
  </si>
  <si>
    <t>01/23/1956</t>
  </si>
  <si>
    <t>02/11/1983</t>
  </si>
  <si>
    <t>11/20/1964</t>
  </si>
  <si>
    <t>05/09/1989</t>
  </si>
  <si>
    <t>02/17/1950</t>
  </si>
  <si>
    <t>10/19/1973</t>
  </si>
  <si>
    <t>12/31/1966</t>
  </si>
  <si>
    <t>12/26/1992</t>
  </si>
  <si>
    <t>11/28/1970</t>
  </si>
  <si>
    <t>01/28/1968</t>
  </si>
  <si>
    <t>12/06/1966</t>
  </si>
  <si>
    <t>08/11/1939</t>
  </si>
  <si>
    <t>05/06/1971</t>
  </si>
  <si>
    <t>07/26/1976</t>
  </si>
  <si>
    <t>02/23/1959</t>
  </si>
  <si>
    <t>10/24/1961</t>
  </si>
  <si>
    <t>02/17/1968</t>
  </si>
  <si>
    <t>10/05/1952</t>
  </si>
  <si>
    <t>08/03/1968</t>
  </si>
  <si>
    <t>09/16/1986</t>
  </si>
  <si>
    <t>10/21/1972</t>
  </si>
  <si>
    <t>08/29/1959</t>
  </si>
  <si>
    <t>04/15/1982</t>
  </si>
  <si>
    <t>05/12/1972</t>
  </si>
  <si>
    <t>06/30/1994</t>
  </si>
  <si>
    <t>02/23/1953</t>
  </si>
  <si>
    <t>12/10/1939</t>
  </si>
  <si>
    <t>03/19/1989</t>
  </si>
  <si>
    <t>03/31/1986</t>
  </si>
  <si>
    <t>08/20/1957</t>
  </si>
  <si>
    <t>11/29/1945</t>
  </si>
  <si>
    <t>03/20/1972</t>
  </si>
  <si>
    <t>06/08/1967</t>
  </si>
  <si>
    <t>04/15/1995</t>
  </si>
  <si>
    <t>08/07/1973</t>
  </si>
  <si>
    <t>08/01/1953</t>
  </si>
  <si>
    <t>09/08/1970</t>
  </si>
  <si>
    <t>03/08/1997</t>
  </si>
  <si>
    <t>03/08/1961</t>
  </si>
  <si>
    <t>09/05/1961</t>
  </si>
  <si>
    <t>08/22/1963</t>
  </si>
  <si>
    <t>11/07/1970</t>
  </si>
  <si>
    <t>11/28/1963</t>
  </si>
  <si>
    <t>03/11/1991</t>
  </si>
  <si>
    <t>07/08/1958</t>
  </si>
  <si>
    <t>08/10/1961</t>
  </si>
  <si>
    <t>06/24/1958</t>
  </si>
  <si>
    <t>11/18/1960</t>
  </si>
  <si>
    <t>06/12/1989</t>
  </si>
  <si>
    <t>08/25/1976</t>
  </si>
  <si>
    <t>07/04/1955</t>
  </si>
  <si>
    <t>12/17/1982</t>
  </si>
  <si>
    <t>08/29/1957</t>
  </si>
  <si>
    <t>11/15/1965</t>
  </si>
  <si>
    <t>04/15/1957</t>
  </si>
  <si>
    <t>06/15/1967</t>
  </si>
  <si>
    <t>04/13/1972</t>
  </si>
  <si>
    <t>12/31/1961</t>
  </si>
  <si>
    <t>10/24/1975</t>
  </si>
  <si>
    <t>02/28/1945</t>
  </si>
  <si>
    <t>03/13/1934</t>
  </si>
  <si>
    <t>12/19/1968</t>
  </si>
  <si>
    <t>05/08/1964</t>
  </si>
  <si>
    <t>09/02/1980</t>
  </si>
  <si>
    <t>06/29/1958</t>
  </si>
  <si>
    <t>02/06/1971</t>
  </si>
  <si>
    <t>01/01/1973</t>
  </si>
  <si>
    <t>06/15/1959</t>
  </si>
  <si>
    <t>03/17/1960</t>
  </si>
  <si>
    <t>01/25/1969</t>
  </si>
  <si>
    <t>08/17/1968</t>
  </si>
  <si>
    <t>08/27/1964</t>
  </si>
  <si>
    <t>09/24/1959</t>
  </si>
  <si>
    <t>03/23/1943</t>
  </si>
  <si>
    <t>05/15/1962</t>
  </si>
  <si>
    <t>01/27/1962</t>
  </si>
  <si>
    <t>10/25/1944</t>
  </si>
  <si>
    <t>10/09/1979</t>
  </si>
  <si>
    <t>04/24/1965</t>
  </si>
  <si>
    <t>12/29/1984</t>
  </si>
  <si>
    <t>01/24/1952</t>
  </si>
  <si>
    <t>04/10/1972</t>
  </si>
  <si>
    <t>04/26/1962</t>
  </si>
  <si>
    <t>10/16/1964</t>
  </si>
  <si>
    <t>04/20/1964</t>
  </si>
  <si>
    <t>02/22/1982</t>
  </si>
  <si>
    <t>10/09/1987</t>
  </si>
  <si>
    <t>10/21/1959</t>
  </si>
  <si>
    <t>11/23/1959</t>
  </si>
  <si>
    <t>01/27/1940</t>
  </si>
  <si>
    <t>10/22/1950</t>
  </si>
  <si>
    <t>12/13/1977</t>
  </si>
  <si>
    <t>02/12/1981</t>
  </si>
  <si>
    <t>11/25/1951</t>
  </si>
  <si>
    <t>06/13/1951</t>
  </si>
  <si>
    <t>06/24/1938</t>
  </si>
  <si>
    <t>02/19/1966</t>
  </si>
  <si>
    <t>09/04/1991</t>
  </si>
  <si>
    <t>12/01/1976</t>
  </si>
  <si>
    <t>09/03/1954</t>
  </si>
  <si>
    <t>05/20/1978</t>
  </si>
  <si>
    <t>07/13/1962</t>
  </si>
  <si>
    <t>03/22/1963</t>
  </si>
  <si>
    <t>08/15/1987</t>
  </si>
  <si>
    <t>05/27/1972</t>
  </si>
  <si>
    <t>11/01/1969</t>
  </si>
  <si>
    <t>09/12/1965</t>
  </si>
  <si>
    <t>09/29/1971</t>
  </si>
  <si>
    <t>07/23/1961</t>
  </si>
  <si>
    <t>03/18/1956</t>
  </si>
  <si>
    <t>10/29/1968</t>
  </si>
  <si>
    <t>07/19/1949</t>
  </si>
  <si>
    <t>03/31/1948</t>
  </si>
  <si>
    <t>12/21/1967</t>
  </si>
  <si>
    <t>08/09/1966</t>
  </si>
  <si>
    <t>07/07/1956</t>
  </si>
  <si>
    <t>09/25/1964</t>
  </si>
  <si>
    <t>05/12/1965</t>
  </si>
  <si>
    <t>07/21/1964</t>
  </si>
  <si>
    <t>10/16/1958</t>
  </si>
  <si>
    <t>05/26/1967</t>
  </si>
  <si>
    <t>11/28/1951</t>
  </si>
  <si>
    <t>01/11/1960</t>
  </si>
  <si>
    <t>06/05/1965</t>
  </si>
  <si>
    <t>05/14/1964</t>
  </si>
  <si>
    <t>03/02/1957</t>
  </si>
  <si>
    <t>10/19/1950</t>
  </si>
  <si>
    <t>05/17/1962</t>
  </si>
  <si>
    <t>02/05/1946</t>
  </si>
  <si>
    <t>04/14/1957</t>
  </si>
  <si>
    <t>02/15/1961</t>
  </si>
  <si>
    <t>05/25/1980</t>
  </si>
  <si>
    <t>09/03/1977</t>
  </si>
  <si>
    <t>10/30/1955</t>
  </si>
  <si>
    <t>08/15/1977</t>
  </si>
  <si>
    <t>03/21/1958</t>
  </si>
  <si>
    <t>09/27/1973</t>
  </si>
  <si>
    <t>04/27/1972</t>
  </si>
  <si>
    <t>04/26/1960</t>
  </si>
  <si>
    <t>01/05/1971</t>
  </si>
  <si>
    <t>11/30/1985</t>
  </si>
  <si>
    <t>09/09/1968</t>
  </si>
  <si>
    <t>04/16/1996</t>
  </si>
  <si>
    <t>06/09/1935</t>
  </si>
  <si>
    <t>03/07/1960</t>
  </si>
  <si>
    <t>08/22/1967</t>
  </si>
  <si>
    <t>11/02/1952</t>
  </si>
  <si>
    <t>06/22/1979</t>
  </si>
  <si>
    <t>06/11/1974</t>
  </si>
  <si>
    <t>03/13/1958</t>
  </si>
  <si>
    <t>01/24/1948</t>
  </si>
  <si>
    <t>01/16/1989</t>
  </si>
  <si>
    <t>04/24/1966</t>
  </si>
  <si>
    <t>02/28/1985</t>
  </si>
  <si>
    <t>02/15/1964</t>
  </si>
  <si>
    <t>05/12/1951</t>
  </si>
  <si>
    <t>08/01/1969</t>
  </si>
  <si>
    <t>03/24/1949</t>
  </si>
  <si>
    <t>10/31/1959</t>
  </si>
  <si>
    <t>07/07/1951</t>
  </si>
  <si>
    <t>12/23/1955</t>
  </si>
  <si>
    <t>05/26/1957</t>
  </si>
  <si>
    <t>01/10/1979</t>
  </si>
  <si>
    <t>11/10/1962</t>
  </si>
  <si>
    <t>05/18/1956</t>
  </si>
  <si>
    <t>02/10/1994</t>
  </si>
  <si>
    <t>03/17/1956</t>
  </si>
  <si>
    <t>05/07/1940</t>
  </si>
  <si>
    <t>04/28/1959</t>
  </si>
  <si>
    <t>11/01/1952</t>
  </si>
  <si>
    <t>07/08/1966</t>
  </si>
  <si>
    <t>07/01/1968</t>
  </si>
  <si>
    <t>09/23/1957</t>
  </si>
  <si>
    <t>08/11/1964</t>
  </si>
  <si>
    <t>12/05/1946</t>
  </si>
  <si>
    <t>06/21/1942</t>
  </si>
  <si>
    <t>07/23/1966</t>
  </si>
  <si>
    <t>06/17/1963</t>
  </si>
  <si>
    <t>05/01/1967</t>
  </si>
  <si>
    <t>03/06/1955</t>
  </si>
  <si>
    <t>04/13/1968</t>
  </si>
  <si>
    <t>08/05/1972</t>
  </si>
  <si>
    <t>08/05/1974</t>
  </si>
  <si>
    <t>06/15/1955</t>
  </si>
  <si>
    <t>04/17/1967</t>
  </si>
  <si>
    <t>06/27/1960</t>
  </si>
  <si>
    <t>03/12/1967</t>
  </si>
  <si>
    <t>02/16/1955</t>
  </si>
  <si>
    <t>11/06/1964</t>
  </si>
  <si>
    <t>02/09/1933</t>
  </si>
  <si>
    <t>04/30/1958</t>
  </si>
  <si>
    <t>07/08/1952</t>
  </si>
  <si>
    <t>12/22/1964</t>
  </si>
  <si>
    <t>06/13/1937</t>
  </si>
  <si>
    <t>02/15/1981</t>
  </si>
  <si>
    <t>07/03/1993</t>
  </si>
  <si>
    <t>02/20/1966</t>
  </si>
  <si>
    <t>11/11/1939</t>
  </si>
  <si>
    <t>07/14/1961</t>
  </si>
  <si>
    <t>05/07/1962</t>
  </si>
  <si>
    <t>10/18/1950</t>
  </si>
  <si>
    <t>04/14/1962</t>
  </si>
  <si>
    <t>02/20/1950</t>
  </si>
  <si>
    <t>02/27/1961</t>
  </si>
  <si>
    <t>07/05/1990</t>
  </si>
  <si>
    <t>01/30/1938</t>
  </si>
  <si>
    <t>07/30/1962</t>
  </si>
  <si>
    <t>06/12/1960</t>
  </si>
  <si>
    <t>02/06/1946</t>
  </si>
  <si>
    <t>05/28/1981</t>
  </si>
  <si>
    <t>02/20/1956</t>
  </si>
  <si>
    <t>12/24/1948</t>
  </si>
  <si>
    <t>03/07/1981</t>
  </si>
  <si>
    <t>03/30/1940</t>
  </si>
  <si>
    <t>11/27/1950</t>
  </si>
  <si>
    <t>09/20/1952</t>
  </si>
  <si>
    <t>04/21/1971</t>
  </si>
  <si>
    <t>02/15/1965</t>
  </si>
  <si>
    <t>07/01/1962</t>
  </si>
  <si>
    <t>03/25/1955</t>
  </si>
  <si>
    <t>10/14/1968</t>
  </si>
  <si>
    <t>01/25/1963</t>
  </si>
  <si>
    <t>03/19/1956</t>
  </si>
  <si>
    <t>03/06/1950</t>
  </si>
  <si>
    <t>03/01/1987</t>
  </si>
  <si>
    <t>03/08/1948</t>
  </si>
  <si>
    <t>09/12/1988</t>
  </si>
  <si>
    <t>03/24/1969</t>
  </si>
  <si>
    <t>03/13/1962</t>
  </si>
  <si>
    <t>11/04/1953</t>
  </si>
  <si>
    <t>06/12/1950</t>
  </si>
  <si>
    <t>10/07/1951</t>
  </si>
  <si>
    <t>12/20/1940</t>
  </si>
  <si>
    <t>06/11/1967</t>
  </si>
  <si>
    <t>02/27/1941</t>
  </si>
  <si>
    <t>06/04/1964</t>
  </si>
  <si>
    <t>01/08/1958</t>
  </si>
  <si>
    <t>12/24/1960</t>
  </si>
  <si>
    <t>12/21/1977</t>
  </si>
  <si>
    <t>05/20/1965</t>
  </si>
  <si>
    <t>01/25/1943</t>
  </si>
  <si>
    <t>11/13/1992</t>
  </si>
  <si>
    <t>06/08/1956</t>
  </si>
  <si>
    <t>04/02/1970</t>
  </si>
  <si>
    <t>07/14/1955</t>
  </si>
  <si>
    <t>05/26/1965</t>
  </si>
  <si>
    <t>12/03/1953</t>
  </si>
  <si>
    <t>11/18/1951</t>
  </si>
  <si>
    <t>04/09/1967</t>
  </si>
  <si>
    <t>10/08/1962</t>
  </si>
  <si>
    <t>11/12/1956</t>
  </si>
  <si>
    <t>10/08/1955</t>
  </si>
  <si>
    <t>04/27/1950</t>
  </si>
  <si>
    <t>01/02/1963</t>
  </si>
  <si>
    <t>02/23/1958</t>
  </si>
  <si>
    <t>07/25/1971</t>
  </si>
  <si>
    <t>03/08/1959</t>
  </si>
  <si>
    <t>01/02/1954</t>
  </si>
  <si>
    <t>06/27/1969</t>
  </si>
  <si>
    <t>12/07/1974</t>
  </si>
  <si>
    <t>11/30/1977</t>
  </si>
  <si>
    <t>09/21/1997</t>
  </si>
  <si>
    <t>03/22/1961</t>
  </si>
  <si>
    <t>01/27/1968</t>
  </si>
  <si>
    <t>01/15/1946</t>
  </si>
  <si>
    <t>04/07/1963</t>
  </si>
  <si>
    <t>09/14/1956</t>
  </si>
  <si>
    <t>12/01/1959</t>
  </si>
  <si>
    <t>07/24/1981</t>
  </si>
  <si>
    <t>11/19/1981</t>
  </si>
  <si>
    <t>11/04/1949</t>
  </si>
  <si>
    <t>04/02/1981</t>
  </si>
  <si>
    <t>07/21/1952</t>
  </si>
  <si>
    <t>07/16/1977</t>
  </si>
  <si>
    <t>02/04/1940</t>
  </si>
  <si>
    <t>06/09/1958</t>
  </si>
  <si>
    <t>03/23/1955</t>
  </si>
  <si>
    <t>08/25/1959</t>
  </si>
  <si>
    <t>06/26/1957</t>
  </si>
  <si>
    <t>05/23/1983</t>
  </si>
  <si>
    <t>04/15/1930</t>
  </si>
  <si>
    <t>08/24/1940</t>
  </si>
  <si>
    <t>02/17/1959</t>
  </si>
  <si>
    <t>07/18/1972</t>
  </si>
  <si>
    <t>06/09/1956</t>
  </si>
  <si>
    <t>01/05/1985</t>
  </si>
  <si>
    <t>02/28/1953</t>
  </si>
  <si>
    <t>05/15/1983</t>
  </si>
  <si>
    <t>03/25/1973</t>
  </si>
  <si>
    <t>10/09/1950</t>
  </si>
  <si>
    <t>10/08/1959</t>
  </si>
  <si>
    <t>09/01/1945</t>
  </si>
  <si>
    <t>08/12/1963</t>
  </si>
  <si>
    <t>01/03/1984</t>
  </si>
  <si>
    <t>06/23/1952</t>
  </si>
  <si>
    <t>05/07/1978</t>
  </si>
  <si>
    <t>03/17/1975</t>
  </si>
  <si>
    <t>02/01/1951</t>
  </si>
  <si>
    <t>11/28/1956</t>
  </si>
  <si>
    <t>02/23/1961</t>
  </si>
  <si>
    <t>11/11/1983</t>
  </si>
  <si>
    <t>03/02/1960</t>
  </si>
  <si>
    <t>07/24/1957</t>
  </si>
  <si>
    <t>07/12/1989</t>
  </si>
  <si>
    <t>02/19/1954</t>
  </si>
  <si>
    <t>11/03/1930</t>
  </si>
  <si>
    <t>01/10/1960</t>
  </si>
  <si>
    <t>03/21/1938</t>
  </si>
  <si>
    <t>04/18/1959</t>
  </si>
  <si>
    <t>10/02/1956</t>
  </si>
  <si>
    <t>08/24/1958</t>
  </si>
  <si>
    <t>02/01/1952</t>
  </si>
  <si>
    <t>03/11/1955</t>
  </si>
  <si>
    <t>11/16/1936</t>
  </si>
  <si>
    <t>10/04/1968</t>
  </si>
  <si>
    <t>10/19/1941</t>
  </si>
  <si>
    <t>12/31/1960</t>
  </si>
  <si>
    <t>04/28/1946</t>
  </si>
  <si>
    <t>09/26/1946</t>
  </si>
  <si>
    <t>04/23/1968</t>
  </si>
  <si>
    <t>07/24/1941</t>
  </si>
  <si>
    <t>03/06/1980</t>
  </si>
  <si>
    <t>11/17/1962</t>
  </si>
  <si>
    <t>01/12/1979</t>
  </si>
  <si>
    <t>09/05/1947</t>
  </si>
  <si>
    <t>05/01/1954</t>
  </si>
  <si>
    <t>11/29/1941</t>
  </si>
  <si>
    <t>01/12/1954</t>
  </si>
  <si>
    <t>08/12/1950</t>
  </si>
  <si>
    <t>12/29/1977</t>
  </si>
  <si>
    <t>09/06/1952</t>
  </si>
  <si>
    <t>05/03/1938</t>
  </si>
  <si>
    <t>08/12/1956</t>
  </si>
  <si>
    <t>06/27/1954</t>
  </si>
  <si>
    <t>03/13/1956</t>
  </si>
  <si>
    <t>09/02/1949</t>
  </si>
  <si>
    <t>12/28/1946</t>
  </si>
  <si>
    <t>12/25/1942</t>
  </si>
  <si>
    <t>12/14/1961</t>
  </si>
  <si>
    <t>02/05/1956</t>
  </si>
  <si>
    <t>11/06/1960</t>
  </si>
  <si>
    <t>08/28/1941</t>
  </si>
  <si>
    <t>07/17/1943</t>
  </si>
  <si>
    <t>04/27/1959</t>
  </si>
  <si>
    <t>09/02/1941</t>
  </si>
  <si>
    <t>08/05/1965</t>
  </si>
  <si>
    <t>09/21/1949</t>
  </si>
  <si>
    <t>05/13/1949</t>
  </si>
  <si>
    <t>10/06/1958</t>
  </si>
  <si>
    <t>05/26/1946</t>
  </si>
  <si>
    <t>03/13/1930</t>
  </si>
  <si>
    <t>09/03/1952</t>
  </si>
  <si>
    <t>10/03/1962</t>
  </si>
  <si>
    <t>06/30/1948</t>
  </si>
  <si>
    <t>07/26/1966</t>
  </si>
  <si>
    <t>11/21/1966</t>
  </si>
  <si>
    <t>07/29/1959</t>
  </si>
  <si>
    <t>11/24/1962</t>
  </si>
  <si>
    <t>07/09/1957</t>
  </si>
  <si>
    <t>10/18/1954</t>
  </si>
  <si>
    <t>02/12/1966</t>
  </si>
  <si>
    <t>08/04/1960</t>
  </si>
  <si>
    <t>07/20/1962</t>
  </si>
  <si>
    <t>02/14/1946</t>
  </si>
  <si>
    <t>09/03/1958</t>
  </si>
  <si>
    <t>09/07/1955</t>
  </si>
  <si>
    <t>06/22/1964</t>
  </si>
  <si>
    <t>03/16/1960</t>
  </si>
  <si>
    <t>03/14/1957</t>
  </si>
  <si>
    <t>01/27/1952</t>
  </si>
  <si>
    <t>11/25/1975</t>
  </si>
  <si>
    <t>10/18/1988</t>
  </si>
  <si>
    <t>02/24/1983</t>
  </si>
  <si>
    <t>10/20/1949</t>
  </si>
  <si>
    <t>02/01/1945</t>
  </si>
  <si>
    <t>12/26/1938</t>
  </si>
  <si>
    <t>03/03/1930</t>
  </si>
  <si>
    <t>12/26/1966</t>
  </si>
  <si>
    <t>03/17/1970</t>
  </si>
  <si>
    <t>09/08/1941</t>
  </si>
  <si>
    <t>03/08/1938</t>
  </si>
  <si>
    <t>08/21/1952</t>
  </si>
  <si>
    <t>06/24/1957</t>
  </si>
  <si>
    <t>06/19/1956</t>
  </si>
  <si>
    <t>10/02/1961</t>
  </si>
  <si>
    <t>04/07/1994</t>
  </si>
  <si>
    <t>01/23/1967</t>
  </si>
  <si>
    <t>03/27/1963</t>
  </si>
  <si>
    <t>03/22/1965</t>
  </si>
  <si>
    <t>06/20/1954</t>
  </si>
  <si>
    <t>09/04/1944</t>
  </si>
  <si>
    <t>07/16/1968</t>
  </si>
  <si>
    <t>09/21/1967</t>
  </si>
  <si>
    <t>07/17/1974</t>
  </si>
  <si>
    <t>09/25/1955</t>
  </si>
  <si>
    <t>01/30/1958</t>
  </si>
  <si>
    <t>12/01/1952</t>
  </si>
  <si>
    <t>08/01/1962</t>
  </si>
  <si>
    <t>08/20/1954</t>
  </si>
  <si>
    <t>11/04/1959</t>
  </si>
  <si>
    <t>05/27/1965</t>
  </si>
  <si>
    <t>04/08/1947</t>
  </si>
  <si>
    <t>07/05/1957</t>
  </si>
  <si>
    <t>08/28/1953</t>
  </si>
  <si>
    <t>07/27/1970</t>
  </si>
  <si>
    <t>07/31/1959</t>
  </si>
  <si>
    <t>01/13/1944</t>
  </si>
  <si>
    <t>02/21/1941</t>
  </si>
  <si>
    <t>05/24/1979</t>
  </si>
  <si>
    <t>11/15/1937</t>
  </si>
  <si>
    <t>01/01/1965</t>
  </si>
  <si>
    <t>11/17/1975</t>
  </si>
  <si>
    <t>06/02/1978</t>
  </si>
  <si>
    <t>10/06/1962</t>
  </si>
  <si>
    <t>09/16/1965</t>
  </si>
  <si>
    <t>01/28/1969</t>
  </si>
  <si>
    <t>08/01/1971</t>
  </si>
  <si>
    <t>08/16/1964</t>
  </si>
  <si>
    <t>10/05/1950</t>
  </si>
  <si>
    <t>11/16/1955</t>
  </si>
  <si>
    <t>12/27/1961</t>
  </si>
  <si>
    <t>09/16/1952</t>
  </si>
  <si>
    <t>03/15/1959</t>
  </si>
  <si>
    <t>05/19/1966</t>
  </si>
  <si>
    <t>03/25/1949</t>
  </si>
  <si>
    <t>12/12/1952</t>
  </si>
  <si>
    <t>11/09/1953</t>
  </si>
  <si>
    <t>12/04/1945</t>
  </si>
  <si>
    <t>11/13/1994</t>
  </si>
  <si>
    <t>03/28/1969</t>
  </si>
  <si>
    <t>08/04/1958</t>
  </si>
  <si>
    <t>04/15/1950</t>
  </si>
  <si>
    <t>11/10/1937</t>
  </si>
  <si>
    <t>12/21/1952</t>
  </si>
  <si>
    <t>07/12/1949</t>
  </si>
  <si>
    <t>03/11/1957</t>
  </si>
  <si>
    <t>10/21/1954</t>
  </si>
  <si>
    <t>09/14/1940</t>
  </si>
  <si>
    <t>10/14/1955</t>
  </si>
  <si>
    <t>11/21/1937</t>
  </si>
  <si>
    <t>06/01/1954</t>
  </si>
  <si>
    <t>12/08/1954</t>
  </si>
  <si>
    <t>08/11/1942</t>
  </si>
  <si>
    <t>12/16/1966</t>
  </si>
  <si>
    <t>06/29/1952</t>
  </si>
  <si>
    <t>05/05/1953</t>
  </si>
  <si>
    <t>11/05/1942</t>
  </si>
  <si>
    <t>05/05/1968</t>
  </si>
  <si>
    <t>05/14/1934</t>
  </si>
  <si>
    <t>06/07/1948</t>
  </si>
  <si>
    <t>07/30/1956</t>
  </si>
  <si>
    <t>10/28/1957</t>
  </si>
  <si>
    <t>11/08/1965</t>
  </si>
  <si>
    <t>02/23/1947</t>
  </si>
  <si>
    <t>03/19/1962</t>
  </si>
  <si>
    <t>07/19/1955</t>
  </si>
  <si>
    <t>05/28/1958</t>
  </si>
  <si>
    <t>07/09/1953</t>
  </si>
  <si>
    <t>05/03/1937</t>
  </si>
  <si>
    <t>12/21/1949</t>
  </si>
  <si>
    <t>12/06/1980</t>
  </si>
  <si>
    <t>03/15/1954</t>
  </si>
  <si>
    <t>07/17/1962</t>
  </si>
  <si>
    <t>11/18/1950</t>
  </si>
  <si>
    <t>09/14/1962</t>
  </si>
  <si>
    <t>03/20/1947</t>
  </si>
  <si>
    <t>05/28/1953</t>
  </si>
  <si>
    <t>12/24/1947</t>
  </si>
  <si>
    <t>05/23/1944</t>
  </si>
  <si>
    <t>01/15/1953</t>
  </si>
  <si>
    <t>06/08/1953</t>
  </si>
  <si>
    <t>01/20/1976</t>
  </si>
  <si>
    <t>11/04/1948</t>
  </si>
  <si>
    <t>03/02/1937</t>
  </si>
  <si>
    <t>01/29/1966</t>
  </si>
  <si>
    <t>04/21/1956</t>
  </si>
  <si>
    <t>02/15/1940</t>
  </si>
  <si>
    <t>03/25/1954</t>
  </si>
  <si>
    <t>12/18/1967</t>
  </si>
  <si>
    <t>02/19/1973</t>
  </si>
  <si>
    <t>06/05/1975</t>
  </si>
  <si>
    <t>12/26/1958</t>
  </si>
  <si>
    <t>02/18/1947</t>
  </si>
  <si>
    <t>09/30/1948</t>
  </si>
  <si>
    <t>03/01/1965</t>
  </si>
  <si>
    <t>08/15/1959</t>
  </si>
  <si>
    <t>04/04/1966</t>
  </si>
  <si>
    <t>10/28/1936</t>
  </si>
  <si>
    <t>03/27/1960</t>
  </si>
  <si>
    <t>10/09/1942</t>
  </si>
  <si>
    <t>06/19/1959</t>
  </si>
  <si>
    <t>12/11/1956</t>
  </si>
  <si>
    <t>07/06/1949</t>
  </si>
  <si>
    <t>09/29/1967</t>
  </si>
  <si>
    <t>10/28/1959</t>
  </si>
  <si>
    <t>11/15/1936</t>
  </si>
  <si>
    <t>12/16/1978</t>
  </si>
  <si>
    <t>10/15/1954</t>
  </si>
  <si>
    <t>09/07/1947</t>
  </si>
  <si>
    <t>10/15/1974</t>
  </si>
  <si>
    <t>12/03/1964</t>
  </si>
  <si>
    <t>08/26/1950</t>
  </si>
  <si>
    <t>09/08/1950</t>
  </si>
  <si>
    <t>08/31/1966</t>
  </si>
  <si>
    <t>11/01/1940</t>
  </si>
  <si>
    <t>09/25/1951</t>
  </si>
  <si>
    <t>10/14/1933</t>
  </si>
  <si>
    <t>02/13/1957</t>
  </si>
  <si>
    <t>11/24/1937</t>
  </si>
  <si>
    <t>09/13/1955</t>
  </si>
  <si>
    <t>10/26/1949</t>
  </si>
  <si>
    <t>02/07/1959</t>
  </si>
  <si>
    <t>09/21/1933</t>
  </si>
  <si>
    <t>08/19/1945</t>
  </si>
  <si>
    <t>12/12/1972</t>
  </si>
  <si>
    <t>12/11/1932</t>
  </si>
  <si>
    <t>01/10/1962</t>
  </si>
  <si>
    <t>05/01/1947</t>
  </si>
  <si>
    <t>05/23/1963</t>
  </si>
  <si>
    <t>01/27/1957</t>
  </si>
  <si>
    <t>08/26/1957</t>
  </si>
  <si>
    <t>03/26/1964</t>
  </si>
  <si>
    <t>02/11/1945</t>
  </si>
  <si>
    <t>03/10/1955</t>
  </si>
  <si>
    <t>10/17/1958</t>
  </si>
  <si>
    <t>02/18/1964</t>
  </si>
  <si>
    <t>04/14/1966</t>
  </si>
  <si>
    <t>03/05/1946</t>
  </si>
  <si>
    <t>06/04/1952</t>
  </si>
  <si>
    <t>01/22/1947</t>
  </si>
  <si>
    <t>12/11/1938</t>
  </si>
  <si>
    <t>03/07/1962</t>
  </si>
  <si>
    <t>03/30/1956</t>
  </si>
  <si>
    <t>11/29/1948</t>
  </si>
  <si>
    <t>11/17/1943</t>
  </si>
  <si>
    <t>04/28/1979</t>
  </si>
  <si>
    <t>05/12/1959</t>
  </si>
  <si>
    <t>06/07/1946</t>
  </si>
  <si>
    <t>05/09/1967</t>
  </si>
  <si>
    <t>04/23/1956</t>
  </si>
  <si>
    <t>06/17/1972</t>
  </si>
  <si>
    <t>12/17/1975</t>
  </si>
  <si>
    <t>07/14/1956</t>
  </si>
  <si>
    <t>08/15/1957</t>
  </si>
  <si>
    <t>12/12/1953</t>
  </si>
  <si>
    <t>01/17/1956</t>
  </si>
  <si>
    <t>11/23/1962</t>
  </si>
  <si>
    <t>10/06/1961</t>
  </si>
  <si>
    <t>10/24/1962</t>
  </si>
  <si>
    <t>07/27/1961</t>
  </si>
  <si>
    <t>05/28/1987</t>
  </si>
  <si>
    <t>03/26/1936</t>
  </si>
  <si>
    <t>06/09/1964</t>
  </si>
  <si>
    <t>07/30/1949</t>
  </si>
  <si>
    <t>07/26/1965</t>
  </si>
  <si>
    <t>12/07/1956</t>
  </si>
  <si>
    <t>10/14/1964</t>
  </si>
  <si>
    <t>01/14/1959</t>
  </si>
  <si>
    <t>04/19/1970</t>
  </si>
  <si>
    <t>11/01/1954</t>
  </si>
  <si>
    <t>09/07/1992</t>
  </si>
  <si>
    <t>03/15/1984</t>
  </si>
  <si>
    <t>11/29/1977</t>
  </si>
  <si>
    <t>04/11/1942</t>
  </si>
  <si>
    <t>12/13/1965</t>
  </si>
  <si>
    <t>02/03/1956</t>
  </si>
  <si>
    <t>06/13/1938</t>
  </si>
  <si>
    <t>11/14/1943</t>
  </si>
  <si>
    <t>12/25/1965</t>
  </si>
  <si>
    <t>04/18/1963</t>
  </si>
  <si>
    <t>09/15/1961</t>
  </si>
  <si>
    <t>06/14/1957</t>
  </si>
  <si>
    <t>09/29/1960</t>
  </si>
  <si>
    <t>10/29/1959</t>
  </si>
  <si>
    <t>10/07/1991</t>
  </si>
  <si>
    <t>03/12/1954</t>
  </si>
  <si>
    <t>06/14/1949</t>
  </si>
  <si>
    <t>05/08/1959</t>
  </si>
  <si>
    <t>01/17/1959</t>
  </si>
  <si>
    <t>01/01/1952</t>
  </si>
  <si>
    <t>12/11/1952</t>
  </si>
  <si>
    <t>05/30/1959</t>
  </si>
  <si>
    <t>03/18/1945</t>
  </si>
  <si>
    <t>02/27/1964</t>
  </si>
  <si>
    <t>04/21/1944</t>
  </si>
  <si>
    <t>10/17/1947</t>
  </si>
  <si>
    <t>05/24/1954</t>
  </si>
  <si>
    <t>12/17/1963</t>
  </si>
  <si>
    <t>06/09/1968</t>
  </si>
  <si>
    <t>08/09/1963</t>
  </si>
  <si>
    <t>09/09/1949</t>
  </si>
  <si>
    <t>12/08/1944</t>
  </si>
  <si>
    <t>09/03/1965</t>
  </si>
  <si>
    <t>10/04/1993</t>
  </si>
  <si>
    <t>11/21/1954</t>
  </si>
  <si>
    <t>10/19/1934</t>
  </si>
  <si>
    <t>02/02/1968</t>
  </si>
  <si>
    <t>02/20/1943</t>
  </si>
  <si>
    <t>03/08/1960</t>
  </si>
  <si>
    <t>01/02/1958</t>
  </si>
  <si>
    <t>05/09/1958</t>
  </si>
  <si>
    <t>06/13/1955</t>
  </si>
  <si>
    <t>03/29/1937</t>
  </si>
  <si>
    <t>10/12/1956</t>
  </si>
  <si>
    <t>03/18/1944</t>
  </si>
  <si>
    <t>07/29/1950</t>
  </si>
  <si>
    <t>06/02/1963</t>
  </si>
  <si>
    <t>07/27/1940</t>
  </si>
  <si>
    <t>11/04/1952</t>
  </si>
  <si>
    <t>08/28/1955</t>
  </si>
  <si>
    <t>07/10/1952</t>
  </si>
  <si>
    <t>10/05/1942</t>
  </si>
  <si>
    <t>10/25/1954</t>
  </si>
  <si>
    <t>06/26/1963</t>
  </si>
  <si>
    <t>02/13/1954</t>
  </si>
  <si>
    <t>07/21/1941</t>
  </si>
  <si>
    <t>01/16/1939</t>
  </si>
  <si>
    <t>02/03/1941</t>
  </si>
  <si>
    <t>07/15/1961</t>
  </si>
  <si>
    <t>06/29/1959</t>
  </si>
  <si>
    <t>06/16/1952</t>
  </si>
  <si>
    <t>01/05/1957</t>
  </si>
  <si>
    <t>04/16/1962</t>
  </si>
  <si>
    <t>06/19/1976</t>
  </si>
  <si>
    <t>04/19/1953</t>
  </si>
  <si>
    <t>12/17/1956</t>
  </si>
  <si>
    <t>07/23/1943</t>
  </si>
  <si>
    <t>08/08/1938</t>
  </si>
  <si>
    <t>06/09/1971</t>
  </si>
  <si>
    <t>07/13/1963</t>
  </si>
  <si>
    <t>03/01/1982</t>
  </si>
  <si>
    <t>03/17/1969</t>
  </si>
  <si>
    <t>06/19/1965</t>
  </si>
  <si>
    <t>02/25/1946</t>
  </si>
  <si>
    <t>02/14/1952</t>
  </si>
  <si>
    <t>03/15/1987</t>
  </si>
  <si>
    <t>11/17/1945</t>
  </si>
  <si>
    <t>02/21/1963</t>
  </si>
  <si>
    <t>09/09/1959</t>
  </si>
  <si>
    <t>06/15/1975</t>
  </si>
  <si>
    <t>03/11/1933</t>
  </si>
  <si>
    <t>09/14/1952</t>
  </si>
  <si>
    <t>08/13/1947</t>
  </si>
  <si>
    <t>05/26/1952</t>
  </si>
  <si>
    <t>05/16/1952</t>
  </si>
  <si>
    <t>03/14/1956</t>
  </si>
  <si>
    <t>06/11/1956</t>
  </si>
  <si>
    <t>05/12/1962</t>
  </si>
  <si>
    <t>03/13/1969</t>
  </si>
  <si>
    <t>08/13/1937</t>
  </si>
  <si>
    <t>08/11/1949</t>
  </si>
  <si>
    <t>03/16/1959</t>
  </si>
  <si>
    <t>01/18/1969</t>
  </si>
  <si>
    <t>11/22/1946</t>
  </si>
  <si>
    <t>02/04/1961</t>
  </si>
  <si>
    <t>08/14/1959</t>
  </si>
  <si>
    <t>05/21/1935</t>
  </si>
  <si>
    <t>07/15/1957</t>
  </si>
  <si>
    <t>08/11/1948</t>
  </si>
  <si>
    <t>12/14/1948</t>
  </si>
  <si>
    <t>09/18/1967</t>
  </si>
  <si>
    <t>09/09/1940</t>
  </si>
  <si>
    <t>10/03/1988</t>
  </si>
  <si>
    <t>04/30/1941</t>
  </si>
  <si>
    <t>04/28/1939</t>
  </si>
  <si>
    <t>08/04/1964</t>
  </si>
  <si>
    <t>12/22/1959</t>
  </si>
  <si>
    <t>06/05/1952</t>
  </si>
  <si>
    <t>02/20/1955</t>
  </si>
  <si>
    <t>01/03/1945</t>
  </si>
  <si>
    <t>10/14/1978</t>
  </si>
  <si>
    <t>08/10/1994</t>
  </si>
  <si>
    <t>11/14/1953</t>
  </si>
  <si>
    <t>08/10/1957</t>
  </si>
  <si>
    <t>10/10/1944</t>
  </si>
  <si>
    <t>11/21/1944</t>
  </si>
  <si>
    <t>08/18/1945</t>
  </si>
  <si>
    <t>08/06/1988</t>
  </si>
  <si>
    <t>08/03/1976</t>
  </si>
  <si>
    <t>02/12/1944</t>
  </si>
  <si>
    <t>01/31/1951</t>
  </si>
  <si>
    <t>10/29/1934</t>
  </si>
  <si>
    <t>04/09/1971</t>
  </si>
  <si>
    <t>07/09/1960</t>
  </si>
  <si>
    <t>04/17/1955</t>
  </si>
  <si>
    <t>02/18/1936</t>
  </si>
  <si>
    <t>08/28/1960</t>
  </si>
  <si>
    <t>11/18/1963</t>
  </si>
  <si>
    <t>07/26/1964</t>
  </si>
  <si>
    <t>04/30/1964</t>
  </si>
  <si>
    <t>04/07/1947</t>
  </si>
  <si>
    <t>12/19/1953</t>
  </si>
  <si>
    <t>01/26/1939</t>
  </si>
  <si>
    <t>10/18/1965</t>
  </si>
  <si>
    <t>04/04/1991</t>
  </si>
  <si>
    <t>01/14/1963</t>
  </si>
  <si>
    <t>08/27/1976</t>
  </si>
  <si>
    <t>10/22/1935</t>
  </si>
  <si>
    <t>07/31/1932</t>
  </si>
  <si>
    <t>10/27/1984</t>
  </si>
  <si>
    <t>08/28/1968</t>
  </si>
  <si>
    <t>01/18/1994</t>
  </si>
  <si>
    <t>06/11/1958</t>
  </si>
  <si>
    <t>02/14/1969</t>
  </si>
  <si>
    <t>10/05/1941</t>
  </si>
  <si>
    <t>03/20/1968</t>
  </si>
  <si>
    <t>07/02/1954</t>
  </si>
  <si>
    <t>09/27/1957</t>
  </si>
  <si>
    <t>10/13/1952</t>
  </si>
  <si>
    <t>09/26/1955</t>
  </si>
  <si>
    <t>12/26/1946</t>
  </si>
  <si>
    <t>11/14/1960</t>
  </si>
  <si>
    <t>10/02/1941</t>
  </si>
  <si>
    <t>09/25/1954</t>
  </si>
  <si>
    <t>11/01/1978</t>
  </si>
  <si>
    <t>06/30/1957</t>
  </si>
  <si>
    <t>08/30/1951</t>
  </si>
  <si>
    <t>05/08/1967</t>
  </si>
  <si>
    <t>10/24/1992</t>
  </si>
  <si>
    <t>10/10/1943</t>
  </si>
  <si>
    <t>01/26/1991</t>
  </si>
  <si>
    <t>06/22/1949</t>
  </si>
  <si>
    <t>02/23/1952</t>
  </si>
  <si>
    <t>05/04/1972</t>
  </si>
  <si>
    <t>05/04/1990</t>
  </si>
  <si>
    <t>03/25/1947</t>
  </si>
  <si>
    <t>03/28/1960</t>
  </si>
  <si>
    <t>12/15/1964</t>
  </si>
  <si>
    <t>04/06/1943</t>
  </si>
  <si>
    <t>03/01/1948</t>
  </si>
  <si>
    <t>07/04/1943</t>
  </si>
  <si>
    <t>09/24/1964</t>
  </si>
  <si>
    <t>03/26/1948</t>
  </si>
  <si>
    <t>06/22/1954</t>
  </si>
  <si>
    <t>01/30/1949</t>
  </si>
  <si>
    <t>07/06/1948</t>
  </si>
  <si>
    <t>08/21/1946</t>
  </si>
  <si>
    <t>08/20/1958</t>
  </si>
  <si>
    <t>09/07/1954</t>
  </si>
  <si>
    <t>01/15/1962</t>
  </si>
  <si>
    <t>08/23/1962</t>
  </si>
  <si>
    <t>05/26/1963</t>
  </si>
  <si>
    <t>01/19/1975</t>
  </si>
  <si>
    <t>04/03/1951</t>
  </si>
  <si>
    <t>03/13/1953</t>
  </si>
  <si>
    <t>07/09/1951</t>
  </si>
  <si>
    <t>11/12/1944</t>
  </si>
  <si>
    <t>02/08/1965</t>
  </si>
  <si>
    <t>11/05/1964</t>
  </si>
  <si>
    <t>08/04/1955</t>
  </si>
  <si>
    <t>06/18/1996</t>
  </si>
  <si>
    <t>03/19/1955</t>
  </si>
  <si>
    <t>02/11/1943</t>
  </si>
  <si>
    <t>06/17/1980</t>
  </si>
  <si>
    <t>05/30/1946</t>
  </si>
  <si>
    <t>12/09/1937</t>
  </si>
  <si>
    <t>08/30/1969</t>
  </si>
  <si>
    <t>09/08/1945</t>
  </si>
  <si>
    <t>01/03/1948</t>
  </si>
  <si>
    <t>08/09/1976</t>
  </si>
  <si>
    <t>08/30/1965</t>
  </si>
  <si>
    <t>04/03/1955</t>
  </si>
  <si>
    <t>08/04/1961</t>
  </si>
  <si>
    <t>12/11/1951</t>
  </si>
  <si>
    <t>09/16/1955</t>
  </si>
  <si>
    <t>07/31/1968</t>
  </si>
  <si>
    <t>07/15/1985</t>
  </si>
  <si>
    <t>04/19/1952</t>
  </si>
  <si>
    <t>06/27/1991</t>
  </si>
  <si>
    <t>12/22/1967</t>
  </si>
  <si>
    <t>12/19/1954</t>
  </si>
  <si>
    <t>07/12/1956</t>
  </si>
  <si>
    <t>05/22/1929</t>
  </si>
  <si>
    <t>10/06/1957</t>
  </si>
  <si>
    <t>10/02/1949</t>
  </si>
  <si>
    <t>09/23/1968</t>
  </si>
  <si>
    <t>12/31/1958</t>
  </si>
  <si>
    <t>02/12/1974</t>
  </si>
  <si>
    <t>08/15/1964</t>
  </si>
  <si>
    <t>11/18/1977</t>
  </si>
  <si>
    <t>02/16/1962</t>
  </si>
  <si>
    <t>09/22/1937</t>
  </si>
  <si>
    <t>06/24/1964</t>
  </si>
  <si>
    <t>07/25/1975</t>
  </si>
  <si>
    <t>05/13/1950</t>
  </si>
  <si>
    <t>06/02/1947</t>
  </si>
  <si>
    <t>05/15/1970</t>
  </si>
  <si>
    <t>10/23/1974</t>
  </si>
  <si>
    <t>07/03/1935</t>
  </si>
  <si>
    <t>04/24/1964</t>
  </si>
  <si>
    <t>05/17/1952</t>
  </si>
  <si>
    <t>10/26/1946</t>
  </si>
  <si>
    <t>06/23/1974</t>
  </si>
  <si>
    <t>09/06/1989</t>
  </si>
  <si>
    <t>11/07/1949</t>
  </si>
  <si>
    <t>01/25/1940</t>
  </si>
  <si>
    <t>05/06/1953</t>
  </si>
  <si>
    <t>09/16/1953</t>
  </si>
  <si>
    <t>05/05/1948</t>
  </si>
  <si>
    <t>11/18/1943</t>
  </si>
  <si>
    <t>10/21/1965</t>
  </si>
  <si>
    <t>12/04/1973</t>
  </si>
  <si>
    <t>12/29/1969</t>
  </si>
  <si>
    <t>03/08/1944</t>
  </si>
  <si>
    <t>10/09/1933</t>
  </si>
  <si>
    <t>06/27/1948</t>
  </si>
  <si>
    <t>10/07/1947</t>
  </si>
  <si>
    <t>05/25/1936</t>
  </si>
  <si>
    <t>01/23/1940</t>
  </si>
  <si>
    <t>08/12/1955</t>
  </si>
  <si>
    <t>06/30/1961</t>
  </si>
  <si>
    <t>11/20/1959</t>
  </si>
  <si>
    <t>04/19/1960</t>
  </si>
  <si>
    <t>10/04/1987</t>
  </si>
  <si>
    <t>04/22/1951</t>
  </si>
  <si>
    <t>09/24/1938</t>
  </si>
  <si>
    <t>06/28/1965</t>
  </si>
  <si>
    <t>04/15/1944</t>
  </si>
  <si>
    <t>08/02/1941</t>
  </si>
  <si>
    <t>05/29/1992</t>
  </si>
  <si>
    <t>11/15/1991</t>
  </si>
  <si>
    <t>04/03/1996</t>
  </si>
  <si>
    <t>01/26/1971</t>
  </si>
  <si>
    <t>12/25/1938</t>
  </si>
  <si>
    <t>07/03/1944</t>
  </si>
  <si>
    <t>12/04/1986</t>
  </si>
  <si>
    <t>10/23/1973</t>
  </si>
  <si>
    <t>04/12/1937</t>
  </si>
  <si>
    <t>05/27/1959</t>
  </si>
  <si>
    <t>05/16/1956</t>
  </si>
  <si>
    <t>07/12/1977</t>
  </si>
  <si>
    <t>11/17/1936</t>
  </si>
  <si>
    <t>11/06/1975</t>
  </si>
  <si>
    <t>01/12/1969</t>
  </si>
  <si>
    <t>09/21/1958</t>
  </si>
  <si>
    <t>03/11/1959</t>
  </si>
  <si>
    <t>12/18/1961</t>
  </si>
  <si>
    <t>02/07/1949</t>
  </si>
  <si>
    <t>06/03/1982</t>
  </si>
  <si>
    <t>08/14/1939</t>
  </si>
  <si>
    <t>10/26/1947</t>
  </si>
  <si>
    <t>10/03/1963</t>
  </si>
  <si>
    <t>01/25/1998</t>
  </si>
  <si>
    <t>08/02/1950</t>
  </si>
  <si>
    <t>04/06/1961</t>
  </si>
  <si>
    <t>04/29/1961</t>
  </si>
  <si>
    <t>11/16/1961</t>
  </si>
  <si>
    <t>04/17/1946</t>
  </si>
  <si>
    <t>08/29/1945</t>
  </si>
  <si>
    <t>12/24/1957</t>
  </si>
  <si>
    <t>04/15/1963</t>
  </si>
  <si>
    <t>09/24/1977</t>
  </si>
  <si>
    <t>12/11/1940</t>
  </si>
  <si>
    <t>06/30/1989</t>
  </si>
  <si>
    <t>07/23/1992</t>
  </si>
  <si>
    <t>05/08/1972</t>
  </si>
  <si>
    <t>08/13/1952</t>
  </si>
  <si>
    <t>03/10/1969</t>
  </si>
  <si>
    <t>04/09/1937</t>
  </si>
  <si>
    <t>09/12/1961</t>
  </si>
  <si>
    <t>06/27/1978</t>
  </si>
  <si>
    <t>08/11/1952</t>
  </si>
  <si>
    <t>02/11/1951</t>
  </si>
  <si>
    <t>12/15/1969</t>
  </si>
  <si>
    <t>04/16/1946</t>
  </si>
  <si>
    <t>01/18/1942</t>
  </si>
  <si>
    <t>12/27/1978</t>
  </si>
  <si>
    <t>08/09/1961</t>
  </si>
  <si>
    <t>10/19/1964</t>
  </si>
  <si>
    <t>06/14/1952</t>
  </si>
  <si>
    <t>07/03/1949</t>
  </si>
  <si>
    <t>07/15/1974</t>
  </si>
  <si>
    <t>02/05/1968</t>
  </si>
  <si>
    <t>03/31/1965</t>
  </si>
  <si>
    <t>09/09/1962</t>
  </si>
  <si>
    <t>06/22/1952</t>
  </si>
  <si>
    <t>03/08/1955</t>
  </si>
  <si>
    <t>03/22/1959</t>
  </si>
  <si>
    <t>02/03/1958</t>
  </si>
  <si>
    <t>10/18/1956</t>
  </si>
  <si>
    <t>10/11/1964</t>
  </si>
  <si>
    <t>06/01/1969</t>
  </si>
  <si>
    <t>06/29/1962</t>
  </si>
  <si>
    <t>02/22/1949</t>
  </si>
  <si>
    <t>10/29/1943</t>
  </si>
  <si>
    <t>09/07/1990</t>
  </si>
  <si>
    <t>10/13/1944</t>
  </si>
  <si>
    <t>01/23/1964</t>
  </si>
  <si>
    <t>09/25/1948</t>
  </si>
  <si>
    <t>05/23/1955</t>
  </si>
  <si>
    <t>01/16/1954</t>
  </si>
  <si>
    <t>09/25/1934</t>
  </si>
  <si>
    <t>06/09/1960</t>
  </si>
  <si>
    <t>09/08/1996</t>
  </si>
  <si>
    <t>06/12/1946</t>
  </si>
  <si>
    <t>12/04/1963</t>
  </si>
  <si>
    <t>05/01/1942</t>
  </si>
  <si>
    <t>05/09/1981</t>
  </si>
  <si>
    <t>12/06/1955</t>
  </si>
  <si>
    <t>10/03/1977</t>
  </si>
  <si>
    <t>08/15/1947</t>
  </si>
  <si>
    <t>07/20/1942</t>
  </si>
  <si>
    <t>01/08/1983</t>
  </si>
  <si>
    <t>01/15/1987</t>
  </si>
  <si>
    <t>03/05/1941</t>
  </si>
  <si>
    <t>09/17/1955</t>
  </si>
  <si>
    <t>11/24/1997</t>
  </si>
  <si>
    <t>06/26/1968</t>
  </si>
  <si>
    <t>12/23/1982</t>
  </si>
  <si>
    <t>04/30/1947</t>
  </si>
  <si>
    <t>04/23/1996</t>
  </si>
  <si>
    <t>09/30/1957</t>
  </si>
  <si>
    <t>01/04/1953</t>
  </si>
  <si>
    <t>03/11/1960</t>
  </si>
  <si>
    <t>07/22/1931</t>
  </si>
  <si>
    <t>06/16/1951</t>
  </si>
  <si>
    <t>07/04/1964</t>
  </si>
  <si>
    <t>10/06/1970</t>
  </si>
  <si>
    <t>06/25/1970</t>
  </si>
  <si>
    <t>12/04/1979</t>
  </si>
  <si>
    <t>02/05/1958</t>
  </si>
  <si>
    <t>06/28/1940</t>
  </si>
  <si>
    <t>05/10/1938</t>
  </si>
  <si>
    <t>06/17/1955</t>
  </si>
  <si>
    <t>05/24/1953</t>
  </si>
  <si>
    <t>12/08/1973</t>
  </si>
  <si>
    <t>01/14/1961</t>
  </si>
  <si>
    <t>04/13/1969</t>
  </si>
  <si>
    <t>05/23/1956</t>
  </si>
  <si>
    <t>06/19/1968</t>
  </si>
  <si>
    <t>03/14/1945</t>
  </si>
  <si>
    <t>10/28/1981</t>
  </si>
  <si>
    <t>06/27/1966</t>
  </si>
  <si>
    <t>12/27/1965</t>
  </si>
  <si>
    <t>04/13/1960</t>
  </si>
  <si>
    <t>06/01/1963</t>
  </si>
  <si>
    <t>06/04/1956</t>
  </si>
  <si>
    <t>06/06/1979</t>
  </si>
  <si>
    <t>05/10/1957</t>
  </si>
  <si>
    <t>04/03/1929</t>
  </si>
  <si>
    <t>03/05/1964</t>
  </si>
  <si>
    <t>02/05/1954</t>
  </si>
  <si>
    <t>11/18/1967</t>
  </si>
  <si>
    <t>12/06/1984</t>
  </si>
  <si>
    <t>10/10/1974</t>
  </si>
  <si>
    <t>08/16/1958</t>
  </si>
  <si>
    <t>05/28/1967</t>
  </si>
  <si>
    <t>08/25/2017</t>
  </si>
  <si>
    <t>03/21/1954</t>
  </si>
  <si>
    <t>02/01/1946</t>
  </si>
  <si>
    <t>09/03/1938</t>
  </si>
  <si>
    <t>01/20/1983</t>
  </si>
  <si>
    <t>11/11/1952</t>
  </si>
  <si>
    <t>01/04/1957</t>
  </si>
  <si>
    <t>06/16/1976</t>
  </si>
  <si>
    <t>07/17/1953</t>
  </si>
  <si>
    <t>04/28/1970</t>
  </si>
  <si>
    <t>11/02/1962</t>
  </si>
  <si>
    <t>07/09/1975</t>
  </si>
  <si>
    <t>05/18/1963</t>
  </si>
  <si>
    <t>11/01/1959</t>
  </si>
  <si>
    <t>01/10/1947</t>
  </si>
  <si>
    <t>01/08/1943</t>
  </si>
  <si>
    <t>08/28/1949</t>
  </si>
  <si>
    <t>10/16/1949</t>
  </si>
  <si>
    <t>08/08/1954</t>
  </si>
  <si>
    <t>07/09/1939</t>
  </si>
  <si>
    <t>12/18/1974</t>
  </si>
  <si>
    <t>07/27/1943</t>
  </si>
  <si>
    <t>06/17/1961</t>
  </si>
  <si>
    <t>01/04/1964</t>
  </si>
  <si>
    <t>12/25/1957</t>
  </si>
  <si>
    <t>06/10/1946</t>
  </si>
  <si>
    <t>06/07/1983</t>
  </si>
  <si>
    <t>11/26/1962</t>
  </si>
  <si>
    <t>08/05/1991</t>
  </si>
  <si>
    <t>11/10/1955</t>
  </si>
  <si>
    <t>09/20/1966</t>
  </si>
  <si>
    <t>09/16/1939</t>
  </si>
  <si>
    <t>05/22/1951</t>
  </si>
  <si>
    <t>10/24/1947</t>
  </si>
  <si>
    <t>04/07/1972</t>
  </si>
  <si>
    <t>09/22/1954</t>
  </si>
  <si>
    <t>09/19/1919</t>
  </si>
  <si>
    <t>05/10/1931</t>
  </si>
  <si>
    <t>08/02/1960</t>
  </si>
  <si>
    <t>10/30/1966</t>
  </si>
  <si>
    <t>12/13/1982</t>
  </si>
  <si>
    <t>03/22/1948</t>
  </si>
  <si>
    <t>01/01/1943</t>
  </si>
  <si>
    <t>12/23/1963</t>
  </si>
  <si>
    <t>12/12/1962</t>
  </si>
  <si>
    <t>04/11/1971</t>
  </si>
  <si>
    <t>02/11/1937</t>
  </si>
  <si>
    <t>08/14/1949</t>
  </si>
  <si>
    <t>11/04/1973</t>
  </si>
  <si>
    <t>03/18/1965</t>
  </si>
  <si>
    <t>06/30/1954</t>
  </si>
  <si>
    <t>09/29/1962</t>
  </si>
  <si>
    <t>05/20/1987</t>
  </si>
  <si>
    <t>02/25/1964</t>
  </si>
  <si>
    <t>06/05/1986</t>
  </si>
  <si>
    <t>10/26/1983</t>
  </si>
  <si>
    <t>10/15/1953</t>
  </si>
  <si>
    <t>10/01/1963</t>
  </si>
  <si>
    <t>03/13/1941</t>
  </si>
  <si>
    <t>08/24/1954</t>
  </si>
  <si>
    <t>11/29/1958</t>
  </si>
  <si>
    <t>03/03/1957</t>
  </si>
  <si>
    <t>04/18/1950</t>
  </si>
  <si>
    <t>02/27/1949</t>
  </si>
  <si>
    <t>04/21/1957</t>
  </si>
  <si>
    <t>07/22/1953</t>
  </si>
  <si>
    <t>10/11/1951</t>
  </si>
  <si>
    <t>01/10/1973</t>
  </si>
  <si>
    <t>12/26/1952</t>
  </si>
  <si>
    <t>04/23/1952</t>
  </si>
  <si>
    <t>01/29/1959</t>
  </si>
  <si>
    <t>09/13/1957</t>
  </si>
  <si>
    <t>10/30/1968</t>
  </si>
  <si>
    <t>02/03/1947</t>
  </si>
  <si>
    <t>12/26/1963</t>
  </si>
  <si>
    <t>01/20/1967</t>
  </si>
  <si>
    <t>02/14/1965</t>
  </si>
  <si>
    <t>02/01/1983</t>
  </si>
  <si>
    <t>01/21/1959</t>
  </si>
  <si>
    <t>07/24/1939</t>
  </si>
  <si>
    <t>12/28/1943</t>
  </si>
  <si>
    <t>02/06/1969</t>
  </si>
  <si>
    <t>06/12/1955</t>
  </si>
  <si>
    <t>08/31/1958</t>
  </si>
  <si>
    <t>08/30/1952</t>
  </si>
  <si>
    <t>10/15/1965</t>
  </si>
  <si>
    <t>12/08/1943</t>
  </si>
  <si>
    <t>05/23/1961</t>
  </si>
  <si>
    <t>02/25/1960</t>
  </si>
  <si>
    <t>06/11/1950</t>
  </si>
  <si>
    <t>03/13/1989</t>
  </si>
  <si>
    <t>09/07/1956</t>
  </si>
  <si>
    <t>06/25/1956</t>
  </si>
  <si>
    <t>08/26/1945</t>
  </si>
  <si>
    <t>12/20/1948</t>
  </si>
  <si>
    <t>04/30/1939</t>
  </si>
  <si>
    <t>04/18/1964</t>
  </si>
  <si>
    <t>06/15/1954</t>
  </si>
  <si>
    <t>10/30/1961</t>
  </si>
  <si>
    <t>05/22/1953</t>
  </si>
  <si>
    <t>06/24/1956</t>
  </si>
  <si>
    <t>12/10/1988</t>
  </si>
  <si>
    <t>06/10/1958</t>
  </si>
  <si>
    <t>04/21/1961</t>
  </si>
  <si>
    <t>04/20/1984</t>
  </si>
  <si>
    <t>11/23/1970</t>
  </si>
  <si>
    <t>04/25/1962</t>
  </si>
  <si>
    <t>01/25/1945</t>
  </si>
  <si>
    <t>08/20/1950</t>
  </si>
  <si>
    <t>04/11/1974</t>
  </si>
  <si>
    <t>06/08/1960</t>
  </si>
  <si>
    <t>04/09/1964</t>
  </si>
  <si>
    <t>11/25/1940</t>
  </si>
  <si>
    <t>08/15/1968</t>
  </si>
  <si>
    <t>12/12/1975</t>
  </si>
  <si>
    <t>09/24/1937</t>
  </si>
  <si>
    <t>09/02/1968</t>
  </si>
  <si>
    <t>09/13/1941</t>
  </si>
  <si>
    <t>09/25/1995</t>
  </si>
  <si>
    <t>01/19/1995</t>
  </si>
  <si>
    <t>12/29/1946</t>
  </si>
  <si>
    <t>02/18/1980</t>
  </si>
  <si>
    <t>04/08/1993</t>
  </si>
  <si>
    <t>12/16/1946</t>
  </si>
  <si>
    <t>02/05/1997</t>
  </si>
  <si>
    <t>11/23/1964</t>
  </si>
  <si>
    <t>08/22/1965</t>
  </si>
  <si>
    <t>04/11/1967</t>
  </si>
  <si>
    <t>05/27/1966</t>
  </si>
  <si>
    <t>09/07/1937</t>
  </si>
  <si>
    <t>03/08/1952</t>
  </si>
  <si>
    <t>05/29/1949</t>
  </si>
  <si>
    <t>03/26/1974</t>
  </si>
  <si>
    <t>12/02/1959</t>
  </si>
  <si>
    <t>12/03/1954</t>
  </si>
  <si>
    <t>08/11/1945</t>
  </si>
  <si>
    <t>11/19/1945</t>
  </si>
  <si>
    <t>03/09/1973</t>
  </si>
  <si>
    <t>07/15/1958</t>
  </si>
  <si>
    <t>01/09/1955</t>
  </si>
  <si>
    <t>10/20/1954</t>
  </si>
  <si>
    <t>04/13/1981</t>
  </si>
  <si>
    <t>02/08/1962</t>
  </si>
  <si>
    <t>01/19/1953</t>
  </si>
  <si>
    <t>04/03/1948</t>
  </si>
  <si>
    <t>11/10/1970</t>
  </si>
  <si>
    <t>03/24/1958</t>
  </si>
  <si>
    <t>02/25/1987</t>
  </si>
  <si>
    <t>05/18/1986</t>
  </si>
  <si>
    <t>07/12/1979</t>
  </si>
  <si>
    <t>08/01/1978</t>
  </si>
  <si>
    <t>04/06/1984</t>
  </si>
  <si>
    <t>05/22/1958</t>
  </si>
  <si>
    <t>03/30/1933</t>
  </si>
  <si>
    <t>11/22/1959</t>
  </si>
  <si>
    <t>07/22/1979</t>
  </si>
  <si>
    <t>04/04/1959</t>
  </si>
  <si>
    <t>05/11/1979</t>
  </si>
  <si>
    <t>06/13/1978</t>
  </si>
  <si>
    <t>10/01/1968</t>
  </si>
  <si>
    <t>08/03/1964</t>
  </si>
  <si>
    <t>03/19/1938</t>
  </si>
  <si>
    <t>08/31/1960</t>
  </si>
  <si>
    <t>11/12/1967</t>
  </si>
  <si>
    <t>10/14/1952</t>
  </si>
  <si>
    <t>02/17/1960</t>
  </si>
  <si>
    <t>04/23/1964</t>
  </si>
  <si>
    <t>11/01/1957</t>
  </si>
  <si>
    <t>01/19/1942</t>
  </si>
  <si>
    <t>01/26/1976</t>
  </si>
  <si>
    <t>02/14/1955</t>
  </si>
  <si>
    <t>04/24/1950</t>
  </si>
  <si>
    <t>03/20/1949</t>
  </si>
  <si>
    <t>10/08/1957</t>
  </si>
  <si>
    <t>06/06/1971</t>
  </si>
  <si>
    <t>08/25/1952</t>
  </si>
  <si>
    <t>06/17/1941</t>
  </si>
  <si>
    <t>05/22/1962</t>
  </si>
  <si>
    <t>09/04/1952</t>
  </si>
  <si>
    <t>01/01/1964</t>
  </si>
  <si>
    <t>11/27/1962</t>
  </si>
  <si>
    <t>08/26/1963</t>
  </si>
  <si>
    <t>06/07/1957</t>
  </si>
  <si>
    <t>01/01/1962</t>
  </si>
  <si>
    <t>06/30/1993</t>
  </si>
  <si>
    <t>10/25/1956</t>
  </si>
  <si>
    <t>01/10/1968</t>
  </si>
  <si>
    <t>08/20/1944</t>
  </si>
  <si>
    <t>08/10/1968</t>
  </si>
  <si>
    <t>05/10/1927</t>
  </si>
  <si>
    <t>10/11/1955</t>
  </si>
  <si>
    <t>01/01/1966</t>
  </si>
  <si>
    <t>06/25/1966</t>
  </si>
  <si>
    <t>11/11/1962</t>
  </si>
  <si>
    <t>05/26/1961</t>
  </si>
  <si>
    <t>04/26/1976</t>
  </si>
  <si>
    <t>07/26/1961</t>
  </si>
  <si>
    <t>06/03/1965</t>
  </si>
  <si>
    <t>07/12/1973</t>
  </si>
  <si>
    <t>08/08/1955</t>
  </si>
  <si>
    <t>02/10/1954</t>
  </si>
  <si>
    <t>03/31/1970</t>
  </si>
  <si>
    <t>11/24/1978</t>
  </si>
  <si>
    <t>10/01/1932</t>
  </si>
  <si>
    <t>06/02/1957</t>
  </si>
  <si>
    <t>09/27/1983</t>
  </si>
  <si>
    <t>04/26/1987</t>
  </si>
  <si>
    <t>11/19/1971</t>
  </si>
  <si>
    <t>11/21/1996</t>
  </si>
  <si>
    <t>10/06/1946</t>
  </si>
  <si>
    <t>02/02/1954</t>
  </si>
  <si>
    <t>06/15/1946</t>
  </si>
  <si>
    <t>08/12/1952</t>
  </si>
  <si>
    <t>09/22/1956</t>
  </si>
  <si>
    <t>03/12/1970</t>
  </si>
  <si>
    <t>03/01/1974</t>
  </si>
  <si>
    <t>08/27/1983</t>
  </si>
  <si>
    <t>01/05/1958</t>
  </si>
  <si>
    <t>10/27/1959</t>
  </si>
  <si>
    <t>03/26/1949</t>
  </si>
  <si>
    <t>05/11/1956</t>
  </si>
  <si>
    <t>06/08/1974</t>
  </si>
  <si>
    <t>09/20/1988</t>
  </si>
  <si>
    <t>03/11/1941</t>
  </si>
  <si>
    <t>10/03/1961</t>
  </si>
  <si>
    <t>03/21/1966</t>
  </si>
  <si>
    <t>02/28/1963</t>
  </si>
  <si>
    <t>05/08/1961</t>
  </si>
  <si>
    <t>07/10/1963</t>
  </si>
  <si>
    <t>02/19/1959</t>
  </si>
  <si>
    <t>09/28/1969</t>
  </si>
  <si>
    <t>01/02/1949</t>
  </si>
  <si>
    <t>06/17/1966</t>
  </si>
  <si>
    <t>06/11/1964</t>
  </si>
  <si>
    <t>06/30/1945</t>
  </si>
  <si>
    <t>09/08/1977</t>
  </si>
  <si>
    <t>07/20/1953</t>
  </si>
  <si>
    <t>06/22/1963</t>
  </si>
  <si>
    <t>08/04/1942</t>
  </si>
  <si>
    <t>03/21/1955</t>
  </si>
  <si>
    <t>07/14/1979</t>
  </si>
  <si>
    <t>04/22/1978</t>
  </si>
  <si>
    <t>01/19/1967</t>
  </si>
  <si>
    <t>08/16/1974</t>
  </si>
  <si>
    <t>02/25/1979</t>
  </si>
  <si>
    <t>11/28/1971</t>
  </si>
  <si>
    <t>06/07/1955</t>
  </si>
  <si>
    <t>12/24/1958</t>
  </si>
  <si>
    <t>07/23/1956</t>
  </si>
  <si>
    <t>06/14/1955</t>
  </si>
  <si>
    <t>08/03/1944</t>
  </si>
  <si>
    <t>02/12/1962</t>
  </si>
  <si>
    <t>02/18/1968</t>
  </si>
  <si>
    <t>12/03/1946</t>
  </si>
  <si>
    <t>02/14/1940</t>
  </si>
  <si>
    <t>02/25/1940</t>
  </si>
  <si>
    <t>05/12/1967</t>
  </si>
  <si>
    <t>08/11/1972</t>
  </si>
  <si>
    <t>08/01/1967</t>
  </si>
  <si>
    <t>09/06/1960</t>
  </si>
  <si>
    <t>02/03/1959</t>
  </si>
  <si>
    <t>06/09/1979</t>
  </si>
  <si>
    <t>09/02/1969</t>
  </si>
  <si>
    <t>02/20/1963</t>
  </si>
  <si>
    <t>09/25/1961</t>
  </si>
  <si>
    <t>09/08/1974</t>
  </si>
  <si>
    <t>09/06/1956</t>
  </si>
  <si>
    <t>05/08/1960</t>
  </si>
  <si>
    <t>06/23/1948</t>
  </si>
  <si>
    <t>12/01/1995</t>
  </si>
  <si>
    <t>09/29/1958</t>
  </si>
  <si>
    <t>06/10/1984</t>
  </si>
  <si>
    <t>03/10/1962</t>
  </si>
  <si>
    <t>08/10/1971</t>
  </si>
  <si>
    <t>01/29/1963</t>
  </si>
  <si>
    <t>02/13/1981</t>
  </si>
  <si>
    <t>02/05/1985</t>
  </si>
  <si>
    <t>11/12/1990</t>
  </si>
  <si>
    <t>11/24/1960</t>
  </si>
  <si>
    <t>05/01/1975</t>
  </si>
  <si>
    <t>05/01/1969</t>
  </si>
  <si>
    <t>07/10/1995</t>
  </si>
  <si>
    <t>04/15/1975</t>
  </si>
  <si>
    <t>05/03/1983</t>
  </si>
  <si>
    <t>12/23/1977</t>
  </si>
  <si>
    <t>07/27/1978</t>
  </si>
  <si>
    <t>08/01/1960</t>
  </si>
  <si>
    <t>02/12/1973</t>
  </si>
  <si>
    <t>12/19/2011</t>
  </si>
  <si>
    <t>12/27/1988</t>
  </si>
  <si>
    <t>03/22/1972</t>
  </si>
  <si>
    <t>01/21/1967</t>
  </si>
  <si>
    <t>08/14/1992</t>
  </si>
  <si>
    <t>08/18/1993</t>
  </si>
  <si>
    <t>05/21/1992</t>
  </si>
  <si>
    <t>04/08/1983</t>
  </si>
  <si>
    <t>05/28/1982</t>
  </si>
  <si>
    <t>09/19/1967</t>
  </si>
  <si>
    <t>08/22/1978</t>
  </si>
  <si>
    <t>11/05/1979</t>
  </si>
  <si>
    <t>06/26/1965</t>
  </si>
  <si>
    <t>10/05/1997</t>
  </si>
  <si>
    <t>10/03/1987</t>
  </si>
  <si>
    <t>08/12/1978</t>
  </si>
  <si>
    <t>04/06/1981</t>
  </si>
  <si>
    <t>6013-Obtained assistance in development/renovation of affordable housing</t>
  </si>
  <si>
    <t>018065971G</t>
  </si>
  <si>
    <t>2952457G</t>
  </si>
  <si>
    <t>90286398E</t>
  </si>
  <si>
    <t>004324947D</t>
  </si>
  <si>
    <t>002960083A</t>
  </si>
  <si>
    <t>UC08287E</t>
  </si>
  <si>
    <t>037197903A</t>
  </si>
  <si>
    <t>011621619D</t>
  </si>
  <si>
    <t>00037370417A</t>
  </si>
  <si>
    <t>005127913B</t>
  </si>
  <si>
    <t>000-00-0000</t>
  </si>
  <si>
    <t>37737821BCL</t>
  </si>
  <si>
    <t>7084974-A</t>
  </si>
  <si>
    <t>25787395A</t>
  </si>
  <si>
    <t>unknown</t>
  </si>
  <si>
    <t>00037113523H</t>
  </si>
  <si>
    <t>001455271F</t>
  </si>
  <si>
    <t>036885715H</t>
  </si>
  <si>
    <t>001972633A</t>
  </si>
  <si>
    <t>033941360B</t>
  </si>
  <si>
    <t>00030681780A</t>
  </si>
  <si>
    <t>10802715C</t>
  </si>
  <si>
    <t>N/a</t>
  </si>
  <si>
    <t>004801450A</t>
  </si>
  <si>
    <t>000-000-000</t>
  </si>
  <si>
    <t>037233016H</t>
  </si>
  <si>
    <t>0018167969H</t>
  </si>
  <si>
    <t>5107693D</t>
  </si>
  <si>
    <t>037287821F</t>
  </si>
  <si>
    <t>37242996J</t>
  </si>
  <si>
    <t>35326768F</t>
  </si>
  <si>
    <t>036426379I</t>
  </si>
  <si>
    <t>035334052E</t>
  </si>
  <si>
    <t>003995994F</t>
  </si>
  <si>
    <t>0369086C</t>
  </si>
  <si>
    <t>000000000000</t>
  </si>
  <si>
    <t>03730222H</t>
  </si>
  <si>
    <t>002365422B</t>
  </si>
  <si>
    <t>QB989064</t>
  </si>
  <si>
    <t>011044483D</t>
  </si>
  <si>
    <t>18349364-C</t>
  </si>
  <si>
    <t>000345730G</t>
  </si>
  <si>
    <t>00022009745F</t>
  </si>
  <si>
    <t>00009827849C</t>
  </si>
  <si>
    <t>003382432H</t>
  </si>
  <si>
    <t>1750101G</t>
  </si>
  <si>
    <t>37100485E</t>
  </si>
  <si>
    <t>001381174A</t>
  </si>
  <si>
    <t>037223127E</t>
  </si>
  <si>
    <t>001119280E</t>
  </si>
  <si>
    <t>09329375B</t>
  </si>
  <si>
    <t>032204970B</t>
  </si>
  <si>
    <t>0058419944G</t>
  </si>
  <si>
    <t>005841994G</t>
  </si>
  <si>
    <t>V35891T</t>
  </si>
  <si>
    <t>008136303I</t>
  </si>
  <si>
    <t>008658106D</t>
  </si>
  <si>
    <t>010805220A</t>
  </si>
  <si>
    <t>7230391 A</t>
  </si>
  <si>
    <t>037176449J</t>
  </si>
  <si>
    <t>036929292F</t>
  </si>
  <si>
    <t>00037246468F</t>
  </si>
  <si>
    <t>002943957H</t>
  </si>
  <si>
    <t>036526844A</t>
  </si>
  <si>
    <t>009637380I</t>
  </si>
  <si>
    <t>012210461F</t>
  </si>
  <si>
    <t>4859857H</t>
  </si>
  <si>
    <t>03523053C</t>
  </si>
  <si>
    <t>008767889C</t>
  </si>
  <si>
    <t>00015368528 E</t>
  </si>
  <si>
    <t>000206106H</t>
  </si>
  <si>
    <t>00017981176F</t>
  </si>
  <si>
    <t>18496207E</t>
  </si>
  <si>
    <t>005465687B</t>
  </si>
  <si>
    <t>036794417A</t>
  </si>
  <si>
    <t>36193339D</t>
  </si>
  <si>
    <t>7382661C</t>
  </si>
  <si>
    <t>007290797-F</t>
  </si>
  <si>
    <t>009309181H</t>
  </si>
  <si>
    <t>005358036B</t>
  </si>
  <si>
    <t>036869011B</t>
  </si>
  <si>
    <t>37448921J</t>
  </si>
  <si>
    <t>YP2216D</t>
  </si>
  <si>
    <t>Not on PA</t>
  </si>
  <si>
    <t>010593597H</t>
  </si>
  <si>
    <t>008261881A</t>
  </si>
  <si>
    <t>Not available</t>
  </si>
  <si>
    <t>391390C</t>
  </si>
  <si>
    <t>not available</t>
  </si>
  <si>
    <t>012221787A</t>
  </si>
  <si>
    <t>015066138H</t>
  </si>
  <si>
    <t>00030081131C</t>
  </si>
  <si>
    <t>00030632229 I</t>
  </si>
  <si>
    <t>00958451A</t>
  </si>
  <si>
    <t>002548716G</t>
  </si>
  <si>
    <t>UN34332T</t>
  </si>
  <si>
    <t>017644835F</t>
  </si>
  <si>
    <t>007724914C</t>
  </si>
  <si>
    <t>00461214J</t>
  </si>
  <si>
    <t>013809335G</t>
  </si>
  <si>
    <t>008840239B</t>
  </si>
  <si>
    <t>000836805C</t>
  </si>
  <si>
    <t>6004868927312427544</t>
  </si>
  <si>
    <t>004472039J</t>
  </si>
  <si>
    <t>013659646H</t>
  </si>
  <si>
    <t>006563731G</t>
  </si>
  <si>
    <t>00011307912D</t>
  </si>
  <si>
    <t>032544748A</t>
  </si>
  <si>
    <t>011072346H</t>
  </si>
  <si>
    <t>016681549I</t>
  </si>
  <si>
    <t>QA10109U</t>
  </si>
  <si>
    <t>MN95602C</t>
  </si>
  <si>
    <t>014268917D</t>
  </si>
  <si>
    <t>006766160D</t>
  </si>
  <si>
    <t>Z880554H</t>
  </si>
  <si>
    <t>032520446J</t>
  </si>
  <si>
    <t>VD24204N</t>
  </si>
  <si>
    <t>00037225893J</t>
  </si>
  <si>
    <t>004646000C</t>
  </si>
  <si>
    <t>037412397E</t>
  </si>
  <si>
    <t>012198839I</t>
  </si>
  <si>
    <t>36877322C</t>
  </si>
  <si>
    <t>YX01304A</t>
  </si>
  <si>
    <t>38127663D</t>
  </si>
  <si>
    <t>010138507I</t>
  </si>
  <si>
    <t>S308506</t>
  </si>
  <si>
    <t>ZJ27188W</t>
  </si>
  <si>
    <t>00037619875A</t>
  </si>
  <si>
    <t>011798484J</t>
  </si>
  <si>
    <t>004280726D</t>
  </si>
  <si>
    <t>005028630B</t>
  </si>
  <si>
    <t>002329349B</t>
  </si>
  <si>
    <t>035377186-I</t>
  </si>
  <si>
    <t>007224143D</t>
  </si>
  <si>
    <t>018199341B</t>
  </si>
  <si>
    <t>007906536D</t>
  </si>
  <si>
    <t>UNKNOWN</t>
  </si>
  <si>
    <t>018295906E</t>
  </si>
  <si>
    <t>034650303A</t>
  </si>
  <si>
    <t>XC02229</t>
  </si>
  <si>
    <t>011455347C</t>
  </si>
  <si>
    <t>012560205C</t>
  </si>
  <si>
    <t>QY28295V</t>
  </si>
  <si>
    <t>00552789A</t>
  </si>
  <si>
    <t>016143114D</t>
  </si>
  <si>
    <t>12097798i</t>
  </si>
  <si>
    <t>ZG93804U &amp; 12210107</t>
  </si>
  <si>
    <t>ZS30068P</t>
  </si>
  <si>
    <t>034382554D</t>
  </si>
  <si>
    <t>037240487B</t>
  </si>
  <si>
    <t>3982589I</t>
  </si>
  <si>
    <t>00012074533G</t>
  </si>
  <si>
    <t>6004868123 /185941196</t>
  </si>
  <si>
    <t>Y548370C</t>
  </si>
  <si>
    <t>00037182925A</t>
  </si>
  <si>
    <t>03156294F</t>
  </si>
  <si>
    <t>031562694F</t>
  </si>
  <si>
    <t>VX27402Q</t>
  </si>
  <si>
    <t>012090268J</t>
  </si>
  <si>
    <t>003115744J</t>
  </si>
  <si>
    <t>37453640 H</t>
  </si>
  <si>
    <t>001945174J</t>
  </si>
  <si>
    <t>00037612120I</t>
  </si>
  <si>
    <t>015442451J</t>
  </si>
  <si>
    <t>x4503755</t>
  </si>
  <si>
    <t>006132629E</t>
  </si>
  <si>
    <t>3188527I</t>
  </si>
  <si>
    <t>000152523H</t>
  </si>
  <si>
    <t>not provided</t>
  </si>
  <si>
    <t>000374567G</t>
  </si>
  <si>
    <t>008490504B</t>
  </si>
  <si>
    <t>005342501D</t>
  </si>
  <si>
    <t>010388752H</t>
  </si>
  <si>
    <t>WK31684D</t>
  </si>
  <si>
    <t>VW84117P</t>
  </si>
  <si>
    <t>018110203J</t>
  </si>
  <si>
    <t>017985846J</t>
  </si>
  <si>
    <t>10027902-F</t>
  </si>
  <si>
    <t>015934905J</t>
  </si>
  <si>
    <t>33502288A / 17979163 H</t>
  </si>
  <si>
    <t>010756984A</t>
  </si>
  <si>
    <t>34891104-B</t>
  </si>
  <si>
    <t>5D21619M</t>
  </si>
  <si>
    <t>018582774I</t>
  </si>
  <si>
    <t>ZZ39348C</t>
  </si>
  <si>
    <t>010737723G</t>
  </si>
  <si>
    <t>017280585F</t>
  </si>
  <si>
    <t>07222783I</t>
  </si>
  <si>
    <t>00003368626C</t>
  </si>
  <si>
    <t>017664528B</t>
  </si>
  <si>
    <t>35426060G</t>
  </si>
  <si>
    <t>005859892B</t>
  </si>
  <si>
    <t>036972500H</t>
  </si>
  <si>
    <t>004505352H</t>
  </si>
  <si>
    <t>018602407B</t>
  </si>
  <si>
    <t>00663821B</t>
  </si>
  <si>
    <t>004463058A</t>
  </si>
  <si>
    <t>037369012C</t>
  </si>
  <si>
    <t>004125573I</t>
  </si>
  <si>
    <t>4236372-1</t>
  </si>
  <si>
    <t>036430035A</t>
  </si>
  <si>
    <t>YE59744Y</t>
  </si>
  <si>
    <t>27S12228</t>
  </si>
  <si>
    <t>8970740-A</t>
  </si>
  <si>
    <t>032792272A</t>
  </si>
  <si>
    <t>034949099F</t>
  </si>
  <si>
    <t>006692067J</t>
  </si>
  <si>
    <t>4538247A</t>
  </si>
  <si>
    <t>00006258240l</t>
  </si>
  <si>
    <t>015114542C</t>
  </si>
  <si>
    <t>018161776C</t>
  </si>
  <si>
    <t>004613350B</t>
  </si>
  <si>
    <t>018376371D</t>
  </si>
  <si>
    <t>018200363C</t>
  </si>
  <si>
    <t>35417418H</t>
  </si>
  <si>
    <t>015470836G</t>
  </si>
  <si>
    <t>018514094E</t>
  </si>
  <si>
    <t>00022969266A</t>
  </si>
  <si>
    <t>YM82644G</t>
  </si>
  <si>
    <t>21904622-E</t>
  </si>
  <si>
    <t>006506786A</t>
  </si>
  <si>
    <t>4089216I</t>
  </si>
  <si>
    <t>Y222420R</t>
  </si>
  <si>
    <t>7811890-I</t>
  </si>
  <si>
    <t>00037289885I</t>
  </si>
  <si>
    <t>034927804E</t>
  </si>
  <si>
    <t>TP1473ZX</t>
  </si>
  <si>
    <t>081117276I</t>
  </si>
  <si>
    <t>00037415296F</t>
  </si>
  <si>
    <t>00037415296 F</t>
  </si>
  <si>
    <t>013242390G</t>
  </si>
  <si>
    <t>018220042-I</t>
  </si>
  <si>
    <t>008655394J</t>
  </si>
  <si>
    <t>010243771C</t>
  </si>
  <si>
    <t>017846329F</t>
  </si>
  <si>
    <t>008310949G</t>
  </si>
  <si>
    <t>ZK91480D</t>
  </si>
  <si>
    <t>unavailable</t>
  </si>
  <si>
    <t>00037497698D</t>
  </si>
  <si>
    <t>030590978A</t>
  </si>
  <si>
    <t>009453433G</t>
  </si>
  <si>
    <t>36917062G</t>
  </si>
  <si>
    <t>009809162C</t>
  </si>
  <si>
    <t>010254950I</t>
  </si>
  <si>
    <t>001588705C</t>
  </si>
  <si>
    <t>006782006I</t>
  </si>
  <si>
    <t>00037311548E</t>
  </si>
  <si>
    <t>00037497882D</t>
  </si>
  <si>
    <t>18292952-B</t>
  </si>
  <si>
    <t>9279334I</t>
  </si>
  <si>
    <t>032728498A</t>
  </si>
  <si>
    <t>37069750A</t>
  </si>
  <si>
    <t>04700560I</t>
  </si>
  <si>
    <t>client will provide</t>
  </si>
  <si>
    <t>009376079B</t>
  </si>
  <si>
    <t>06/27/1963</t>
  </si>
  <si>
    <t>11/28/1954</t>
  </si>
  <si>
    <t>03/17/1982</t>
  </si>
  <si>
    <t>03/06/1978</t>
  </si>
  <si>
    <t>11/28/1978</t>
  </si>
  <si>
    <t>01/28/1981</t>
  </si>
  <si>
    <t>03/19/1973</t>
  </si>
  <si>
    <t>09/17/1985</t>
  </si>
  <si>
    <t>03/19/1976</t>
  </si>
  <si>
    <t>07/09/1984</t>
  </si>
  <si>
    <t>11/10/1989</t>
  </si>
  <si>
    <t>05/25/1986</t>
  </si>
  <si>
    <t>11/13/1984</t>
  </si>
  <si>
    <t>07/27/1995</t>
  </si>
  <si>
    <t>01/26/1977</t>
  </si>
  <si>
    <t>10/16/1971</t>
  </si>
  <si>
    <t>04/08/1976</t>
  </si>
  <si>
    <t>07/02/1979</t>
  </si>
  <si>
    <t>04/29/1959</t>
  </si>
  <si>
    <t>06/14/1961</t>
  </si>
  <si>
    <t>05/18/1987</t>
  </si>
  <si>
    <t>05/14/1980</t>
  </si>
  <si>
    <t>08/24/1990</t>
  </si>
  <si>
    <t>12/12/1974</t>
  </si>
  <si>
    <t>02/06/1972</t>
  </si>
  <si>
    <t>08/23/1977</t>
  </si>
  <si>
    <t>10/11/1974</t>
  </si>
  <si>
    <t>06/17/1970</t>
  </si>
  <si>
    <t>11/23/1967</t>
  </si>
  <si>
    <t>08/27/1969</t>
  </si>
  <si>
    <t>03/27/1971</t>
  </si>
  <si>
    <t>12/12/1973</t>
  </si>
  <si>
    <t>03/11/1990</t>
  </si>
  <si>
    <t>01/01/1984</t>
  </si>
  <si>
    <t>03/05/1991</t>
  </si>
  <si>
    <t>08/07/1989</t>
  </si>
  <si>
    <t>04/02/1988</t>
  </si>
  <si>
    <t>06/19/1969</t>
  </si>
  <si>
    <t>08/02/1982</t>
  </si>
  <si>
    <t>10/29/1986</t>
  </si>
  <si>
    <t>09/12/1980</t>
  </si>
  <si>
    <t>08/30/1976</t>
  </si>
  <si>
    <t>09/26/1978</t>
  </si>
  <si>
    <t>06/09/1976</t>
  </si>
  <si>
    <t>04/27/1991</t>
  </si>
  <si>
    <t>06/01/1953</t>
  </si>
  <si>
    <t>09/18/1988</t>
  </si>
  <si>
    <t>04/05/1972</t>
  </si>
  <si>
    <t>07/18/1991</t>
  </si>
  <si>
    <t>07/04/1988</t>
  </si>
  <si>
    <t>05/05/1959</t>
  </si>
  <si>
    <t>05/03/1968</t>
  </si>
  <si>
    <t>01/01/1976</t>
  </si>
  <si>
    <t>03/17/1962</t>
  </si>
  <si>
    <t>07/29/1977</t>
  </si>
  <si>
    <t>12/07/1976</t>
  </si>
  <si>
    <t>11/23/1993</t>
  </si>
  <si>
    <t>06/04/1988</t>
  </si>
  <si>
    <t>01/29/1982</t>
  </si>
  <si>
    <t>01/27/1980</t>
  </si>
  <si>
    <t>05/28/1975</t>
  </si>
  <si>
    <t>10/01/1978</t>
  </si>
  <si>
    <t>01/24/1974</t>
  </si>
  <si>
    <t>02/14/1971</t>
  </si>
  <si>
    <t>11/03/1955</t>
  </si>
  <si>
    <t>06/05/1970</t>
  </si>
  <si>
    <t>07/05/1989</t>
  </si>
  <si>
    <t>04/03/1954</t>
  </si>
  <si>
    <t>03/12/1987</t>
  </si>
  <si>
    <t>05/05/1983</t>
  </si>
  <si>
    <t>03/08/1979</t>
  </si>
  <si>
    <t>10/20/1962</t>
  </si>
  <si>
    <t>07/24/1976</t>
  </si>
  <si>
    <t>09/06/1985</t>
  </si>
  <si>
    <t>06/20/1990</t>
  </si>
  <si>
    <t>03/07/1957</t>
  </si>
  <si>
    <t>04/18/1980</t>
  </si>
  <si>
    <t>04/19/1977</t>
  </si>
  <si>
    <t>10/24/1983</t>
  </si>
  <si>
    <t>03/28/1983</t>
  </si>
  <si>
    <t>07/25/1965</t>
  </si>
  <si>
    <t>07/03/1989</t>
  </si>
  <si>
    <t>04/19/1983</t>
  </si>
  <si>
    <t>04/03/1984</t>
  </si>
  <si>
    <t>07/23/1985</t>
  </si>
  <si>
    <t>02/12/2017</t>
  </si>
  <si>
    <t>04/04/1986</t>
  </si>
  <si>
    <t>04/17/1982</t>
  </si>
  <si>
    <t>12/13/1990</t>
  </si>
  <si>
    <t>07/15/1978</t>
  </si>
  <si>
    <t>04/28/1965</t>
  </si>
  <si>
    <t>08/01/1991</t>
  </si>
  <si>
    <t>04/16/1970</t>
  </si>
  <si>
    <t>03/04/1977</t>
  </si>
  <si>
    <t>01/09/1944</t>
  </si>
  <si>
    <t>09/23/1981</t>
  </si>
  <si>
    <t>02/23/1969</t>
  </si>
  <si>
    <t>02/11/1987</t>
  </si>
  <si>
    <t>11/14/1978</t>
  </si>
  <si>
    <t>02/09/1984</t>
  </si>
  <si>
    <t>04/27/1979</t>
  </si>
  <si>
    <t>07/19/1989</t>
  </si>
  <si>
    <t>04/13/1989</t>
  </si>
  <si>
    <t>01/17/1971</t>
  </si>
  <si>
    <t>05/05/1986</t>
  </si>
  <si>
    <t>12/07/1970</t>
  </si>
  <si>
    <t>02/01/1980</t>
  </si>
  <si>
    <t>01/15/1984</t>
  </si>
  <si>
    <t>10/23/1979</t>
  </si>
  <si>
    <t>05/19/1988</t>
  </si>
  <si>
    <t>12/14/1978</t>
  </si>
  <si>
    <t>05/07/1973</t>
  </si>
  <si>
    <t>02/01/1990</t>
  </si>
  <si>
    <t>03/26/1987</t>
  </si>
  <si>
    <t>09/18/1989</t>
  </si>
  <si>
    <t>09/25/1982</t>
  </si>
  <si>
    <t>08/18/1979</t>
  </si>
  <si>
    <t>02/07/1979</t>
  </si>
  <si>
    <t>04/26/1972</t>
  </si>
  <si>
    <t>09/21/1988</t>
  </si>
  <si>
    <t>03/05/1977</t>
  </si>
  <si>
    <t>04/05/1980</t>
  </si>
  <si>
    <t>11/29/1988</t>
  </si>
  <si>
    <t>02/27/1960</t>
  </si>
  <si>
    <t>12/24/1968</t>
  </si>
  <si>
    <t>04/28/1960</t>
  </si>
  <si>
    <t>01/04/1947</t>
  </si>
  <si>
    <t>02/26/1991</t>
  </si>
  <si>
    <t>08/21/1978</t>
  </si>
  <si>
    <t>01/24/1977</t>
  </si>
  <si>
    <t>01/13/1962</t>
  </si>
  <si>
    <t>12/07/1953</t>
  </si>
  <si>
    <t>02/15/1968</t>
  </si>
  <si>
    <t>11/23/1992</t>
  </si>
  <si>
    <t>08/16/1987</t>
  </si>
  <si>
    <t>04/27/1985</t>
  </si>
  <si>
    <t>06/10/1979</t>
  </si>
  <si>
    <t>11/07/1982</t>
  </si>
  <si>
    <t>12/08/1977</t>
  </si>
  <si>
    <t>10/06/1986</t>
  </si>
  <si>
    <t>02/10/1963</t>
  </si>
  <si>
    <t>12/06/1973</t>
  </si>
  <si>
    <t>09/19/1966</t>
  </si>
  <si>
    <t>08/10/1973</t>
  </si>
  <si>
    <t>04/24/1969</t>
  </si>
  <si>
    <t>06/20/1967</t>
  </si>
  <si>
    <t>03/17/1978</t>
  </si>
  <si>
    <t>09/07/1961</t>
  </si>
  <si>
    <t>01/28/1986</t>
  </si>
  <si>
    <t>06/06/1996</t>
  </si>
  <si>
    <t>03/13/1959</t>
  </si>
  <si>
    <t>08/10/1990</t>
  </si>
  <si>
    <t>07/14/1976</t>
  </si>
  <si>
    <t>04/20/1979</t>
  </si>
  <si>
    <t>10/19/1991</t>
  </si>
  <si>
    <t>09/04/1963</t>
  </si>
  <si>
    <t>08/10/1979</t>
  </si>
  <si>
    <t>10/11/1975</t>
  </si>
  <si>
    <t>09/13/1974</t>
  </si>
  <si>
    <t>11/25/1980</t>
  </si>
  <si>
    <t>03/30/1986</t>
  </si>
  <si>
    <t>03/08/1974</t>
  </si>
  <si>
    <t>01/13/1984</t>
  </si>
  <si>
    <t>04/23/1981</t>
  </si>
  <si>
    <t>10/02/1979</t>
  </si>
  <si>
    <t>08/09/1970</t>
  </si>
  <si>
    <t>01/31/1980</t>
  </si>
  <si>
    <t>08/02/1967</t>
  </si>
  <si>
    <t>12/12/1989</t>
  </si>
  <si>
    <t>04/27/1961</t>
  </si>
  <si>
    <t>03/18/1977</t>
  </si>
  <si>
    <t>02/01/1985</t>
  </si>
  <si>
    <t>11/13/1991</t>
  </si>
  <si>
    <t>07/26/1962</t>
  </si>
  <si>
    <t>07/02/1973</t>
  </si>
  <si>
    <t>01/30/1996</t>
  </si>
  <si>
    <t>10/20/1987</t>
  </si>
  <si>
    <t>08/02/1970</t>
  </si>
  <si>
    <t>09/26/1984</t>
  </si>
  <si>
    <t>05/14/1991</t>
  </si>
  <si>
    <t>11/27/1988</t>
  </si>
  <si>
    <t>11/23/1981</t>
  </si>
  <si>
    <t>08/25/1982</t>
  </si>
  <si>
    <t>08/12/1974</t>
  </si>
  <si>
    <t>10/23/1985</t>
  </si>
  <si>
    <t>07/25/1961</t>
  </si>
  <si>
    <t>08/27/1981</t>
  </si>
  <si>
    <t>06/24/1976</t>
  </si>
  <si>
    <t>03/25/1987</t>
  </si>
  <si>
    <t>04/21/1963</t>
  </si>
  <si>
    <t>07/08/1986</t>
  </si>
  <si>
    <t>04/30/1994</t>
  </si>
  <si>
    <t>05/30/1994</t>
  </si>
  <si>
    <t>08/08/1979</t>
  </si>
  <si>
    <t>02/17/1981</t>
  </si>
  <si>
    <t>09/29/1992</t>
  </si>
  <si>
    <t>06/27/1992</t>
  </si>
  <si>
    <t>06/05/1973</t>
  </si>
  <si>
    <t>06/24/1983</t>
  </si>
  <si>
    <t>11/19/1984</t>
  </si>
  <si>
    <t>03/15/1966</t>
  </si>
  <si>
    <t>02/15/1979</t>
  </si>
  <si>
    <t>02/05/1991</t>
  </si>
  <si>
    <t>02/15/1974</t>
  </si>
  <si>
    <t>08/25/1967</t>
  </si>
  <si>
    <t>10/03/1965</t>
  </si>
  <si>
    <t>02/11/1975</t>
  </si>
  <si>
    <t>01/12/1986</t>
  </si>
  <si>
    <t>10/21/1977</t>
  </si>
  <si>
    <t>01/29/1980</t>
  </si>
  <si>
    <t>03/02/1980</t>
  </si>
  <si>
    <t>05/29/1979</t>
  </si>
  <si>
    <t>12/04/1974</t>
  </si>
  <si>
    <t>06/18/1988</t>
  </si>
  <si>
    <t>12/26/1975</t>
  </si>
  <si>
    <t>03/01/1964</t>
  </si>
  <si>
    <t>04/08/1982</t>
  </si>
  <si>
    <t>08/04/1935</t>
  </si>
  <si>
    <t>02/06/1984</t>
  </si>
  <si>
    <t>06/22/1984</t>
  </si>
  <si>
    <t>04/24/1970</t>
  </si>
  <si>
    <t>11/15/1955</t>
  </si>
  <si>
    <t>05/22/1976</t>
  </si>
  <si>
    <t>06/26/1990</t>
  </si>
  <si>
    <t>11/08/1968</t>
  </si>
  <si>
    <t>08/08/1989</t>
  </si>
  <si>
    <t>05/15/1971</t>
  </si>
  <si>
    <t>12/16/1987</t>
  </si>
  <si>
    <t>10/19/1962</t>
  </si>
  <si>
    <t>06/18/1991</t>
  </si>
  <si>
    <t>07/15/1980</t>
  </si>
  <si>
    <t>02/03/1982</t>
  </si>
  <si>
    <t>03/30/1961</t>
  </si>
  <si>
    <t>04/11/1982</t>
  </si>
  <si>
    <t>07/06/1982</t>
  </si>
  <si>
    <t>06/17/1978</t>
  </si>
  <si>
    <t>06/09/1969</t>
  </si>
  <si>
    <t>10/07/1987</t>
  </si>
  <si>
    <t>11/08/1984</t>
  </si>
  <si>
    <t>03/22/1962</t>
  </si>
  <si>
    <t>02/11/1972</t>
  </si>
  <si>
    <t>12/30/1974</t>
  </si>
  <si>
    <t>11/28/1977</t>
  </si>
  <si>
    <t>02/21/1993</t>
  </si>
  <si>
    <t>06/14/1988</t>
  </si>
  <si>
    <t>07/10/1972</t>
  </si>
  <si>
    <t>10/05/1984</t>
  </si>
  <si>
    <t>11/13/1989</t>
  </si>
  <si>
    <t>04/03/1972</t>
  </si>
  <si>
    <t>03/13/1979</t>
  </si>
  <si>
    <t>05/09/1983</t>
  </si>
  <si>
    <t>07/19/1964</t>
  </si>
  <si>
    <t>07/03/1983</t>
  </si>
  <si>
    <t>01/01/1956</t>
  </si>
  <si>
    <t>12/27/1977</t>
  </si>
  <si>
    <t>08/26/1976</t>
  </si>
  <si>
    <t>04/14/1952</t>
  </si>
  <si>
    <t>01/15/1982</t>
  </si>
  <si>
    <t>01/06/1984</t>
  </si>
  <si>
    <t>06/14/1975</t>
  </si>
  <si>
    <t>04/05/1956</t>
  </si>
  <si>
    <t>07/26/1988</t>
  </si>
  <si>
    <t>07/25/1979</t>
  </si>
  <si>
    <t>09/06/1980</t>
  </si>
  <si>
    <t>03/08/1976</t>
  </si>
  <si>
    <t>11/13/1965</t>
  </si>
  <si>
    <t>02/20/1987</t>
  </si>
  <si>
    <t>07/19/1982</t>
  </si>
  <si>
    <t>04/18/1990</t>
  </si>
  <si>
    <t>11/08/1980</t>
  </si>
  <si>
    <t>11/20/1952</t>
  </si>
  <si>
    <t>09/02/1996</t>
  </si>
  <si>
    <t>02/05/1982</t>
  </si>
  <si>
    <t>10/08/1983</t>
  </si>
  <si>
    <t>11/18/1973</t>
  </si>
  <si>
    <t>06/19/1987</t>
  </si>
  <si>
    <t>04/18/1976</t>
  </si>
  <si>
    <t>09/11/1981</t>
  </si>
  <si>
    <t>06/25/1982</t>
  </si>
  <si>
    <t>02/01/1979</t>
  </si>
  <si>
    <t>07/11/1982</t>
  </si>
  <si>
    <t>11/26/1986</t>
  </si>
  <si>
    <t>04/24/1989</t>
  </si>
  <si>
    <t>09/28/1978</t>
  </si>
  <si>
    <t>10/22/1952</t>
  </si>
  <si>
    <t>11/03/1967</t>
  </si>
  <si>
    <t>12/02/1965</t>
  </si>
  <si>
    <t>09/14/1965</t>
  </si>
  <si>
    <t>11/25/1972</t>
  </si>
  <si>
    <t>09/04/1956</t>
  </si>
  <si>
    <t>07/05/1979</t>
  </si>
  <si>
    <t>05/03/1945</t>
  </si>
  <si>
    <t>08/02/1971</t>
  </si>
  <si>
    <t>08/05/1956</t>
  </si>
  <si>
    <t>01/22/1993</t>
  </si>
  <si>
    <t>02/01/1982</t>
  </si>
  <si>
    <t>04/18/1974</t>
  </si>
  <si>
    <t>11/29/2006</t>
  </si>
  <si>
    <t>07/23/1976</t>
  </si>
  <si>
    <t>05/31/1982</t>
  </si>
  <si>
    <t>06/11/1986</t>
  </si>
  <si>
    <t>12/18/1964</t>
  </si>
  <si>
    <t>11/28/1960</t>
  </si>
  <si>
    <t>03/16/1972</t>
  </si>
  <si>
    <t>06/02/1948</t>
  </si>
  <si>
    <t>07/03/1986</t>
  </si>
  <si>
    <t>05/16/1969</t>
  </si>
  <si>
    <t>03/17/1967</t>
  </si>
  <si>
    <t>07/13/1972</t>
  </si>
  <si>
    <t>09/24/1986</t>
  </si>
  <si>
    <t>10/24/1954</t>
  </si>
  <si>
    <t>12/09/1960</t>
  </si>
  <si>
    <t>08/05/1975</t>
  </si>
  <si>
    <t>08/31/1924</t>
  </si>
  <si>
    <t>06/02/1967</t>
  </si>
  <si>
    <t>11/13/1976</t>
  </si>
  <si>
    <t>12/11/1983</t>
  </si>
  <si>
    <t>06/28/1994</t>
  </si>
  <si>
    <t>09/18/1987</t>
  </si>
  <si>
    <t>05/25/1958</t>
  </si>
  <si>
    <t>01/21/1969</t>
  </si>
  <si>
    <t>01/12/1965</t>
  </si>
  <si>
    <t>08/21/1984</t>
  </si>
  <si>
    <t>08/05/1968</t>
  </si>
  <si>
    <t>09/01/1994</t>
  </si>
  <si>
    <t>02/28/1954</t>
  </si>
  <si>
    <t>07/22/1950</t>
  </si>
  <si>
    <t>07/31/1963</t>
  </si>
  <si>
    <t>05/14/1954</t>
  </si>
  <si>
    <t>11/15/1973</t>
  </si>
  <si>
    <t>01/19/1985</t>
  </si>
  <si>
    <t>09/07/1982</t>
  </si>
  <si>
    <t>08/03/1988</t>
  </si>
  <si>
    <t>02/12/1978</t>
  </si>
  <si>
    <t>12/23/1968</t>
  </si>
  <si>
    <t>05/08/1955</t>
  </si>
  <si>
    <t>01/05/1963</t>
  </si>
  <si>
    <t>06/10/1994</t>
  </si>
  <si>
    <t>04/11/1958</t>
  </si>
  <si>
    <t>05/28/1946</t>
  </si>
  <si>
    <t>06/18/1959</t>
  </si>
  <si>
    <t>06/07/1944</t>
  </si>
  <si>
    <t>07/30/1971</t>
  </si>
  <si>
    <t>12/23/1969</t>
  </si>
  <si>
    <t>05/25/1950</t>
  </si>
  <si>
    <t>12/16/1962</t>
  </si>
  <si>
    <t>01/23/1985</t>
  </si>
  <si>
    <t>12/30/1971</t>
  </si>
  <si>
    <t>09/18/1979</t>
  </si>
  <si>
    <t>02/12/1977</t>
  </si>
  <si>
    <t>03/15/1982</t>
  </si>
  <si>
    <t>03/06/1953</t>
  </si>
  <si>
    <t>05/07/1965</t>
  </si>
  <si>
    <t>02/20/1957</t>
  </si>
  <si>
    <t>08/07/1963</t>
  </si>
  <si>
    <t>08/31/1956</t>
  </si>
  <si>
    <t>08/16/1985</t>
  </si>
  <si>
    <t>04/27/1974</t>
  </si>
  <si>
    <t>05/15/1978</t>
  </si>
  <si>
    <t>10/05/1980</t>
  </si>
  <si>
    <t>04/19/1972</t>
  </si>
  <si>
    <t>03/21/1976</t>
  </si>
  <si>
    <t>09/14/1974</t>
  </si>
  <si>
    <t>05/27/1974</t>
  </si>
  <si>
    <t>05/11/1982</t>
  </si>
  <si>
    <t>06/13/1983</t>
  </si>
  <si>
    <t>09/09/1984</t>
  </si>
  <si>
    <t>08/21/1975</t>
  </si>
  <si>
    <t>01/01/1990</t>
  </si>
  <si>
    <t>03/24/1962</t>
  </si>
  <si>
    <t>06/15/1968</t>
  </si>
  <si>
    <t>11/03/1983</t>
  </si>
  <si>
    <t>05/16/1983</t>
  </si>
  <si>
    <t>11/18/1979</t>
  </si>
  <si>
    <t>03/11/1988</t>
  </si>
  <si>
    <t>06/24/1969</t>
  </si>
  <si>
    <t>12/08/1976</t>
  </si>
  <si>
    <t>09/26/1980</t>
  </si>
  <si>
    <t>102-74-5685</t>
  </si>
  <si>
    <t>584-59-1535</t>
  </si>
  <si>
    <t>126-26-4584</t>
  </si>
  <si>
    <t>089-58-1430</t>
  </si>
  <si>
    <t>105-60-4005</t>
  </si>
  <si>
    <t>403-11-8022</t>
  </si>
  <si>
    <t>157-08-8925</t>
  </si>
  <si>
    <t>084-62-0665</t>
  </si>
  <si>
    <t>093-52-7486</t>
  </si>
  <si>
    <t>569-43-5434</t>
  </si>
  <si>
    <t>118-58-4060</t>
  </si>
  <si>
    <t>580-31-0661</t>
  </si>
  <si>
    <t>114-50-2942</t>
  </si>
  <si>
    <t>449-94-2903</t>
  </si>
  <si>
    <t>052-70-0892</t>
  </si>
  <si>
    <t>253-90-6541</t>
  </si>
  <si>
    <t>107-96-0966</t>
  </si>
  <si>
    <t>062-48-9591</t>
  </si>
  <si>
    <t>067-46-5820</t>
  </si>
  <si>
    <t>102-58-2738</t>
  </si>
  <si>
    <t>127-70-9989</t>
  </si>
  <si>
    <t>091-42-0814</t>
  </si>
  <si>
    <t>078-60-5540</t>
  </si>
  <si>
    <t>065-78-6382</t>
  </si>
  <si>
    <t>085-64-5852</t>
  </si>
  <si>
    <t>065-46-0754</t>
  </si>
  <si>
    <t>085-56-5725</t>
  </si>
  <si>
    <t>072-68-2602</t>
  </si>
  <si>
    <t>069-64-1702</t>
  </si>
  <si>
    <t>072-68-3193</t>
  </si>
  <si>
    <t>130-96-5423</t>
  </si>
  <si>
    <t>078-32-4351</t>
  </si>
  <si>
    <t>580-31-6801</t>
  </si>
  <si>
    <t>074-72-0866</t>
  </si>
  <si>
    <t>000-00-4692</t>
  </si>
  <si>
    <t>113-52-0492</t>
  </si>
  <si>
    <t>061-88-1092</t>
  </si>
  <si>
    <t>083-62-4223</t>
  </si>
  <si>
    <t>052-88-0423</t>
  </si>
  <si>
    <t>071-82-2485</t>
  </si>
  <si>
    <t>049-74-1328</t>
  </si>
  <si>
    <t>037-64-0677</t>
  </si>
  <si>
    <t>069-90-7935</t>
  </si>
  <si>
    <t>581-52-1358</t>
  </si>
  <si>
    <t>087-44-7872</t>
  </si>
  <si>
    <t>092-42-5911</t>
  </si>
  <si>
    <t>057-58-5305</t>
  </si>
  <si>
    <t>075-76-8127</t>
  </si>
  <si>
    <t>062-84-0490</t>
  </si>
  <si>
    <t>000-00-1607</t>
  </si>
  <si>
    <t>597-16-7469</t>
  </si>
  <si>
    <t>085-74-0537</t>
  </si>
  <si>
    <t>074-56-1705</t>
  </si>
  <si>
    <t>057-74-9143</t>
  </si>
  <si>
    <t>143-80-4223</t>
  </si>
  <si>
    <t>114-50-5090</t>
  </si>
  <si>
    <t>214-55-6004</t>
  </si>
  <si>
    <t>120-60-5356</t>
  </si>
  <si>
    <t>204-50-7118</t>
  </si>
  <si>
    <t>072-72-0132</t>
  </si>
  <si>
    <t>139-56-3954</t>
  </si>
  <si>
    <t>077-84-3625</t>
  </si>
  <si>
    <t>077-64-3851</t>
  </si>
  <si>
    <t>000-00-1355</t>
  </si>
  <si>
    <t>116-48-0572</t>
  </si>
  <si>
    <t>056-70-7366</t>
  </si>
  <si>
    <t>070-60-1058</t>
  </si>
  <si>
    <t>067-74-6279</t>
  </si>
  <si>
    <t>093-82-5522</t>
  </si>
  <si>
    <t>092-76-6481</t>
  </si>
  <si>
    <t>176-70-4504</t>
  </si>
  <si>
    <t>066-58-5155</t>
  </si>
  <si>
    <t>125-40-4339</t>
  </si>
  <si>
    <t>077-58-1358</t>
  </si>
  <si>
    <t>057-86-3517</t>
  </si>
  <si>
    <t>060-72-9151</t>
  </si>
  <si>
    <t>059-78-8967</t>
  </si>
  <si>
    <t>069-62-7133</t>
  </si>
  <si>
    <t>099-60-2353</t>
  </si>
  <si>
    <t>582-90-7731</t>
  </si>
  <si>
    <t>112-62-2993</t>
  </si>
  <si>
    <t>086-60-7260</t>
  </si>
  <si>
    <t>581-53-2280</t>
  </si>
  <si>
    <t>130-58-9511</t>
  </si>
  <si>
    <t>580-12-6089</t>
  </si>
  <si>
    <t>086-74-6982</t>
  </si>
  <si>
    <t>117-78-5963</t>
  </si>
  <si>
    <t>121-40-0557</t>
  </si>
  <si>
    <t>113-48-4818</t>
  </si>
  <si>
    <t>053-66-1268</t>
  </si>
  <si>
    <t>096-88-6073</t>
  </si>
  <si>
    <t>119-76-4606</t>
  </si>
  <si>
    <t>055-56-6934</t>
  </si>
  <si>
    <t>098-66-5322</t>
  </si>
  <si>
    <t>113-72-4906</t>
  </si>
  <si>
    <t>093-58-4886</t>
  </si>
  <si>
    <t>121-84-8351</t>
  </si>
  <si>
    <t>095-40-7060</t>
  </si>
  <si>
    <t>074-80-1641</t>
  </si>
  <si>
    <t>058-46-6359</t>
  </si>
  <si>
    <t>100-74-3918</t>
  </si>
  <si>
    <t>731-12-1545</t>
  </si>
  <si>
    <t>443-66-9352</t>
  </si>
  <si>
    <t>054-46-8797</t>
  </si>
  <si>
    <t>126-52-5074</t>
  </si>
  <si>
    <t>110-74-3529</t>
  </si>
  <si>
    <t>595-40-5568</t>
  </si>
  <si>
    <t>147-68-2593</t>
  </si>
  <si>
    <t>050-78-3070</t>
  </si>
  <si>
    <t>729-07-8907</t>
  </si>
  <si>
    <t>481-85-7291</t>
  </si>
  <si>
    <t>840-50-5868</t>
  </si>
  <si>
    <t>260-11-0246</t>
  </si>
  <si>
    <t>106-50-1484</t>
  </si>
  <si>
    <t>116-60-1839</t>
  </si>
  <si>
    <t>134-60-5523</t>
  </si>
  <si>
    <t>114-78-7110</t>
  </si>
  <si>
    <t>110-50-3038</t>
  </si>
  <si>
    <t>069-56-1544</t>
  </si>
  <si>
    <t>000-00-8225</t>
  </si>
  <si>
    <t>247-65-3776</t>
  </si>
  <si>
    <t>339-92-7905</t>
  </si>
  <si>
    <t>133-70-7704</t>
  </si>
  <si>
    <t>130-62-5630</t>
  </si>
  <si>
    <t>060-50-7936</t>
  </si>
  <si>
    <t>123-80-0421</t>
  </si>
  <si>
    <t>085-36-3437</t>
  </si>
  <si>
    <t>116-58-4432</t>
  </si>
  <si>
    <t>580-04-9803</t>
  </si>
  <si>
    <t>000-00-1957</t>
  </si>
  <si>
    <t>127-90-8906</t>
  </si>
  <si>
    <t>063-68-3845</t>
  </si>
  <si>
    <t>132-56-5821</t>
  </si>
  <si>
    <t>370-02-4297</t>
  </si>
  <si>
    <t>054-36-0501</t>
  </si>
  <si>
    <t>117-74-3568</t>
  </si>
  <si>
    <t>118-44-8855</t>
  </si>
  <si>
    <t>111-80-3440</t>
  </si>
  <si>
    <t>188-58-9353</t>
  </si>
  <si>
    <t>077-44-8917</t>
  </si>
  <si>
    <t>713-31-4528</t>
  </si>
  <si>
    <t>092-02-8856</t>
  </si>
  <si>
    <t>248-86-3572</t>
  </si>
  <si>
    <t>129-82-7334</t>
  </si>
  <si>
    <t>063-88-5626</t>
  </si>
  <si>
    <t>052-72-7238</t>
  </si>
  <si>
    <t>133-86-7176</t>
  </si>
  <si>
    <t>124-40-4422</t>
  </si>
  <si>
    <t>095-76-6486</t>
  </si>
  <si>
    <t>077-66-5969</t>
  </si>
  <si>
    <t>083-74-1388</t>
  </si>
  <si>
    <t>116-76-2017</t>
  </si>
  <si>
    <t>134-60-7166</t>
  </si>
  <si>
    <t>103-90-9949</t>
  </si>
  <si>
    <t>056-80-1339</t>
  </si>
  <si>
    <t>585-52-6909</t>
  </si>
  <si>
    <t>426-65-1711</t>
  </si>
  <si>
    <t>012-72-5438</t>
  </si>
  <si>
    <t>090-64-5893</t>
  </si>
  <si>
    <t>148-21-1773</t>
  </si>
  <si>
    <t>088-63-6249</t>
  </si>
  <si>
    <t>259-35-7168</t>
  </si>
  <si>
    <t>000-00-0194</t>
  </si>
  <si>
    <t>106-36-5349</t>
  </si>
  <si>
    <t>051-44-8078</t>
  </si>
  <si>
    <t>117-84-8602</t>
  </si>
  <si>
    <t>078-36-0108</t>
  </si>
  <si>
    <t>079-60-9955</t>
  </si>
  <si>
    <t>062-66-2678</t>
  </si>
  <si>
    <t>084-42-7014</t>
  </si>
  <si>
    <t>050-70-9173</t>
  </si>
  <si>
    <t>096-36-5787</t>
  </si>
  <si>
    <t>134-32-4635</t>
  </si>
  <si>
    <t>750-84-6060</t>
  </si>
  <si>
    <t>111-32-6790</t>
  </si>
  <si>
    <t>121-56-6011</t>
  </si>
  <si>
    <t>103-58-9582</t>
  </si>
  <si>
    <t>069-36-0535</t>
  </si>
  <si>
    <t>000-00-9899</t>
  </si>
  <si>
    <t>124-80-0003</t>
  </si>
  <si>
    <t>111-64-5953</t>
  </si>
  <si>
    <t>066-64-0282</t>
  </si>
  <si>
    <t>075-60-9470</t>
  </si>
  <si>
    <t>075-95-3095</t>
  </si>
  <si>
    <t>114-58-9652</t>
  </si>
  <si>
    <t>110-90-6388</t>
  </si>
  <si>
    <t>114-66-8020</t>
  </si>
  <si>
    <t>110-62-9132</t>
  </si>
  <si>
    <t>084-52-0840</t>
  </si>
  <si>
    <t>539-06-9985</t>
  </si>
  <si>
    <t>108-92-9390</t>
  </si>
  <si>
    <t>102-74-9238</t>
  </si>
  <si>
    <t>289-49-7159</t>
  </si>
  <si>
    <t>115-40-5657</t>
  </si>
  <si>
    <t>074-44-6193</t>
  </si>
  <si>
    <t>070-34-1192</t>
  </si>
  <si>
    <t>104-98-1391</t>
  </si>
  <si>
    <t>133-98-8208</t>
  </si>
  <si>
    <t>124-80-8708</t>
  </si>
  <si>
    <t>092-68-6288</t>
  </si>
  <si>
    <t>108-68-3345</t>
  </si>
  <si>
    <t>106-76-9017</t>
  </si>
  <si>
    <t>412-61-1264</t>
  </si>
  <si>
    <t>096-91-6646</t>
  </si>
  <si>
    <t>077-86-6866</t>
  </si>
  <si>
    <t>128-40-3156</t>
  </si>
  <si>
    <t>077-74-7379</t>
  </si>
  <si>
    <t>106-94-6531</t>
  </si>
  <si>
    <t>054-96-0616</t>
  </si>
  <si>
    <t>063-82-7141</t>
  </si>
  <si>
    <t>114-56-0496</t>
  </si>
  <si>
    <t>073-92-8368</t>
  </si>
  <si>
    <t>056-44-4015</t>
  </si>
  <si>
    <t>094-68-2829</t>
  </si>
  <si>
    <t>109-64-3113</t>
  </si>
  <si>
    <t>081-64-7694</t>
  </si>
  <si>
    <t>111-98-0932</t>
  </si>
  <si>
    <t>889-52-8774</t>
  </si>
  <si>
    <t>096-46-5313</t>
  </si>
  <si>
    <t>120-76-6720</t>
  </si>
  <si>
    <t>132-80-0224</t>
  </si>
  <si>
    <t>000-00-7492</t>
  </si>
  <si>
    <t>059-86-5065</t>
  </si>
  <si>
    <t>120-96-9129</t>
  </si>
  <si>
    <t>348-64-3793</t>
  </si>
  <si>
    <t>105-78-2520</t>
  </si>
  <si>
    <t>055-48-9082</t>
  </si>
  <si>
    <t>063-56-7181</t>
  </si>
  <si>
    <t>054-70-1803</t>
  </si>
  <si>
    <t>061-94-2489</t>
  </si>
  <si>
    <t>589-96-3660</t>
  </si>
  <si>
    <t>098-44-6974</t>
  </si>
  <si>
    <t>006-88-6307</t>
  </si>
  <si>
    <t>085-70-3876</t>
  </si>
  <si>
    <t>130-62-1338</t>
  </si>
  <si>
    <t>058-62-1467</t>
  </si>
  <si>
    <t>078-46-3716</t>
  </si>
  <si>
    <t>087-50-8343</t>
  </si>
  <si>
    <t>474-96-5901</t>
  </si>
  <si>
    <t>160-38-6581</t>
  </si>
  <si>
    <t>131-94-9812</t>
  </si>
  <si>
    <t>130-82-3494</t>
  </si>
  <si>
    <t>060-84-7321</t>
  </si>
  <si>
    <t>072-50-6590</t>
  </si>
  <si>
    <t>104-68-7034</t>
  </si>
  <si>
    <t>151-92-5719</t>
  </si>
  <si>
    <t>060-86-2355</t>
  </si>
  <si>
    <t>116-72-0993</t>
  </si>
  <si>
    <t>000-00-0470</t>
  </si>
  <si>
    <t>017-54-8746</t>
  </si>
  <si>
    <t>068-64-8594</t>
  </si>
  <si>
    <t>075-60-5658</t>
  </si>
  <si>
    <t>045-90-4490</t>
  </si>
  <si>
    <t>053-44-6454</t>
  </si>
  <si>
    <t>061-82-7372</t>
  </si>
  <si>
    <t>082-74-7872</t>
  </si>
  <si>
    <t>069-66-0623</t>
  </si>
  <si>
    <t>074-70-6056</t>
  </si>
  <si>
    <t>125-44-0821</t>
  </si>
  <si>
    <t>125-54-5343</t>
  </si>
  <si>
    <t>105-94-0219</t>
  </si>
  <si>
    <t>056-40-1275</t>
  </si>
  <si>
    <t>063-58-3116</t>
  </si>
  <si>
    <t>050-66-3289</t>
  </si>
  <si>
    <t>117-62-5992</t>
  </si>
  <si>
    <t>226-31-6509</t>
  </si>
  <si>
    <t>108-66-2844</t>
  </si>
  <si>
    <t>100-46-9791</t>
  </si>
  <si>
    <t>108-54-4962</t>
  </si>
  <si>
    <t>082-88-4185</t>
  </si>
  <si>
    <t>098-66-4215</t>
  </si>
  <si>
    <t>133-68-0834</t>
  </si>
  <si>
    <t>163-58-5978</t>
  </si>
  <si>
    <t>081-60-0688</t>
  </si>
  <si>
    <t>583-73-9075</t>
  </si>
  <si>
    <t>077-70-7752</t>
  </si>
  <si>
    <t>454-33-4555</t>
  </si>
  <si>
    <t>077-63-2837</t>
  </si>
  <si>
    <t>065-60-8511</t>
  </si>
  <si>
    <t>117-70-7974</t>
  </si>
  <si>
    <t>074-56-0015</t>
  </si>
  <si>
    <t>054-40-6814</t>
  </si>
  <si>
    <t>044-36-8581</t>
  </si>
  <si>
    <t>086-66-2650</t>
  </si>
  <si>
    <t>560-85-9457</t>
  </si>
  <si>
    <t>596-01-7757</t>
  </si>
  <si>
    <t>132-70-8695</t>
  </si>
  <si>
    <t>132-88-0017</t>
  </si>
  <si>
    <t>103-42-7746</t>
  </si>
  <si>
    <t>063-82-3048</t>
  </si>
  <si>
    <t>581-15-9658</t>
  </si>
  <si>
    <t>000-00-9398</t>
  </si>
  <si>
    <t>106-32-1676</t>
  </si>
  <si>
    <t>098-20-6546</t>
  </si>
  <si>
    <t>111-60-9031</t>
  </si>
  <si>
    <t>072-33-3443</t>
  </si>
  <si>
    <t>584-85-3440</t>
  </si>
  <si>
    <t>062-76-5713</t>
  </si>
  <si>
    <t>128-86-1001</t>
  </si>
  <si>
    <t>068-32-1079</t>
  </si>
  <si>
    <t>084-54-0240</t>
  </si>
  <si>
    <t>051-46-4850</t>
  </si>
  <si>
    <t>300-29-0231</t>
  </si>
  <si>
    <t>109-64-3895</t>
  </si>
  <si>
    <t>132-58-5856</t>
  </si>
  <si>
    <t>056-58-9463</t>
  </si>
  <si>
    <t>000-00-7706</t>
  </si>
  <si>
    <t>000-00-8340</t>
  </si>
  <si>
    <t>093-54-1189</t>
  </si>
  <si>
    <t>122-86-2625</t>
  </si>
  <si>
    <t>069-76-2127</t>
  </si>
  <si>
    <t>123-60-1188</t>
  </si>
  <si>
    <t>124-32-9465</t>
  </si>
  <si>
    <t>374-96-6138</t>
  </si>
  <si>
    <t>098-48-3960</t>
  </si>
  <si>
    <t>105-58-9177</t>
  </si>
  <si>
    <t>271-14-4794</t>
  </si>
  <si>
    <t>060-36-3289</t>
  </si>
  <si>
    <t>126-80-3543</t>
  </si>
  <si>
    <t>101-82-8213</t>
  </si>
  <si>
    <t>102-78-1119</t>
  </si>
  <si>
    <t>078-66-7307</t>
  </si>
  <si>
    <t>085-76-7156</t>
  </si>
  <si>
    <t>607-82-8947</t>
  </si>
  <si>
    <t>076-60-8686</t>
  </si>
  <si>
    <t>541-29-3269</t>
  </si>
  <si>
    <t>092-42-4369</t>
  </si>
  <si>
    <t>011-74-0430</t>
  </si>
  <si>
    <t>092-54-2455</t>
  </si>
  <si>
    <t>092-76-9844</t>
  </si>
  <si>
    <t>097-70-8157</t>
  </si>
  <si>
    <t>108-48-9505</t>
  </si>
  <si>
    <t>597-26-3727</t>
  </si>
  <si>
    <t>080-52-2049</t>
  </si>
  <si>
    <t>073-50-6745</t>
  </si>
  <si>
    <t>121-54-1862</t>
  </si>
  <si>
    <t>102-60-4810</t>
  </si>
  <si>
    <t>088-64-8063</t>
  </si>
  <si>
    <t>085-50-5243</t>
  </si>
  <si>
    <t>104-58-8990</t>
  </si>
  <si>
    <t>143-96-6319</t>
  </si>
  <si>
    <t>058-60-6529</t>
  </si>
  <si>
    <t>239-64-3026</t>
  </si>
  <si>
    <t>120-54-8259</t>
  </si>
  <si>
    <t>122-78-6501</t>
  </si>
  <si>
    <t>098-56-7228</t>
  </si>
  <si>
    <t>006-90-3664</t>
  </si>
  <si>
    <t>634-12-0794</t>
  </si>
  <si>
    <t>128-70-1787</t>
  </si>
  <si>
    <t>089-76-9848</t>
  </si>
  <si>
    <t>082-40-5903</t>
  </si>
  <si>
    <t>584-04-4938</t>
  </si>
  <si>
    <t>348-74-3168</t>
  </si>
  <si>
    <t>097-74-2363</t>
  </si>
  <si>
    <t>254-83-0071</t>
  </si>
  <si>
    <t>115-62-9440</t>
  </si>
  <si>
    <t>456-79-2082</t>
  </si>
  <si>
    <t>596-09-6071</t>
  </si>
  <si>
    <t>248-11-9611</t>
  </si>
  <si>
    <t>125-62-3341</t>
  </si>
  <si>
    <t>055-78-6989</t>
  </si>
  <si>
    <t>118-74-4760</t>
  </si>
  <si>
    <t>128-96-0875</t>
  </si>
  <si>
    <t>543-45-6906</t>
  </si>
  <si>
    <t>109-60-1869</t>
  </si>
  <si>
    <t>580-16-7661</t>
  </si>
  <si>
    <t>087-98-5687</t>
  </si>
  <si>
    <t>073-56-9098</t>
  </si>
  <si>
    <t>058-90-0140</t>
  </si>
  <si>
    <t>052-72-1303</t>
  </si>
  <si>
    <t>102-50-9783</t>
  </si>
  <si>
    <t>079-68-6666</t>
  </si>
  <si>
    <t>060-68-6561</t>
  </si>
  <si>
    <t>085-60-5786</t>
  </si>
  <si>
    <t>117-54-0356</t>
  </si>
  <si>
    <t>594-10-3068</t>
  </si>
  <si>
    <t>090-82-9550</t>
  </si>
  <si>
    <t>079-02-4574</t>
  </si>
  <si>
    <t>075-56-9004</t>
  </si>
  <si>
    <t>916-82-7803</t>
  </si>
  <si>
    <t>120-78-7792</t>
  </si>
  <si>
    <t>056-70-1457</t>
  </si>
  <si>
    <t>138-32-3136</t>
  </si>
  <si>
    <t>757-40-6257</t>
  </si>
  <si>
    <t>073-52-6542</t>
  </si>
  <si>
    <t>095-58-8585</t>
  </si>
  <si>
    <t>263-95-9248</t>
  </si>
  <si>
    <t>000-00-0578</t>
  </si>
  <si>
    <t>520-33-2846</t>
  </si>
  <si>
    <t>260-61-1436</t>
  </si>
  <si>
    <t>191-86-5503</t>
  </si>
  <si>
    <t>080-94-3683</t>
  </si>
  <si>
    <t>095-78-5554</t>
  </si>
  <si>
    <t>228-15-2951</t>
  </si>
  <si>
    <t>267-68-3992</t>
  </si>
  <si>
    <t>121-72-9088</t>
  </si>
  <si>
    <t>063-84-2021</t>
  </si>
  <si>
    <t>114-70-7714</t>
  </si>
  <si>
    <t>014-70-1864</t>
  </si>
  <si>
    <t>127-78-9249</t>
  </si>
  <si>
    <t>063-42-4065</t>
  </si>
  <si>
    <t>614-50-5948</t>
  </si>
  <si>
    <t>100-40-4679</t>
  </si>
  <si>
    <t>056-64-3902</t>
  </si>
  <si>
    <t>078-58-6780</t>
  </si>
  <si>
    <t>141-84-5048</t>
  </si>
  <si>
    <t>595-89-3150</t>
  </si>
  <si>
    <t>050-64-6373</t>
  </si>
  <si>
    <t>105-56-7824</t>
  </si>
  <si>
    <t>590-52-6713</t>
  </si>
  <si>
    <t>130-68-9830</t>
  </si>
  <si>
    <t>549-65-2208</t>
  </si>
  <si>
    <t>306-92-3236</t>
  </si>
  <si>
    <t>132-82-2399</t>
  </si>
  <si>
    <t>121-68-0346</t>
  </si>
  <si>
    <t>124-60-7774</t>
  </si>
  <si>
    <t>353-86-7413</t>
  </si>
  <si>
    <t>064-82-8614</t>
  </si>
  <si>
    <t>128-48-3852</t>
  </si>
  <si>
    <t>172-54-7783</t>
  </si>
  <si>
    <t>534-17-8320</t>
  </si>
  <si>
    <t>082-74-0413</t>
  </si>
  <si>
    <t>102-98-6344</t>
  </si>
  <si>
    <t>249-81-5160</t>
  </si>
  <si>
    <t>107-80-9996</t>
  </si>
  <si>
    <t>241-90-1980</t>
  </si>
  <si>
    <t>050-38-2766</t>
  </si>
  <si>
    <t>094-87-1558</t>
  </si>
  <si>
    <t>099-72-5856</t>
  </si>
  <si>
    <t>233-25-0747</t>
  </si>
  <si>
    <t>532-94-6576</t>
  </si>
  <si>
    <t>058-78-8018</t>
  </si>
  <si>
    <t>116-72-8482</t>
  </si>
  <si>
    <t>116-54-1124</t>
  </si>
  <si>
    <t>729-07-7432</t>
  </si>
  <si>
    <t>230-63-1094</t>
  </si>
  <si>
    <t>074-84-5501</t>
  </si>
  <si>
    <t>128-66-5291</t>
  </si>
  <si>
    <t>090-50-2380</t>
  </si>
  <si>
    <t>555-97-1673</t>
  </si>
  <si>
    <t>131-72-5981</t>
  </si>
  <si>
    <t>524-63-4064</t>
  </si>
  <si>
    <t>758-77-6626</t>
  </si>
  <si>
    <t>042-82-4087</t>
  </si>
  <si>
    <t>636-30-9073</t>
  </si>
  <si>
    <t>058-66-8294</t>
  </si>
  <si>
    <t>071-64-5267</t>
  </si>
  <si>
    <t>220-88-5955</t>
  </si>
  <si>
    <t>175-66-9812</t>
  </si>
  <si>
    <t>866-91-7307</t>
  </si>
  <si>
    <t>684-72-6783</t>
  </si>
  <si>
    <t>110-58-4928</t>
  </si>
  <si>
    <t>127-42-8355</t>
  </si>
  <si>
    <t>087-76-3187</t>
  </si>
  <si>
    <t>430-59-6891</t>
  </si>
  <si>
    <t>057-68-2109</t>
  </si>
  <si>
    <t>100-54-1483</t>
  </si>
  <si>
    <t>112-68-8686</t>
  </si>
  <si>
    <t>092-38-9626</t>
  </si>
  <si>
    <t>493-82-1591</t>
  </si>
  <si>
    <t>060-62-0323</t>
  </si>
  <si>
    <t>188-82-1129</t>
  </si>
  <si>
    <t>609-90-2524</t>
  </si>
  <si>
    <t>117-96-7302</t>
  </si>
  <si>
    <t>068-78-9897</t>
  </si>
  <si>
    <t>155-96-1318</t>
  </si>
  <si>
    <t>133-70-1977</t>
  </si>
  <si>
    <t>812-30-9843</t>
  </si>
  <si>
    <t>146-68-3178</t>
  </si>
  <si>
    <t>134-64-7978</t>
  </si>
  <si>
    <t>100-62-4852</t>
  </si>
  <si>
    <t>112-70-1802</t>
  </si>
  <si>
    <t>106-72-0405</t>
  </si>
  <si>
    <t>124-36-4476</t>
  </si>
  <si>
    <t>115-64-6676</t>
  </si>
  <si>
    <t>000-00-8781</t>
  </si>
  <si>
    <t>052-70-2393</t>
  </si>
  <si>
    <t>582-95-9685</t>
  </si>
  <si>
    <t>104-74-6359</t>
  </si>
  <si>
    <t>113-70-9943</t>
  </si>
  <si>
    <t>127-90-4104</t>
  </si>
  <si>
    <t>075-76-4403</t>
  </si>
  <si>
    <t>599-30-3653</t>
  </si>
  <si>
    <t>091-62-0877</t>
  </si>
  <si>
    <t>083-90-9276</t>
  </si>
  <si>
    <t>123-88-2154</t>
  </si>
  <si>
    <t>591-45-8072</t>
  </si>
  <si>
    <t>115-78-2997</t>
  </si>
  <si>
    <t>624-88-3234</t>
  </si>
  <si>
    <t>078-70-1831</t>
  </si>
  <si>
    <t>094-54-4331</t>
  </si>
  <si>
    <t>076-98-4741</t>
  </si>
  <si>
    <t>088-52-6336</t>
  </si>
  <si>
    <t>266-93-7500</t>
  </si>
  <si>
    <t>062-62-7671</t>
  </si>
  <si>
    <t>023-64-5826</t>
  </si>
  <si>
    <t>064-82-7990</t>
  </si>
  <si>
    <t>144-60-7862</t>
  </si>
  <si>
    <t>083-56-1530</t>
  </si>
  <si>
    <t>418-19-6544</t>
  </si>
  <si>
    <t>151-94-5287</t>
  </si>
  <si>
    <t>132-84-9839</t>
  </si>
  <si>
    <t>647-35-1814</t>
  </si>
  <si>
    <t>108-64-5846</t>
  </si>
  <si>
    <t>105-78-2615</t>
  </si>
  <si>
    <t>065-58-0005</t>
  </si>
  <si>
    <t>093-72-3914</t>
  </si>
  <si>
    <t>089-52-0422</t>
  </si>
  <si>
    <t>109-86-4668</t>
  </si>
  <si>
    <t>087-50-8442</t>
  </si>
  <si>
    <t>062-86-0887</t>
  </si>
  <si>
    <t>584-74-1310</t>
  </si>
  <si>
    <t>141-96-0770</t>
  </si>
  <si>
    <t>050-58-3266</t>
  </si>
  <si>
    <t>078-70-5975</t>
  </si>
  <si>
    <t>128-69-5223</t>
  </si>
  <si>
    <t>124-84-6863</t>
  </si>
  <si>
    <t>115-26-6749</t>
  </si>
  <si>
    <t>132-70-8181</t>
  </si>
  <si>
    <t>109-56-4862</t>
  </si>
  <si>
    <t>595-43-4951</t>
  </si>
  <si>
    <t>073-58-2540</t>
  </si>
  <si>
    <t>000-00-2264</t>
  </si>
  <si>
    <t>105-38-0070</t>
  </si>
  <si>
    <t>058-72-3293</t>
  </si>
  <si>
    <t>129-68-0090</t>
  </si>
  <si>
    <t>129-36-3367</t>
  </si>
  <si>
    <t>131-54-0474</t>
  </si>
  <si>
    <t>084-60-8407</t>
  </si>
  <si>
    <t>091-42-0254</t>
  </si>
  <si>
    <t>109-68-9988</t>
  </si>
  <si>
    <t>099-84-1491</t>
  </si>
  <si>
    <t>058-70-4952</t>
  </si>
  <si>
    <t>120-56-1668</t>
  </si>
  <si>
    <t>072-48-6795</t>
  </si>
  <si>
    <t>096-54-4276</t>
  </si>
  <si>
    <t>079-58-5726</t>
  </si>
  <si>
    <t>057-66-0901</t>
  </si>
  <si>
    <t>042-98-8316</t>
  </si>
  <si>
    <t>051-70-7961</t>
  </si>
  <si>
    <t>095-52-0018</t>
  </si>
  <si>
    <t>080-92-4936</t>
  </si>
  <si>
    <t>128-48-3275</t>
  </si>
  <si>
    <t>000-00-3768</t>
  </si>
  <si>
    <t>098-56-6711</t>
  </si>
  <si>
    <t>056-58-6955</t>
  </si>
  <si>
    <t>562-37-8999</t>
  </si>
  <si>
    <t>108-84-4713</t>
  </si>
  <si>
    <t>065-54-1338</t>
  </si>
  <si>
    <t>101-60-5540</t>
  </si>
  <si>
    <t>075-64-7328</t>
  </si>
  <si>
    <t>575-98-7631</t>
  </si>
  <si>
    <t>129-58-7495</t>
  </si>
  <si>
    <t>638-05-1804</t>
  </si>
  <si>
    <t>117-66-7292</t>
  </si>
  <si>
    <t>000-00-2408</t>
  </si>
  <si>
    <t>094-76-8668</t>
  </si>
  <si>
    <t>119-56-0224</t>
  </si>
  <si>
    <t>104-86-4962</t>
  </si>
  <si>
    <t>000-00-4958</t>
  </si>
  <si>
    <t>068-62-8250</t>
  </si>
  <si>
    <t>000-00-1190</t>
  </si>
  <si>
    <t>060-02-3665</t>
  </si>
  <si>
    <t>082-64-6484</t>
  </si>
  <si>
    <t>392-86-4173</t>
  </si>
  <si>
    <t>102-58-5219</t>
  </si>
  <si>
    <t>583-33-6984</t>
  </si>
  <si>
    <t>644-78-3773</t>
  </si>
  <si>
    <t>131-64-4895</t>
  </si>
  <si>
    <t>093-62-4707</t>
  </si>
  <si>
    <t>084-80-8534</t>
  </si>
  <si>
    <t>106-38-5476</t>
  </si>
  <si>
    <t>082-80-3856</t>
  </si>
  <si>
    <t>050-84-9393</t>
  </si>
  <si>
    <t>224-91-1249</t>
  </si>
  <si>
    <t>103-50-6230</t>
  </si>
  <si>
    <t>062-58-8408</t>
  </si>
  <si>
    <t>089-46-4138</t>
  </si>
  <si>
    <t>080-84-1418</t>
  </si>
  <si>
    <t>597-40-9398</t>
  </si>
  <si>
    <t>071-58-8743</t>
  </si>
  <si>
    <t>130-80-2657</t>
  </si>
  <si>
    <t>094-66-5297</t>
  </si>
  <si>
    <t>089-86-3392</t>
  </si>
  <si>
    <t>078-56-4724</t>
  </si>
  <si>
    <t>134-56-0842</t>
  </si>
  <si>
    <t>079-60-0683</t>
  </si>
  <si>
    <t>076-58-3105</t>
  </si>
  <si>
    <t>120-64-2425</t>
  </si>
  <si>
    <t>091-82-5755</t>
  </si>
  <si>
    <t>103-78-0314</t>
  </si>
  <si>
    <t>146-60-3145</t>
  </si>
  <si>
    <t>000-00-4645</t>
  </si>
  <si>
    <t>122-58-9419</t>
  </si>
  <si>
    <t>050-56-4783</t>
  </si>
  <si>
    <t>106-76-3294</t>
  </si>
  <si>
    <t>106-60-8320</t>
  </si>
  <si>
    <t>133-48-4104</t>
  </si>
  <si>
    <t>125-66-5383</t>
  </si>
  <si>
    <t>106-48-1386</t>
  </si>
  <si>
    <t>581-29-5821</t>
  </si>
  <si>
    <t>114-48-4474</t>
  </si>
  <si>
    <t>068-60-1562</t>
  </si>
  <si>
    <t>097-56-1671</t>
  </si>
  <si>
    <t>081-94-2246</t>
  </si>
  <si>
    <t>730-14-5584</t>
  </si>
  <si>
    <t>123-90-0586</t>
  </si>
  <si>
    <t>102-58-5187</t>
  </si>
  <si>
    <t>070-76-8488</t>
  </si>
  <si>
    <t>108-66-5600</t>
  </si>
  <si>
    <t>103-80-2216</t>
  </si>
  <si>
    <t>083-64-4372</t>
  </si>
  <si>
    <t>120-72-4866</t>
  </si>
  <si>
    <t>106-90-5537</t>
  </si>
  <si>
    <t>064-94-7351</t>
  </si>
  <si>
    <t>000-00-5938</t>
  </si>
  <si>
    <t>090-70-4567</t>
  </si>
  <si>
    <t>114-50-5539</t>
  </si>
  <si>
    <t>121-88-3411</t>
  </si>
  <si>
    <t>554-63-9553</t>
  </si>
  <si>
    <t>056-56-2842</t>
  </si>
  <si>
    <t>356-55-9023</t>
  </si>
  <si>
    <t>117-34-8872</t>
  </si>
  <si>
    <t>105-52-8251</t>
  </si>
  <si>
    <t>098-58-0308</t>
  </si>
  <si>
    <t>146-35-7950</t>
  </si>
  <si>
    <t>073-86-5344</t>
  </si>
  <si>
    <t>132-66-3874</t>
  </si>
  <si>
    <t>100-70-2101</t>
  </si>
  <si>
    <t>624-33-1005</t>
  </si>
  <si>
    <t>062-86-9822</t>
  </si>
  <si>
    <t>000-00-0733</t>
  </si>
  <si>
    <t>154-32-2832</t>
  </si>
  <si>
    <t>557-61-4831</t>
  </si>
  <si>
    <t>090-58-8842</t>
  </si>
  <si>
    <t>130-66-8502</t>
  </si>
  <si>
    <t>106-76-4351</t>
  </si>
  <si>
    <t>770-62-3816</t>
  </si>
  <si>
    <t>081-54-5854</t>
  </si>
  <si>
    <t>072-34-5890</t>
  </si>
  <si>
    <t>107-88-6567</t>
  </si>
  <si>
    <t>101-62-0089</t>
  </si>
  <si>
    <t>856-16-0365</t>
  </si>
  <si>
    <t>069-62-9676</t>
  </si>
  <si>
    <t>097-96-5314</t>
  </si>
  <si>
    <t>015-92-7304</t>
  </si>
  <si>
    <t>138-48-5750</t>
  </si>
  <si>
    <t>087-68-2494</t>
  </si>
  <si>
    <t>248-87-4800</t>
  </si>
  <si>
    <t>109-62-0742</t>
  </si>
  <si>
    <t>125-48-8175</t>
  </si>
  <si>
    <t>108-82-9139</t>
  </si>
  <si>
    <t>069-62-1200</t>
  </si>
  <si>
    <t>133-56-6462</t>
  </si>
  <si>
    <t>586-66-7487</t>
  </si>
  <si>
    <t>099-72-1952</t>
  </si>
  <si>
    <t>071-58-7788</t>
  </si>
  <si>
    <t>067-58-8053</t>
  </si>
  <si>
    <t>071-94-6569</t>
  </si>
  <si>
    <t>758-37-0163</t>
  </si>
  <si>
    <t>095-80-0021</t>
  </si>
  <si>
    <t>059-64-8355</t>
  </si>
  <si>
    <t>074-50-5405</t>
  </si>
  <si>
    <t>108-48-7773</t>
  </si>
  <si>
    <t>564-70-9301</t>
  </si>
  <si>
    <t>127-58-0075</t>
  </si>
  <si>
    <t>072-58-2906</t>
  </si>
  <si>
    <t>109-66-9510</t>
  </si>
  <si>
    <t>097-58-2954</t>
  </si>
  <si>
    <t>124-56-7070</t>
  </si>
  <si>
    <t>375-86-3159</t>
  </si>
  <si>
    <t>244-25-2337</t>
  </si>
  <si>
    <t>130-80-6243</t>
  </si>
  <si>
    <t>019-48-7290</t>
  </si>
  <si>
    <t>583-38-4572</t>
  </si>
  <si>
    <t>041-80-2934</t>
  </si>
  <si>
    <t>000-00-5839</t>
  </si>
  <si>
    <t>070-58-0175</t>
  </si>
  <si>
    <t>056-88-6442</t>
  </si>
  <si>
    <t>120-58-1235</t>
  </si>
  <si>
    <t>101-64-8227</t>
  </si>
  <si>
    <t>115-90-3854</t>
  </si>
  <si>
    <t>051-92-4633</t>
  </si>
  <si>
    <t>131-98-4847</t>
  </si>
  <si>
    <t>083-56-0492</t>
  </si>
  <si>
    <t>097-64-0950</t>
  </si>
  <si>
    <t>000-00-2332</t>
  </si>
  <si>
    <t>052-46-0330</t>
  </si>
  <si>
    <t>128-48-5081</t>
  </si>
  <si>
    <t>000-00-6760</t>
  </si>
  <si>
    <t>071-64-2621</t>
  </si>
  <si>
    <t>057-56-2488</t>
  </si>
  <si>
    <t>067-58-1198</t>
  </si>
  <si>
    <t>231-45-1583</t>
  </si>
  <si>
    <t>098-66-6693</t>
  </si>
  <si>
    <t>293-17-0856</t>
  </si>
  <si>
    <t>076-56-3700</t>
  </si>
  <si>
    <t>117-72-6575</t>
  </si>
  <si>
    <t>057-80-3890</t>
  </si>
  <si>
    <t>583-81-8418</t>
  </si>
  <si>
    <t>087-52-4590</t>
  </si>
  <si>
    <t>580-96-5802</t>
  </si>
  <si>
    <t>128-74-2678</t>
  </si>
  <si>
    <t>073-62-6495</t>
  </si>
  <si>
    <t>584-43-2161</t>
  </si>
  <si>
    <t>098-74-4142</t>
  </si>
  <si>
    <t>096-48-3350</t>
  </si>
  <si>
    <t>583-89-7141</t>
  </si>
  <si>
    <t>104-42-5247</t>
  </si>
  <si>
    <t>071-60-1415</t>
  </si>
  <si>
    <t>092-40-0715</t>
  </si>
  <si>
    <t>087-80-8613</t>
  </si>
  <si>
    <t>587-11-1254</t>
  </si>
  <si>
    <t>091-64-9908</t>
  </si>
  <si>
    <t>128-72-0450</t>
  </si>
  <si>
    <t>131-56-7558</t>
  </si>
  <si>
    <t>111-82-5103</t>
  </si>
  <si>
    <t>096-60-4197</t>
  </si>
  <si>
    <t>114-36-7689</t>
  </si>
  <si>
    <t>099-58-5178</t>
  </si>
  <si>
    <t>121-70-3306</t>
  </si>
  <si>
    <t>078-82-2593</t>
  </si>
  <si>
    <t>078-56-6911</t>
  </si>
  <si>
    <t>063-80-4093</t>
  </si>
  <si>
    <t>125-74-4731</t>
  </si>
  <si>
    <t>091-58-9784</t>
  </si>
  <si>
    <t>128-90-6568</t>
  </si>
  <si>
    <t>093-56-8575</t>
  </si>
  <si>
    <t>128-88-4017</t>
  </si>
  <si>
    <t>116-48-9612</t>
  </si>
  <si>
    <t>109-54-1144</t>
  </si>
  <si>
    <t>099-96-6153</t>
  </si>
  <si>
    <t>078-58-6555</t>
  </si>
  <si>
    <t>074-44-6252</t>
  </si>
  <si>
    <t>100-58-7023</t>
  </si>
  <si>
    <t>592-03-5421</t>
  </si>
  <si>
    <t>099-52-9805</t>
  </si>
  <si>
    <t>082-60-7633</t>
  </si>
  <si>
    <t>077-52-1563</t>
  </si>
  <si>
    <t>082-74-9395</t>
  </si>
  <si>
    <t>114-36-9163</t>
  </si>
  <si>
    <t>000-00-1777</t>
  </si>
  <si>
    <t>060-82-3467</t>
  </si>
  <si>
    <t>057-94-9866</t>
  </si>
  <si>
    <t>220-61-6612</t>
  </si>
  <si>
    <t>055-62-4678</t>
  </si>
  <si>
    <t>596-16-6926</t>
  </si>
  <si>
    <t>000-00-6323</t>
  </si>
  <si>
    <t>106-56-1050</t>
  </si>
  <si>
    <t>082-40-4282</t>
  </si>
  <si>
    <t>094-56-5399</t>
  </si>
  <si>
    <t>101-54-8225</t>
  </si>
  <si>
    <t>063-84-7718</t>
  </si>
  <si>
    <t>082-94-7748</t>
  </si>
  <si>
    <t>422-35-1675</t>
  </si>
  <si>
    <t>115-62-1830</t>
  </si>
  <si>
    <t>057-58-8387</t>
  </si>
  <si>
    <t>076-56-9392</t>
  </si>
  <si>
    <t>097-72-4268</t>
  </si>
  <si>
    <t>078-72-8653</t>
  </si>
  <si>
    <t>061-70-2033</t>
  </si>
  <si>
    <t>260-39-2242</t>
  </si>
  <si>
    <t>580-88-3480</t>
  </si>
  <si>
    <t>075-44-6880</t>
  </si>
  <si>
    <t>089-64-6662</t>
  </si>
  <si>
    <t>584-53-6421</t>
  </si>
  <si>
    <t>085-54-7429</t>
  </si>
  <si>
    <t>118-64-2672</t>
  </si>
  <si>
    <t>075-50-0503</t>
  </si>
  <si>
    <t>076-64-1280</t>
  </si>
  <si>
    <t>069-58-7163</t>
  </si>
  <si>
    <t>598-05-6577</t>
  </si>
  <si>
    <t>055-88-0255</t>
  </si>
  <si>
    <t>056-76-1407</t>
  </si>
  <si>
    <t>255-23-5124</t>
  </si>
  <si>
    <t>123-42-4299</t>
  </si>
  <si>
    <t>584-08-3286</t>
  </si>
  <si>
    <t>076-56-1948</t>
  </si>
  <si>
    <t>055-46-0017</t>
  </si>
  <si>
    <t>134-68-4268</t>
  </si>
  <si>
    <t>119-84-0064</t>
  </si>
  <si>
    <t>077-62-9141</t>
  </si>
  <si>
    <t>581-99-2917</t>
  </si>
  <si>
    <t>116-64-3924</t>
  </si>
  <si>
    <t>130-42-9252</t>
  </si>
  <si>
    <t>113-70-9369</t>
  </si>
  <si>
    <t>110-50-0439</t>
  </si>
  <si>
    <t>081-42-5016</t>
  </si>
  <si>
    <t>130-80-7550</t>
  </si>
  <si>
    <t>112-72-9838</t>
  </si>
  <si>
    <t>592-33-4514</t>
  </si>
  <si>
    <t>058-48-5395</t>
  </si>
  <si>
    <t>134-58-0753</t>
  </si>
  <si>
    <t>108-80-6857</t>
  </si>
  <si>
    <t>112-54-6268</t>
  </si>
  <si>
    <t>148-58-9764</t>
  </si>
  <si>
    <t>079-52-0908</t>
  </si>
  <si>
    <t>111-78-6465</t>
  </si>
  <si>
    <t>076-54-3283</t>
  </si>
  <si>
    <t>072-58-4493</t>
  </si>
  <si>
    <t>091-80-1052</t>
  </si>
  <si>
    <t>107-48-9745</t>
  </si>
  <si>
    <t>102-58-1093</t>
  </si>
  <si>
    <t>058-62-5714</t>
  </si>
  <si>
    <t>117-86-0283</t>
  </si>
  <si>
    <t>059-58-9894</t>
  </si>
  <si>
    <t>086-60-3241</t>
  </si>
  <si>
    <t>099-34-5117</t>
  </si>
  <si>
    <t>109-54-6991</t>
  </si>
  <si>
    <t>057-50-8883</t>
  </si>
  <si>
    <t>063-66-5071</t>
  </si>
  <si>
    <t>087-66-6923</t>
  </si>
  <si>
    <t>116-54-7580</t>
  </si>
  <si>
    <t>565-65-4436</t>
  </si>
  <si>
    <t>605-37-6085</t>
  </si>
  <si>
    <t>247-52-3269</t>
  </si>
  <si>
    <t>000-34-3330</t>
  </si>
  <si>
    <t>072-56-9474</t>
  </si>
  <si>
    <t>584-78-7856</t>
  </si>
  <si>
    <t>116-74-3728</t>
  </si>
  <si>
    <t>090-50-8173</t>
  </si>
  <si>
    <t>584-19-6941</t>
  </si>
  <si>
    <t>107-60-8069</t>
  </si>
  <si>
    <t>098-36-7732</t>
  </si>
  <si>
    <t>125-82-9586</t>
  </si>
  <si>
    <t>131-52-8503</t>
  </si>
  <si>
    <t>059-88-6969</t>
  </si>
  <si>
    <t>098-94-3587</t>
  </si>
  <si>
    <t>117-62-0932</t>
  </si>
  <si>
    <t>295-60-1623</t>
  </si>
  <si>
    <t>098-46-8928</t>
  </si>
  <si>
    <t>058-70-7512</t>
  </si>
  <si>
    <t>583-96-5909</t>
  </si>
  <si>
    <t>227-75-5421</t>
  </si>
  <si>
    <t>051-62-7512</t>
  </si>
  <si>
    <t>130-54-0321</t>
  </si>
  <si>
    <t>079-68-4477</t>
  </si>
  <si>
    <t>211-84-4778</t>
  </si>
  <si>
    <t>372-84-5289</t>
  </si>
  <si>
    <t>096-58-9214</t>
  </si>
  <si>
    <t>062-80-0551</t>
  </si>
  <si>
    <t>103-94-4417</t>
  </si>
  <si>
    <t>098-54-5212</t>
  </si>
  <si>
    <t>112-68-0022</t>
  </si>
  <si>
    <t>106-50-6651</t>
  </si>
  <si>
    <t>078-76-3875</t>
  </si>
  <si>
    <t>108-62-9985</t>
  </si>
  <si>
    <t>116-80-8710</t>
  </si>
  <si>
    <t>062-54-8575</t>
  </si>
  <si>
    <t>592-69-3666</t>
  </si>
  <si>
    <t>121-90-2362</t>
  </si>
  <si>
    <t>599-18-6322</t>
  </si>
  <si>
    <t>058-82-5209</t>
  </si>
  <si>
    <t>055-54-5520</t>
  </si>
  <si>
    <t>211-19-5513</t>
  </si>
  <si>
    <t>081-34-5899</t>
  </si>
  <si>
    <t>016-66-9736</t>
  </si>
  <si>
    <t>097-52-2597</t>
  </si>
  <si>
    <t>069-58-3444</t>
  </si>
  <si>
    <t>067-82-3172</t>
  </si>
  <si>
    <t>000-00-8676</t>
  </si>
  <si>
    <t>104-88-4915</t>
  </si>
  <si>
    <t>581-86-2284</t>
  </si>
  <si>
    <t>000-00-1917</t>
  </si>
  <si>
    <t>118-98-9413</t>
  </si>
  <si>
    <t>060-62-8618</t>
  </si>
  <si>
    <t>166-46-1092</t>
  </si>
  <si>
    <t>103-62-8929</t>
  </si>
  <si>
    <t>112-86-8260</t>
  </si>
  <si>
    <t>584-15-8539</t>
  </si>
  <si>
    <t>053-46-7743</t>
  </si>
  <si>
    <t>096-48-3284</t>
  </si>
  <si>
    <t>104-40-3805</t>
  </si>
  <si>
    <t>124-84-8139</t>
  </si>
  <si>
    <t>095-62-0441</t>
  </si>
  <si>
    <t>127-86-6488</t>
  </si>
  <si>
    <t>113-48-2528</t>
  </si>
  <si>
    <t>056-76-6606</t>
  </si>
  <si>
    <t>050-76-2424</t>
  </si>
  <si>
    <t>066-54-7946</t>
  </si>
  <si>
    <t>056-54-0359</t>
  </si>
  <si>
    <t>043-48-0176</t>
  </si>
  <si>
    <t>070-46-6493</t>
  </si>
  <si>
    <t>518-13-9524</t>
  </si>
  <si>
    <t>076-62-1536</t>
  </si>
  <si>
    <t>109-70-5752</t>
  </si>
  <si>
    <t>545-98-2355</t>
  </si>
  <si>
    <t>584-15-2778</t>
  </si>
  <si>
    <t>584-18-0228</t>
  </si>
  <si>
    <t>075-66-2078</t>
  </si>
  <si>
    <t>262-85-1529</t>
  </si>
  <si>
    <t>143-58-8362</t>
  </si>
  <si>
    <t>056-96-8290</t>
  </si>
  <si>
    <t>110-62-6553</t>
  </si>
  <si>
    <t>246-96-4175</t>
  </si>
  <si>
    <t>109-54-0136</t>
  </si>
  <si>
    <t>079-66-9068</t>
  </si>
  <si>
    <t>096-56-7086</t>
  </si>
  <si>
    <t>117-52-6002</t>
  </si>
  <si>
    <t>580-98-6803</t>
  </si>
  <si>
    <t>103-38-2860</t>
  </si>
  <si>
    <t>140-48-8902</t>
  </si>
  <si>
    <t>128-48-9058</t>
  </si>
  <si>
    <t>101-40-5094</t>
  </si>
  <si>
    <t>086-60-7213</t>
  </si>
  <si>
    <t>120-75-3614</t>
  </si>
  <si>
    <t>590-20-6989</t>
  </si>
  <si>
    <t>069-40-2108</t>
  </si>
  <si>
    <t>248-72-2517</t>
  </si>
  <si>
    <t>125-34-1139</t>
  </si>
  <si>
    <t>124-76-3040</t>
  </si>
  <si>
    <t>069-64-6705</t>
  </si>
  <si>
    <t>084-48-5135</t>
  </si>
  <si>
    <t>499-60-6266</t>
  </si>
  <si>
    <t>584-38-2801</t>
  </si>
  <si>
    <t>061-86-3888</t>
  </si>
  <si>
    <t>060-46-5714</t>
  </si>
  <si>
    <t>057-56-9388</t>
  </si>
  <si>
    <t>123-82-2454</t>
  </si>
  <si>
    <t>000-00-1732</t>
  </si>
  <si>
    <t>108-80-7706</t>
  </si>
  <si>
    <t>112-62-8982</t>
  </si>
  <si>
    <t>090-66-0103</t>
  </si>
  <si>
    <t>063-42-5038</t>
  </si>
  <si>
    <t>104-68-1303</t>
  </si>
  <si>
    <t>117-56-1005</t>
  </si>
  <si>
    <t>000-00-2145</t>
  </si>
  <si>
    <t>261-97-2848</t>
  </si>
  <si>
    <t>134-62-5729</t>
  </si>
  <si>
    <t>104-46-2161</t>
  </si>
  <si>
    <t>098-74-5834</t>
  </si>
  <si>
    <t>116-46-3306</t>
  </si>
  <si>
    <t>091-54-3687</t>
  </si>
  <si>
    <t>121-60-0864</t>
  </si>
  <si>
    <t>584-10-6024</t>
  </si>
  <si>
    <t>070-40-6654</t>
  </si>
  <si>
    <t>123-60-4588</t>
  </si>
  <si>
    <t>105-50-3326</t>
  </si>
  <si>
    <t>115-56-9932</t>
  </si>
  <si>
    <t>055-52-8439</t>
  </si>
  <si>
    <t>156-98-6916</t>
  </si>
  <si>
    <t>110-52-2580</t>
  </si>
  <si>
    <t>120-68-7173</t>
  </si>
  <si>
    <t>263-64-7039</t>
  </si>
  <si>
    <t>120-56-5429</t>
  </si>
  <si>
    <t>071-58-6091</t>
  </si>
  <si>
    <t>241-29-4995</t>
  </si>
  <si>
    <t>243-19-2394</t>
  </si>
  <si>
    <t>077-58-4307</t>
  </si>
  <si>
    <t>096-58-7003</t>
  </si>
  <si>
    <t>598-12-3163</t>
  </si>
  <si>
    <t>079-56-7055</t>
  </si>
  <si>
    <t>121-40-0942</t>
  </si>
  <si>
    <t>073-48-4131</t>
  </si>
  <si>
    <t>599-16-4320</t>
  </si>
  <si>
    <t>121-46-4907</t>
  </si>
  <si>
    <t>111-58-9135</t>
  </si>
  <si>
    <t>084-66-6456</t>
  </si>
  <si>
    <t>116-16-2202</t>
  </si>
  <si>
    <t>777-76-4829</t>
  </si>
  <si>
    <t>249-94-1682</t>
  </si>
  <si>
    <t>050-60-5363</t>
  </si>
  <si>
    <t>077-50-5981</t>
  </si>
  <si>
    <t>004-50-3096</t>
  </si>
  <si>
    <t>069-78-5261</t>
  </si>
  <si>
    <t>103-50-5256</t>
  </si>
  <si>
    <t>131-50-9550</t>
  </si>
  <si>
    <t>157-56-6436</t>
  </si>
  <si>
    <t>171-74-3102</t>
  </si>
  <si>
    <t>077-68-1578</t>
  </si>
  <si>
    <t>050-50-2357</t>
  </si>
  <si>
    <t>119-54-4937</t>
  </si>
  <si>
    <t>051-44-1357</t>
  </si>
  <si>
    <t>292-62-1292</t>
  </si>
  <si>
    <t>066-76-8243</t>
  </si>
  <si>
    <t>265-65-3058</t>
  </si>
  <si>
    <t>105-58-4466</t>
  </si>
  <si>
    <t>100-48-1345</t>
  </si>
  <si>
    <t>510-72-2672</t>
  </si>
  <si>
    <t>081-48-5940</t>
  </si>
  <si>
    <t>224-88-0006</t>
  </si>
  <si>
    <t>063-84-0388</t>
  </si>
  <si>
    <t>109-92-2565</t>
  </si>
  <si>
    <t>026-58-8399</t>
  </si>
  <si>
    <t>055-62-1077</t>
  </si>
  <si>
    <t>000-00-6666</t>
  </si>
  <si>
    <t>071-72-9318</t>
  </si>
  <si>
    <t>583-74-2251</t>
  </si>
  <si>
    <t>055-94-7800</t>
  </si>
  <si>
    <t>099-48-9821</t>
  </si>
  <si>
    <t>053-78-9096</t>
  </si>
  <si>
    <t>086-60-1771</t>
  </si>
  <si>
    <t>146-40-5259</t>
  </si>
  <si>
    <t>075-58-6691</t>
  </si>
  <si>
    <t>123-70-9978</t>
  </si>
  <si>
    <t>584-90-9002</t>
  </si>
  <si>
    <t>063-44-1333</t>
  </si>
  <si>
    <t>073-70-5621</t>
  </si>
  <si>
    <t>543-58-8805</t>
  </si>
  <si>
    <t>081-82-8741</t>
  </si>
  <si>
    <t>011-23-8306</t>
  </si>
  <si>
    <t>583-13-3394</t>
  </si>
  <si>
    <t>092-64-7997</t>
  </si>
  <si>
    <t>121-62-9499</t>
  </si>
  <si>
    <t>078-36-1539</t>
  </si>
  <si>
    <t>111-46-4331</t>
  </si>
  <si>
    <t>114-64-8527</t>
  </si>
  <si>
    <t>096-58-7540</t>
  </si>
  <si>
    <t>070-40-1704</t>
  </si>
  <si>
    <t>154-72-0727</t>
  </si>
  <si>
    <t>067-58-7750</t>
  </si>
  <si>
    <t>064-54-0155</t>
  </si>
  <si>
    <t>063-60-7925</t>
  </si>
  <si>
    <t>060-62-7920</t>
  </si>
  <si>
    <t>248-25-9051</t>
  </si>
  <si>
    <t>131-98-9450</t>
  </si>
  <si>
    <t>060-48-3207</t>
  </si>
  <si>
    <t>102-38-5049</t>
  </si>
  <si>
    <t>556-80-7385</t>
  </si>
  <si>
    <t>251-17-0196</t>
  </si>
  <si>
    <t>449-51-0375</t>
  </si>
  <si>
    <t>125-66-2259</t>
  </si>
  <si>
    <t>058-56-6015</t>
  </si>
  <si>
    <t>580-82-4582</t>
  </si>
  <si>
    <t>062-54-3745</t>
  </si>
  <si>
    <t>423-78-2580</t>
  </si>
  <si>
    <t>063-58-5850</t>
  </si>
  <si>
    <t>074-66-6639</t>
  </si>
  <si>
    <t>061-50-8237</t>
  </si>
  <si>
    <t>063-99-5992</t>
  </si>
  <si>
    <t>261-95-3516</t>
  </si>
  <si>
    <t>065-56-4430</t>
  </si>
  <si>
    <t>087-48-0485</t>
  </si>
  <si>
    <t>082-64-0933</t>
  </si>
  <si>
    <t>129-30-5818</t>
  </si>
  <si>
    <t>136-50-6506</t>
  </si>
  <si>
    <t>836-55-3614</t>
  </si>
  <si>
    <t>113-72-8090</t>
  </si>
  <si>
    <t>097-46-4066</t>
  </si>
  <si>
    <t>106-76-3632</t>
  </si>
  <si>
    <t>119-86-5571</t>
  </si>
  <si>
    <t>258-48-2676</t>
  </si>
  <si>
    <t>433-51-6186</t>
  </si>
  <si>
    <t>091-40-5580</t>
  </si>
  <si>
    <t>081-56-2683</t>
  </si>
  <si>
    <t>239-78-3960</t>
  </si>
  <si>
    <t>110-52-0979</t>
  </si>
  <si>
    <t>103-58-4935</t>
  </si>
  <si>
    <t>086-44-7534</t>
  </si>
  <si>
    <t>599-03-3944</t>
  </si>
  <si>
    <t>095-62-0417</t>
  </si>
  <si>
    <t>155-46-0151</t>
  </si>
  <si>
    <t>127-54-4559</t>
  </si>
  <si>
    <t>073-52-5981</t>
  </si>
  <si>
    <t>131-80-5045</t>
  </si>
  <si>
    <t>074-12-4878</t>
  </si>
  <si>
    <t>068-58-6529</t>
  </si>
  <si>
    <t>147-70-9786</t>
  </si>
  <si>
    <t>064-36-4773</t>
  </si>
  <si>
    <t>066-30-6599</t>
  </si>
  <si>
    <t>105-58-9586</t>
  </si>
  <si>
    <t>133-44-4184</t>
  </si>
  <si>
    <t>049-44-8370</t>
  </si>
  <si>
    <t>125-32-0081</t>
  </si>
  <si>
    <t>106-48-2419</t>
  </si>
  <si>
    <t>113-42-0501</t>
  </si>
  <si>
    <t>216-96-9440</t>
  </si>
  <si>
    <t>117-52-5809</t>
  </si>
  <si>
    <t>582-37-8377</t>
  </si>
  <si>
    <t>134-72-8235</t>
  </si>
  <si>
    <t>084-74-5779</t>
  </si>
  <si>
    <t>000-00-2451</t>
  </si>
  <si>
    <t>248-96-0403</t>
  </si>
  <si>
    <t>131-50-3118</t>
  </si>
  <si>
    <t>088-56-5927</t>
  </si>
  <si>
    <t>203-58-0262</t>
  </si>
  <si>
    <t>126-54-6220</t>
  </si>
  <si>
    <t>086-74-1627</t>
  </si>
  <si>
    <t>374-36-2609</t>
  </si>
  <si>
    <t>091-52-0807</t>
  </si>
  <si>
    <t>061-46-9375</t>
  </si>
  <si>
    <t>132-58-5078</t>
  </si>
  <si>
    <t>098-56-2102</t>
  </si>
  <si>
    <t>000-00-9959</t>
  </si>
  <si>
    <t>103-74-3806</t>
  </si>
  <si>
    <t>103-80-3857</t>
  </si>
  <si>
    <t>038-56-5630</t>
  </si>
  <si>
    <t>256-37-0656</t>
  </si>
  <si>
    <t>149-32-3269</t>
  </si>
  <si>
    <t>105-56-0138</t>
  </si>
  <si>
    <t>122-46-9252</t>
  </si>
  <si>
    <t>088-56-2920</t>
  </si>
  <si>
    <t>118-66-9174</t>
  </si>
  <si>
    <t>117-40-0164</t>
  </si>
  <si>
    <t>600-32-5806</t>
  </si>
  <si>
    <t>105-63-7353</t>
  </si>
  <si>
    <t>059-78-5149</t>
  </si>
  <si>
    <t>106-48-4642</t>
  </si>
  <si>
    <t>095-52-8626</t>
  </si>
  <si>
    <t>582-06-4461</t>
  </si>
  <si>
    <t>153-48-2639</t>
  </si>
  <si>
    <t>097-54-9643</t>
  </si>
  <si>
    <t>112-52-2953</t>
  </si>
  <si>
    <t>108-80-6062</t>
  </si>
  <si>
    <t>071-46-4906</t>
  </si>
  <si>
    <t>115-56-1126</t>
  </si>
  <si>
    <t>128-48-2363</t>
  </si>
  <si>
    <t>153-44-1190</t>
  </si>
  <si>
    <t>583-62-3994</t>
  </si>
  <si>
    <t>000-00-2580</t>
  </si>
  <si>
    <t>094-86-2184</t>
  </si>
  <si>
    <t>249-70-2850</t>
  </si>
  <si>
    <t>111-46-5927</t>
  </si>
  <si>
    <t>091-66-0366</t>
  </si>
  <si>
    <t>000-00-9077</t>
  </si>
  <si>
    <t>133-56-8298</t>
  </si>
  <si>
    <t>584-46-6467</t>
  </si>
  <si>
    <t>121-34-4394</t>
  </si>
  <si>
    <t>093-56-1947</t>
  </si>
  <si>
    <t>000-00-2979</t>
  </si>
  <si>
    <t>068-48-8275</t>
  </si>
  <si>
    <t>252-48-4088</t>
  </si>
  <si>
    <t>130-64-4279</t>
  </si>
  <si>
    <t>099-56-3458</t>
  </si>
  <si>
    <t>053-50-5580</t>
  </si>
  <si>
    <t>040-68-3997</t>
  </si>
  <si>
    <t>583-78-7215</t>
  </si>
  <si>
    <t>090-68-9519</t>
  </si>
  <si>
    <t>219-08-7487</t>
  </si>
  <si>
    <t>087-48-1625</t>
  </si>
  <si>
    <t>091-42-5993</t>
  </si>
  <si>
    <t>096-56-5451</t>
  </si>
  <si>
    <t>052-30-0063</t>
  </si>
  <si>
    <t>057-48-1599</t>
  </si>
  <si>
    <t>105-82-1209</t>
  </si>
  <si>
    <t>193-44-4858</t>
  </si>
  <si>
    <t>122-50-3883</t>
  </si>
  <si>
    <t>053-64-0203</t>
  </si>
  <si>
    <t>108-44-2025</t>
  </si>
  <si>
    <t>584-83-3050</t>
  </si>
  <si>
    <t>094-34-3967</t>
  </si>
  <si>
    <t>082-56-0574</t>
  </si>
  <si>
    <t>108-52-5052</t>
  </si>
  <si>
    <t>614-22-7039</t>
  </si>
  <si>
    <t>103-62-8568</t>
  </si>
  <si>
    <t>119-52-5006</t>
  </si>
  <si>
    <t>095-48-1950</t>
  </si>
  <si>
    <t>087-56-8129</t>
  </si>
  <si>
    <t>096-36-8722</t>
  </si>
  <si>
    <t>090-58-7748</t>
  </si>
  <si>
    <t>133-62-8635</t>
  </si>
  <si>
    <t>089-66-5516</t>
  </si>
  <si>
    <t>092-90-7640</t>
  </si>
  <si>
    <t>058-58-5429</t>
  </si>
  <si>
    <t>095-58-2750</t>
  </si>
  <si>
    <t>134-52-2974</t>
  </si>
  <si>
    <t>087-36-8940</t>
  </si>
  <si>
    <t>059-66-1046</t>
  </si>
  <si>
    <t>090-72-7244</t>
  </si>
  <si>
    <t>066-36-3957</t>
  </si>
  <si>
    <t>119-56-0441</t>
  </si>
  <si>
    <t>073-48-3861</t>
  </si>
  <si>
    <t>086-54-7404</t>
  </si>
  <si>
    <t>081-98-7155</t>
  </si>
  <si>
    <t>122-56-0255</t>
  </si>
  <si>
    <t>089-84-9486</t>
  </si>
  <si>
    <t>120-52-4795</t>
  </si>
  <si>
    <t>086-44-7737</t>
  </si>
  <si>
    <t>079-62-2946</t>
  </si>
  <si>
    <t>074-44-7452</t>
  </si>
  <si>
    <t>087-50-0677</t>
  </si>
  <si>
    <t>096-84-8980</t>
  </si>
  <si>
    <t>599-18-1018</t>
  </si>
  <si>
    <t>063-54-1845</t>
  </si>
  <si>
    <t>101-74-8189</t>
  </si>
  <si>
    <t>114-40-3363</t>
  </si>
  <si>
    <t>098-50-5451</t>
  </si>
  <si>
    <t>070-58-9030</t>
  </si>
  <si>
    <t>756-23-4953</t>
  </si>
  <si>
    <t>085-54-6248</t>
  </si>
  <si>
    <t>104-54-0674</t>
  </si>
  <si>
    <t>147-84-8752</t>
  </si>
  <si>
    <t>088-40-0678</t>
  </si>
  <si>
    <t>582-11-8987</t>
  </si>
  <si>
    <t>000-00-4720</t>
  </si>
  <si>
    <t>583-40-6836</t>
  </si>
  <si>
    <t>581-36-0198</t>
  </si>
  <si>
    <t>075-38-5626</t>
  </si>
  <si>
    <t>000-00-9505</t>
  </si>
  <si>
    <t>098-02-9496</t>
  </si>
  <si>
    <t>086-56-6671</t>
  </si>
  <si>
    <t>583-48-3256</t>
  </si>
  <si>
    <t>116-46-7185</t>
  </si>
  <si>
    <t>082-58-7093</t>
  </si>
  <si>
    <t>121-40-9142</t>
  </si>
  <si>
    <t>530-73-2222</t>
  </si>
  <si>
    <t>134-82-8076</t>
  </si>
  <si>
    <t>127-42-5246</t>
  </si>
  <si>
    <t>583-71-4901</t>
  </si>
  <si>
    <t>104-34-4530</t>
  </si>
  <si>
    <t>055-74-6359</t>
  </si>
  <si>
    <t>079-48-5695</t>
  </si>
  <si>
    <t>028-32-7805</t>
  </si>
  <si>
    <t>580-09-3528</t>
  </si>
  <si>
    <t>579-50-5094</t>
  </si>
  <si>
    <t>580-14-7724</t>
  </si>
  <si>
    <t>704-29-2519</t>
  </si>
  <si>
    <t>087-74-2051</t>
  </si>
  <si>
    <t>058-44-6232</t>
  </si>
  <si>
    <t>133-52-9413</t>
  </si>
  <si>
    <t>075-70-5765</t>
  </si>
  <si>
    <t>082-80-2740</t>
  </si>
  <si>
    <t>088-54-8301</t>
  </si>
  <si>
    <t>124-80-2443</t>
  </si>
  <si>
    <t>050-98-8026</t>
  </si>
  <si>
    <t>071-64-1497</t>
  </si>
  <si>
    <t>121-80-6772</t>
  </si>
  <si>
    <t>096-56-2643</t>
  </si>
  <si>
    <t>442-61-6085</t>
  </si>
  <si>
    <t>000-00-1191</t>
  </si>
  <si>
    <t>063-66-0266</t>
  </si>
  <si>
    <t>116-58-9815</t>
  </si>
  <si>
    <t>000-00-0062</t>
  </si>
  <si>
    <t>085-94-8329</t>
  </si>
  <si>
    <t>099-52-3398</t>
  </si>
  <si>
    <t>105-50-0812</t>
  </si>
  <si>
    <t>098-82-7516</t>
  </si>
  <si>
    <t>099-50-3046</t>
  </si>
  <si>
    <t>073-58-2156</t>
  </si>
  <si>
    <t>123-42-9405</t>
  </si>
  <si>
    <t>132-60-9482</t>
  </si>
  <si>
    <t>125-44-3934</t>
  </si>
  <si>
    <t>058-50-5191</t>
  </si>
  <si>
    <t>065-44-6818</t>
  </si>
  <si>
    <t>125-52-9600</t>
  </si>
  <si>
    <t>128-54-2720</t>
  </si>
  <si>
    <t>581-72-8698</t>
  </si>
  <si>
    <t>067-58-0374</t>
  </si>
  <si>
    <t>116-46-4135</t>
  </si>
  <si>
    <t>121-94-0514</t>
  </si>
  <si>
    <t>083-56-3795</t>
  </si>
  <si>
    <t>074-44-8093</t>
  </si>
  <si>
    <t>351-94-5012</t>
  </si>
  <si>
    <t>105-80-5984</t>
  </si>
  <si>
    <t>076-34-0287</t>
  </si>
  <si>
    <t>598-30-0388</t>
  </si>
  <si>
    <t>069-70-3734</t>
  </si>
  <si>
    <t>000-00-0279</t>
  </si>
  <si>
    <t>119-94-5025</t>
  </si>
  <si>
    <t>111-78-6454</t>
  </si>
  <si>
    <t>050-42-4889</t>
  </si>
  <si>
    <t>072-54-9513</t>
  </si>
  <si>
    <t>236-66-5231</t>
  </si>
  <si>
    <t>091-40-8280</t>
  </si>
  <si>
    <t>109-72-9781</t>
  </si>
  <si>
    <t>082-54-0161</t>
  </si>
  <si>
    <t>082-46-2224</t>
  </si>
  <si>
    <t>107-64-2417</t>
  </si>
  <si>
    <t>580-07-7215</t>
  </si>
  <si>
    <t>110-50-4700</t>
  </si>
  <si>
    <t>580-14-2932</t>
  </si>
  <si>
    <t>056-58-7995</t>
  </si>
  <si>
    <t>120-68-6525</t>
  </si>
  <si>
    <t>116-44-5229</t>
  </si>
  <si>
    <t>186-54-7712</t>
  </si>
  <si>
    <t>110-42-7376</t>
  </si>
  <si>
    <t>599-01-8460</t>
  </si>
  <si>
    <t>076-48-5570</t>
  </si>
  <si>
    <t>114-54-5353</t>
  </si>
  <si>
    <t>109-56-6980</t>
  </si>
  <si>
    <t>063-48-3487</t>
  </si>
  <si>
    <t>065-86-2445</t>
  </si>
  <si>
    <t>070-48-7632</t>
  </si>
  <si>
    <t>072-34-0944</t>
  </si>
  <si>
    <t>000-00-1605</t>
  </si>
  <si>
    <t>086-70-8663</t>
  </si>
  <si>
    <t>652-30-0705</t>
  </si>
  <si>
    <t>086-86-1916</t>
  </si>
  <si>
    <t>000-00-1006</t>
  </si>
  <si>
    <t>069-36-7556</t>
  </si>
  <si>
    <t>096-36-8742</t>
  </si>
  <si>
    <t>056-68-7638</t>
  </si>
  <si>
    <t>583-55-8222</t>
  </si>
  <si>
    <t>061-46-7770</t>
  </si>
  <si>
    <t>154-76-3581</t>
  </si>
  <si>
    <t>213-60-4774</t>
  </si>
  <si>
    <t>045-42-2933</t>
  </si>
  <si>
    <t>047-72-3642</t>
  </si>
  <si>
    <t>236-51-1618</t>
  </si>
  <si>
    <t>731-24-9287</t>
  </si>
  <si>
    <t>082-66-1525</t>
  </si>
  <si>
    <t>168-76-2600</t>
  </si>
  <si>
    <t>067-82-0920</t>
  </si>
  <si>
    <t>116-54-8392</t>
  </si>
  <si>
    <t>903-74-8885</t>
  </si>
  <si>
    <t>066-26-0050</t>
  </si>
  <si>
    <t>094-56-8470</t>
  </si>
  <si>
    <t>095-76-1728</t>
  </si>
  <si>
    <t>144-23-1288</t>
  </si>
  <si>
    <t>156-52-9824</t>
  </si>
  <si>
    <t>730-16-9554</t>
  </si>
  <si>
    <t>584-92-2039</t>
  </si>
  <si>
    <t>133-70-1018</t>
  </si>
  <si>
    <t>055-58-9471</t>
  </si>
  <si>
    <t>583-20-9056</t>
  </si>
  <si>
    <t>085-70-2548</t>
  </si>
  <si>
    <t>070-50-4326</t>
  </si>
  <si>
    <t>057-60-3667</t>
  </si>
  <si>
    <t>130-42-6136</t>
  </si>
  <si>
    <t>071-46-3302</t>
  </si>
  <si>
    <t>730-07-8971</t>
  </si>
  <si>
    <t>097-56-0479</t>
  </si>
  <si>
    <t>052-38-9852</t>
  </si>
  <si>
    <t>066-60-0236</t>
  </si>
  <si>
    <t>729-18-7560</t>
  </si>
  <si>
    <t>133-76-6442</t>
  </si>
  <si>
    <t>224-74-4008</t>
  </si>
  <si>
    <t>124-36-3469</t>
  </si>
  <si>
    <t>059-44-6035</t>
  </si>
  <si>
    <t>088-94-5194</t>
  </si>
  <si>
    <t>088-94-5794</t>
  </si>
  <si>
    <t>141-40-7739</t>
  </si>
  <si>
    <t>063-58-7649</t>
  </si>
  <si>
    <t>103-34-6473</t>
  </si>
  <si>
    <t>133-90-1531</t>
  </si>
  <si>
    <t>059-76-4912</t>
  </si>
  <si>
    <t>569-14-1254</t>
  </si>
  <si>
    <t>121-38-0535</t>
  </si>
  <si>
    <t>143-60-5988</t>
  </si>
  <si>
    <t>584-38-3807</t>
  </si>
  <si>
    <t>092-38-3287</t>
  </si>
  <si>
    <t>134-28-7924</t>
  </si>
  <si>
    <t>559-06-8908</t>
  </si>
  <si>
    <t>119-82-3709</t>
  </si>
  <si>
    <t>100-60-0075</t>
  </si>
  <si>
    <t>000-00-6807</t>
  </si>
  <si>
    <t>129-30-7516</t>
  </si>
  <si>
    <t>066-86-3193</t>
  </si>
  <si>
    <t>089-72-3997</t>
  </si>
  <si>
    <t>426-72-3132</t>
  </si>
  <si>
    <t>599-74-3344</t>
  </si>
  <si>
    <t>068-80-6917</t>
  </si>
  <si>
    <t>053-86-3900</t>
  </si>
  <si>
    <t>561-42-2590</t>
  </si>
  <si>
    <t>052-36-4165</t>
  </si>
  <si>
    <t>143-88-0561</t>
  </si>
  <si>
    <t>133-44-1637</t>
  </si>
  <si>
    <t>069-50-1759</t>
  </si>
  <si>
    <t>123-48-6695</t>
  </si>
  <si>
    <t>067-70-3794</t>
  </si>
  <si>
    <t>581-64-4634</t>
  </si>
  <si>
    <t>101-58-8993</t>
  </si>
  <si>
    <t>112-60-3917</t>
  </si>
  <si>
    <t>103-48-4692</t>
  </si>
  <si>
    <t>137-58-6011</t>
  </si>
  <si>
    <t>101-96-4551</t>
  </si>
  <si>
    <t>102-64-5993</t>
  </si>
  <si>
    <t>119-42-7946</t>
  </si>
  <si>
    <t>066-92-9886</t>
  </si>
  <si>
    <t>584-20-3844</t>
  </si>
  <si>
    <t>114-38-1138</t>
  </si>
  <si>
    <t>101-68-1828</t>
  </si>
  <si>
    <t>061-44-1486</t>
  </si>
  <si>
    <t>086-70-6554</t>
  </si>
  <si>
    <t>085-56-9979</t>
  </si>
  <si>
    <t>106-50-3931</t>
  </si>
  <si>
    <t>111-46-4786</t>
  </si>
  <si>
    <t>582-96-6965</t>
  </si>
  <si>
    <t>118-19-9514</t>
  </si>
  <si>
    <t>733-05-3189</t>
  </si>
  <si>
    <t>524-27-9591</t>
  </si>
  <si>
    <t>076-76-4721</t>
  </si>
  <si>
    <t>108-80-0060</t>
  </si>
  <si>
    <t>070-58-4215</t>
  </si>
  <si>
    <t>015-54-1988</t>
  </si>
  <si>
    <t>060-86-9675</t>
  </si>
  <si>
    <t>111-44-5447</t>
  </si>
  <si>
    <t>092-62-9642</t>
  </si>
  <si>
    <t>152-42-5701</t>
  </si>
  <si>
    <t>070-46-7621</t>
  </si>
  <si>
    <t>069-78-6812</t>
  </si>
  <si>
    <t>098-48-3842</t>
  </si>
  <si>
    <t>057-92-6427</t>
  </si>
  <si>
    <t>127-54-7124</t>
  </si>
  <si>
    <t>093-74-1019</t>
  </si>
  <si>
    <t>101-44-8258</t>
  </si>
  <si>
    <t>130-94-8030</t>
  </si>
  <si>
    <t>121-56-4179</t>
  </si>
  <si>
    <t>101-98-1762</t>
  </si>
  <si>
    <t>389-78-7150</t>
  </si>
  <si>
    <t>062-62-6788</t>
  </si>
  <si>
    <t>361-60-1625</t>
  </si>
  <si>
    <t>111-52-6259</t>
  </si>
  <si>
    <t>117-74-4949</t>
  </si>
  <si>
    <t>554-37-1224</t>
  </si>
  <si>
    <t>212-78-4946</t>
  </si>
  <si>
    <t>104-40-4668</t>
  </si>
  <si>
    <t>043-52-2819</t>
  </si>
  <si>
    <t>062-78-4582</t>
  </si>
  <si>
    <t>256-70-8851</t>
  </si>
  <si>
    <t>075-62-1924</t>
  </si>
  <si>
    <t>127-54-7247</t>
  </si>
  <si>
    <t>120-48-2374</t>
  </si>
  <si>
    <t>563-71-2392</t>
  </si>
  <si>
    <t>108-26-4377</t>
  </si>
  <si>
    <t>112-82-7206</t>
  </si>
  <si>
    <t>070-86-6463</t>
  </si>
  <si>
    <t>124-40-5187</t>
  </si>
  <si>
    <t>583-53-8127</t>
  </si>
  <si>
    <t>099-44-7045</t>
  </si>
  <si>
    <t>128-64-6454</t>
  </si>
  <si>
    <t>101-48-9231</t>
  </si>
  <si>
    <t>094-74-1986</t>
  </si>
  <si>
    <t>061-62-0039</t>
  </si>
  <si>
    <t>000-00-5992</t>
  </si>
  <si>
    <t>297-52-0072</t>
  </si>
  <si>
    <t>060-56-0735</t>
  </si>
  <si>
    <t>580-31-9137</t>
  </si>
  <si>
    <t>606-56-0735</t>
  </si>
  <si>
    <t>814-80-9914</t>
  </si>
  <si>
    <t>101-70-6274</t>
  </si>
  <si>
    <t>124-86-1769</t>
  </si>
  <si>
    <t>070-38-8858</t>
  </si>
  <si>
    <t>098-56-3114</t>
  </si>
  <si>
    <t>351-25-1929</t>
  </si>
  <si>
    <t>057-84-7056</t>
  </si>
  <si>
    <t>113-42-2895</t>
  </si>
  <si>
    <t>059-86-9495</t>
  </si>
  <si>
    <t>134-46-6941</t>
  </si>
  <si>
    <t>077-58-3195</t>
  </si>
  <si>
    <t>106-40-7416</t>
  </si>
  <si>
    <t>082-24-7969</t>
  </si>
  <si>
    <t>058-44-2522</t>
  </si>
  <si>
    <t>093-84-9934</t>
  </si>
  <si>
    <t>076-62-4500</t>
  </si>
  <si>
    <t>583-67-3773</t>
  </si>
  <si>
    <t>563-65-6364</t>
  </si>
  <si>
    <t>095-50-0687</t>
  </si>
  <si>
    <t>582-72-2980</t>
  </si>
  <si>
    <t>094-30-0378</t>
  </si>
  <si>
    <t>087-68-7766</t>
  </si>
  <si>
    <t>116-44-1836</t>
  </si>
  <si>
    <t>101-60-6763</t>
  </si>
  <si>
    <t>591-96-7940</t>
  </si>
  <si>
    <t>066-54-2135</t>
  </si>
  <si>
    <t>053-56-8145</t>
  </si>
  <si>
    <t>111-58-7232</t>
  </si>
  <si>
    <t>105-46-5348</t>
  </si>
  <si>
    <t>594-18-4400</t>
  </si>
  <si>
    <t>105-34-4504</t>
  </si>
  <si>
    <t>583-92-5625</t>
  </si>
  <si>
    <t>077-66-5738</t>
  </si>
  <si>
    <t>102-60-2369</t>
  </si>
  <si>
    <t>210-50-8770</t>
  </si>
  <si>
    <t>132-66-8321</t>
  </si>
  <si>
    <t>133-46-0562</t>
  </si>
  <si>
    <t>063-46-2692</t>
  </si>
  <si>
    <t>092-86-5091</t>
  </si>
  <si>
    <t>081-72-2249</t>
  </si>
  <si>
    <t>050-60-8335</t>
  </si>
  <si>
    <t>090-44-9186</t>
  </si>
  <si>
    <t>143-72-7555</t>
  </si>
  <si>
    <t>072-02-1516</t>
  </si>
  <si>
    <t>074-72-3977</t>
  </si>
  <si>
    <t>075-82-3581</t>
  </si>
  <si>
    <t>103-54-5892</t>
  </si>
  <si>
    <t>124-64-0335</t>
  </si>
  <si>
    <t>058-44-7384</t>
  </si>
  <si>
    <t>113-64-6787</t>
  </si>
  <si>
    <t>125-50-6024</t>
  </si>
  <si>
    <t>474-35-5511</t>
  </si>
  <si>
    <t>131-66-9899</t>
  </si>
  <si>
    <t>126-44-8960</t>
  </si>
  <si>
    <t>073-48-4291</t>
  </si>
  <si>
    <t>095-60-0905</t>
  </si>
  <si>
    <t>124-44-3043</t>
  </si>
  <si>
    <t>590-28-0017</t>
  </si>
  <si>
    <t>124-56-2820</t>
  </si>
  <si>
    <t>097-56-5252</t>
  </si>
  <si>
    <t>068-68-3101</t>
  </si>
  <si>
    <t>085-74-3411</t>
  </si>
  <si>
    <t>051-62-8145</t>
  </si>
  <si>
    <t>230-66-6430</t>
  </si>
  <si>
    <t>112-74-2735</t>
  </si>
  <si>
    <t>577-23-0000</t>
  </si>
  <si>
    <t>081-46-9889</t>
  </si>
  <si>
    <t>083-84-5465</t>
  </si>
  <si>
    <t>424-46-2779</t>
  </si>
  <si>
    <t>084-62-0287</t>
  </si>
  <si>
    <t>059-42-2516</t>
  </si>
  <si>
    <t>048-44-4133</t>
  </si>
  <si>
    <t>122-94-1471</t>
  </si>
  <si>
    <t>117-62-8978</t>
  </si>
  <si>
    <t>103-56-7848</t>
  </si>
  <si>
    <t>065-36-0184</t>
  </si>
  <si>
    <t>081-60-5318</t>
  </si>
  <si>
    <t>671-26-9276</t>
  </si>
  <si>
    <t>589-78-4142</t>
  </si>
  <si>
    <t>078-88-1400</t>
  </si>
  <si>
    <t>091-92-1836</t>
  </si>
  <si>
    <t>087-88-2580</t>
  </si>
  <si>
    <t>123-56-7254</t>
  </si>
  <si>
    <t>074-40-9311</t>
  </si>
  <si>
    <t>123-74-6434</t>
  </si>
  <si>
    <t>084-46-8397</t>
  </si>
  <si>
    <t>125-16-9458</t>
  </si>
  <si>
    <t>249-44-7872</t>
  </si>
  <si>
    <t>130-56-4073</t>
  </si>
  <si>
    <t>143-54-3768</t>
  </si>
  <si>
    <t>064-90-4283</t>
  </si>
  <si>
    <t>342-58-7772</t>
  </si>
  <si>
    <t>071-62-6669</t>
  </si>
  <si>
    <t>116-88-5952</t>
  </si>
  <si>
    <t>095-58-0275</t>
  </si>
  <si>
    <t>077-42-0308</t>
  </si>
  <si>
    <t>111-66-2441</t>
  </si>
  <si>
    <t>582-71-0233</t>
  </si>
  <si>
    <t>078-58-0424</t>
  </si>
  <si>
    <t>096-72-7825</t>
  </si>
  <si>
    <t>584-27-7966</t>
  </si>
  <si>
    <t>092-76-8081</t>
  </si>
  <si>
    <t>121-68-7716</t>
  </si>
  <si>
    <t>223-56-2337</t>
  </si>
  <si>
    <t>102-90-3126</t>
  </si>
  <si>
    <t>582-29-4623</t>
  </si>
  <si>
    <t>589-72-5937</t>
  </si>
  <si>
    <t>103-74-3186</t>
  </si>
  <si>
    <t>119-78-5707</t>
  </si>
  <si>
    <t>449-91-5721</t>
  </si>
  <si>
    <t>095-84-6257</t>
  </si>
  <si>
    <t>596-36-2049</t>
  </si>
  <si>
    <t>107-86-5801</t>
  </si>
  <si>
    <t>071-78-0702</t>
  </si>
  <si>
    <t>107-84-6855</t>
  </si>
  <si>
    <t>103-72-7948</t>
  </si>
  <si>
    <t>075-44-2833</t>
  </si>
  <si>
    <t>732-09-7726</t>
  </si>
  <si>
    <t>581-25-2327</t>
  </si>
  <si>
    <t>000-00-0767</t>
  </si>
  <si>
    <t>125-58-2970</t>
  </si>
  <si>
    <t>087-36-5105</t>
  </si>
  <si>
    <t>117-90-8100</t>
  </si>
  <si>
    <t>118-96-8996</t>
  </si>
  <si>
    <t>108-66-3887</t>
  </si>
  <si>
    <t>124-66-8895</t>
  </si>
  <si>
    <t>115-52-9512</t>
  </si>
  <si>
    <t>310-40-7635</t>
  </si>
  <si>
    <t>119-48-1492</t>
  </si>
  <si>
    <t>100-84-7542</t>
  </si>
  <si>
    <t>062-44-2816</t>
  </si>
  <si>
    <t>104-80-6015</t>
  </si>
  <si>
    <t>068-64-6086</t>
  </si>
  <si>
    <t>000-00-9700</t>
  </si>
  <si>
    <t>583-13-9014</t>
  </si>
  <si>
    <t>130-40-8059</t>
  </si>
  <si>
    <t>089-80-9890</t>
  </si>
  <si>
    <t>066-64-7527</t>
  </si>
  <si>
    <t>156-72-1990</t>
  </si>
  <si>
    <t>131-40-1636</t>
  </si>
  <si>
    <t>064-32-8222</t>
  </si>
  <si>
    <t>154-80-2575</t>
  </si>
  <si>
    <t>100-46-9122</t>
  </si>
  <si>
    <t>059-58-8753</t>
  </si>
  <si>
    <t>120-84-2900</t>
  </si>
  <si>
    <t>271-90-2149</t>
  </si>
  <si>
    <t>010-76-2629</t>
  </si>
  <si>
    <t>125-50-5098</t>
  </si>
  <si>
    <t>363-11-2780</t>
  </si>
  <si>
    <t>373-94-2514</t>
  </si>
  <si>
    <t>094-74-7678</t>
  </si>
  <si>
    <t>119-78-8218</t>
  </si>
  <si>
    <t>101-82-7699</t>
  </si>
  <si>
    <t>118-94-9395</t>
  </si>
  <si>
    <t>066-96-4590</t>
  </si>
  <si>
    <t>591-01-4055</t>
  </si>
  <si>
    <t>238-35-3509</t>
  </si>
  <si>
    <t>063-34-8571</t>
  </si>
  <si>
    <t>076-82-6777</t>
  </si>
  <si>
    <t>116-90-7308</t>
  </si>
  <si>
    <t>428-66-0813</t>
  </si>
  <si>
    <t>116-56-4454</t>
  </si>
  <si>
    <t>070-44-3573</t>
  </si>
  <si>
    <t>000-00-0248</t>
  </si>
  <si>
    <t>057-66-1060</t>
  </si>
  <si>
    <t>741-83-4329</t>
  </si>
  <si>
    <t>076-82-3361</t>
  </si>
  <si>
    <t>048-90-8742</t>
  </si>
  <si>
    <t>076-68-4649</t>
  </si>
  <si>
    <t>219-68-5532</t>
  </si>
  <si>
    <t>636-56-7451</t>
  </si>
  <si>
    <t>118-82-4229</t>
  </si>
  <si>
    <t>096-60-7761</t>
  </si>
  <si>
    <t>523-33-7639</t>
  </si>
  <si>
    <t>051-60-1500</t>
  </si>
  <si>
    <t>061-44-1601</t>
  </si>
  <si>
    <t>071-60-3379</t>
  </si>
  <si>
    <t>104-52-1182</t>
  </si>
  <si>
    <t>056-50-4503</t>
  </si>
  <si>
    <t>114-36-5574</t>
  </si>
  <si>
    <t>000-00-9709</t>
  </si>
  <si>
    <t>097-54-1271</t>
  </si>
  <si>
    <t>053-56-3098</t>
  </si>
  <si>
    <t>088-36-7616</t>
  </si>
  <si>
    <t>101-50-5485</t>
  </si>
  <si>
    <t>057-54-9162</t>
  </si>
  <si>
    <t>070-42-3358</t>
  </si>
  <si>
    <t>115-44-9167</t>
  </si>
  <si>
    <t>138-11-3732</t>
  </si>
  <si>
    <t>599-40-8062</t>
  </si>
  <si>
    <t>368-98-8464</t>
  </si>
  <si>
    <t>058-46-8134</t>
  </si>
  <si>
    <t>256-76-5626</t>
  </si>
  <si>
    <t>095-56-2187</t>
  </si>
  <si>
    <t>058-62-1182</t>
  </si>
  <si>
    <t>053-68-4528</t>
  </si>
  <si>
    <t>071-50-6394</t>
  </si>
  <si>
    <t>062-74-4360</t>
  </si>
  <si>
    <t>060-72-0594</t>
  </si>
  <si>
    <t>000-00-2054</t>
  </si>
  <si>
    <t>096-62-2838</t>
  </si>
  <si>
    <t>099-44-7840</t>
  </si>
  <si>
    <t>085-50-4856</t>
  </si>
  <si>
    <t>067-64-4095</t>
  </si>
  <si>
    <t>793-49-1518</t>
  </si>
  <si>
    <t>003-02-5917</t>
  </si>
  <si>
    <t>088-58-0738</t>
  </si>
  <si>
    <t>117-64-2014</t>
  </si>
  <si>
    <t>085-58-7767</t>
  </si>
  <si>
    <t>057-60-1927</t>
  </si>
  <si>
    <t>074-82-6407</t>
  </si>
  <si>
    <t>106-50-0810</t>
  </si>
  <si>
    <t>106-88-3860</t>
  </si>
  <si>
    <t>064-90-2899</t>
  </si>
  <si>
    <t>117-32-6812</t>
  </si>
  <si>
    <t>109-58-6965</t>
  </si>
  <si>
    <t>121-52-2414</t>
  </si>
  <si>
    <t>099-48-2014</t>
  </si>
  <si>
    <t>108-52-1632</t>
  </si>
  <si>
    <t>062-58-7744</t>
  </si>
  <si>
    <t>000-00-7047</t>
  </si>
  <si>
    <t>130-36-7286</t>
  </si>
  <si>
    <t>187-70-7024</t>
  </si>
  <si>
    <t>094-02-9016</t>
  </si>
  <si>
    <t>456-41-1535</t>
  </si>
  <si>
    <t>096-46-7293</t>
  </si>
  <si>
    <t>130-56-4357</t>
  </si>
  <si>
    <t>579-70-9442</t>
  </si>
  <si>
    <t>099-56-8753</t>
  </si>
  <si>
    <t>125-82-8188</t>
  </si>
  <si>
    <t>109-48-2727</t>
  </si>
  <si>
    <t>098-54-7485</t>
  </si>
  <si>
    <t>122-64-8572</t>
  </si>
  <si>
    <t>584-08-0937</t>
  </si>
  <si>
    <t>121-70-1541</t>
  </si>
  <si>
    <t>120-44-2173</t>
  </si>
  <si>
    <t>052-76-2053</t>
  </si>
  <si>
    <t>092-80-9749</t>
  </si>
  <si>
    <t>093-58-1830</t>
  </si>
  <si>
    <t>064-58-7548</t>
  </si>
  <si>
    <t>000-00-7216</t>
  </si>
  <si>
    <t>596-20-7994</t>
  </si>
  <si>
    <t>073-90-7325</t>
  </si>
  <si>
    <t>079-56-1494</t>
  </si>
  <si>
    <t>123-06-3023</t>
  </si>
  <si>
    <t>068-48-5106</t>
  </si>
  <si>
    <t>078-78-2959</t>
  </si>
  <si>
    <t>098-62-1689</t>
  </si>
  <si>
    <t>000-00-1232</t>
  </si>
  <si>
    <t>121-52-0249</t>
  </si>
  <si>
    <t>107-68-7200</t>
  </si>
  <si>
    <t>123-98-7026</t>
  </si>
  <si>
    <t>005-46-5348</t>
  </si>
  <si>
    <t>114-96-7551</t>
  </si>
  <si>
    <t>124-60-7397</t>
  </si>
  <si>
    <t>589-65-0785</t>
  </si>
  <si>
    <t>096-36-3603</t>
  </si>
  <si>
    <t>124-44-8738</t>
  </si>
  <si>
    <t>117-82-1022</t>
  </si>
  <si>
    <t>077-42-9182</t>
  </si>
  <si>
    <t>000-00-3424</t>
  </si>
  <si>
    <t>094-56-3931</t>
  </si>
  <si>
    <t>060-58-2383</t>
  </si>
  <si>
    <t>000-00-5461</t>
  </si>
  <si>
    <t>078-86-8539</t>
  </si>
  <si>
    <t>073-64-9027</t>
  </si>
  <si>
    <t>062-66-9344</t>
  </si>
  <si>
    <t>053-54-4972</t>
  </si>
  <si>
    <t>033-44-5749</t>
  </si>
  <si>
    <t>071-48-5938</t>
  </si>
  <si>
    <t>059-76-9991</t>
  </si>
  <si>
    <t>000-00-6535</t>
  </si>
  <si>
    <t>092-82-5643</t>
  </si>
  <si>
    <t>083-64-2992</t>
  </si>
  <si>
    <t>101-58-4550</t>
  </si>
  <si>
    <t>134-62-2040</t>
  </si>
  <si>
    <t>163-56-3209</t>
  </si>
  <si>
    <t>132-56-6630</t>
  </si>
  <si>
    <t>730-03-4537</t>
  </si>
  <si>
    <t>107-76-3295</t>
  </si>
  <si>
    <t>114-72-1299</t>
  </si>
  <si>
    <t>057-60-0938</t>
  </si>
  <si>
    <t>134-60-9865</t>
  </si>
  <si>
    <t>000-00-4906</t>
  </si>
  <si>
    <t>105-38-3489</t>
  </si>
  <si>
    <t>053-70-8730</t>
  </si>
  <si>
    <t>000-00-5753</t>
  </si>
  <si>
    <t>074-56-4689</t>
  </si>
  <si>
    <t>125-64-7009</t>
  </si>
  <si>
    <t>057-88-6806</t>
  </si>
  <si>
    <t>073-62-7777</t>
  </si>
  <si>
    <t>057-72-1134</t>
  </si>
  <si>
    <t>077-88-4499</t>
  </si>
  <si>
    <t>061-60-1847</t>
  </si>
  <si>
    <t>065-74-7550</t>
  </si>
  <si>
    <t>052-02-4827</t>
  </si>
  <si>
    <t>089-70-5408</t>
  </si>
  <si>
    <t>132-54-6263</t>
  </si>
  <si>
    <t>052-46-3502</t>
  </si>
  <si>
    <t>057-78-3888</t>
  </si>
  <si>
    <t>072-38-6069</t>
  </si>
  <si>
    <t>060-86-7628</t>
  </si>
  <si>
    <t>120-58-2859</t>
  </si>
  <si>
    <t>126-46-0087</t>
  </si>
  <si>
    <t>055-30-5133</t>
  </si>
  <si>
    <t>055-42-4435</t>
  </si>
  <si>
    <t>055-76-8328</t>
  </si>
  <si>
    <t>282-60-1288</t>
  </si>
  <si>
    <t>048-08-6305</t>
  </si>
  <si>
    <t>070-56-8409</t>
  </si>
  <si>
    <t>098-50-1334</t>
  </si>
  <si>
    <t>071-74-3304</t>
  </si>
  <si>
    <t>668-12-5599</t>
  </si>
  <si>
    <t>057-60-6611</t>
  </si>
  <si>
    <t>071-58-4079</t>
  </si>
  <si>
    <t>597-46-8372</t>
  </si>
  <si>
    <t>583-31-5312</t>
  </si>
  <si>
    <t>058-50-2701</t>
  </si>
  <si>
    <t>065-54-8231</t>
  </si>
  <si>
    <t>108-68-1905</t>
  </si>
  <si>
    <t>131-84-1228</t>
  </si>
  <si>
    <t>101-52-2396</t>
  </si>
  <si>
    <t>086-98-4849</t>
  </si>
  <si>
    <t>116-56-5909</t>
  </si>
  <si>
    <t>106-56-4933</t>
  </si>
  <si>
    <t>849-02-4803</t>
  </si>
  <si>
    <t>094-78-5714</t>
  </si>
  <si>
    <t>110-62-9080</t>
  </si>
  <si>
    <t>067-86-0285</t>
  </si>
  <si>
    <t>102-96-2766</t>
  </si>
  <si>
    <t>091-84-5931</t>
  </si>
  <si>
    <t>077-96-3407</t>
  </si>
  <si>
    <t>126-72-5418</t>
  </si>
  <si>
    <t>051-62-2602</t>
  </si>
  <si>
    <t>107-96-9097</t>
  </si>
  <si>
    <t>999-99-9999</t>
  </si>
  <si>
    <t>078-54-7000</t>
  </si>
  <si>
    <t>065-72-4767</t>
  </si>
  <si>
    <t>054-76-5419</t>
  </si>
  <si>
    <t>204-25-2738</t>
  </si>
  <si>
    <t>062-80-6110</t>
  </si>
  <si>
    <t>127-60-0446</t>
  </si>
  <si>
    <t>596-59-2973</t>
  </si>
  <si>
    <t>077-96-6976</t>
  </si>
  <si>
    <t>104-86-6145</t>
  </si>
  <si>
    <t>092-80-5892</t>
  </si>
  <si>
    <t>771-14-6160</t>
  </si>
  <si>
    <t>102-66-2303</t>
  </si>
  <si>
    <t>080-70-7528</t>
  </si>
  <si>
    <t>093-98-8840</t>
  </si>
  <si>
    <t>108-62-6552</t>
  </si>
  <si>
    <t>054-66-6784</t>
  </si>
  <si>
    <t>052-98-7684</t>
  </si>
  <si>
    <t>120-72-3026</t>
  </si>
  <si>
    <t>109-80-8799</t>
  </si>
  <si>
    <t>125-64-4584</t>
  </si>
  <si>
    <t>6004868732145134295</t>
  </si>
  <si>
    <t>00004014576F</t>
  </si>
  <si>
    <t>00004876535I</t>
  </si>
  <si>
    <t>00006823G</t>
  </si>
  <si>
    <t>00009085227I</t>
  </si>
  <si>
    <t>00009748241I</t>
  </si>
  <si>
    <t>00012967888E</t>
  </si>
  <si>
    <t>00016600288B</t>
  </si>
  <si>
    <t>00018409848B</t>
  </si>
  <si>
    <t>000339447F</t>
  </si>
  <si>
    <t>00036987622I</t>
  </si>
  <si>
    <t>00037100008E</t>
  </si>
  <si>
    <t>00037201694J</t>
  </si>
  <si>
    <t>00037372338G</t>
  </si>
  <si>
    <t>00037408902H</t>
  </si>
  <si>
    <t>00037502203F</t>
  </si>
  <si>
    <t>00037540753D</t>
  </si>
  <si>
    <t>000438475G</t>
  </si>
  <si>
    <t>000448531E</t>
  </si>
  <si>
    <t>0007557622D</t>
  </si>
  <si>
    <t>0009839321-01-04</t>
  </si>
  <si>
    <t>001143873G</t>
  </si>
  <si>
    <t>001310701G</t>
  </si>
  <si>
    <t>001402768E</t>
  </si>
  <si>
    <t>001533387F</t>
  </si>
  <si>
    <t>001638054F</t>
  </si>
  <si>
    <t>002159246E</t>
  </si>
  <si>
    <t>002494642I</t>
  </si>
  <si>
    <t>002558631E</t>
  </si>
  <si>
    <t>002774009B</t>
  </si>
  <si>
    <t>003138885D</t>
  </si>
  <si>
    <t>0033576258-01</t>
  </si>
  <si>
    <t>003608543J</t>
  </si>
  <si>
    <t>0036982304-01-02</t>
  </si>
  <si>
    <t>0037401752D</t>
  </si>
  <si>
    <t>003761746B</t>
  </si>
  <si>
    <t>003868587B</t>
  </si>
  <si>
    <t>004054136J</t>
  </si>
  <si>
    <t>004121711I</t>
  </si>
  <si>
    <t>004629355B</t>
  </si>
  <si>
    <t>004935838F</t>
  </si>
  <si>
    <t>004949261E</t>
  </si>
  <si>
    <t>005098432H</t>
  </si>
  <si>
    <t>00518766B</t>
  </si>
  <si>
    <t>005345600A</t>
  </si>
  <si>
    <t>005364197D</t>
  </si>
  <si>
    <t>005439185J</t>
  </si>
  <si>
    <t>005591562D</t>
  </si>
  <si>
    <t>005611470F</t>
  </si>
  <si>
    <t>005668458C</t>
  </si>
  <si>
    <t>006148062A</t>
  </si>
  <si>
    <t>006360214I</t>
  </si>
  <si>
    <t>006367239I</t>
  </si>
  <si>
    <t>006548550A</t>
  </si>
  <si>
    <t>006583847G</t>
  </si>
  <si>
    <t>006601754C</t>
  </si>
  <si>
    <t>006652357C</t>
  </si>
  <si>
    <t>006680410F</t>
  </si>
  <si>
    <t>006694699H</t>
  </si>
  <si>
    <t>006734597F</t>
  </si>
  <si>
    <t>006885886J</t>
  </si>
  <si>
    <t>006947452G</t>
  </si>
  <si>
    <t>006965303I</t>
  </si>
  <si>
    <t>0069996297F</t>
  </si>
  <si>
    <t>007014649D</t>
  </si>
  <si>
    <t>007028304J</t>
  </si>
  <si>
    <t>007172896I</t>
  </si>
  <si>
    <t>007187393J</t>
  </si>
  <si>
    <t>007198027A</t>
  </si>
  <si>
    <t>007257771B</t>
  </si>
  <si>
    <t>007260213J</t>
  </si>
  <si>
    <t>007347101D</t>
  </si>
  <si>
    <t>007358873D</t>
  </si>
  <si>
    <t>007390332A</t>
  </si>
  <si>
    <t>007760958E</t>
  </si>
  <si>
    <t>008003294J</t>
  </si>
  <si>
    <t>008107165G</t>
  </si>
  <si>
    <t>008136942D</t>
  </si>
  <si>
    <t>008322266B</t>
  </si>
  <si>
    <t>008522134J</t>
  </si>
  <si>
    <t>008586546 H</t>
  </si>
  <si>
    <t>008626902E</t>
  </si>
  <si>
    <t>008743010E</t>
  </si>
  <si>
    <t>008770915A</t>
  </si>
  <si>
    <t>008808843A</t>
  </si>
  <si>
    <t>008876568A</t>
  </si>
  <si>
    <t>008895026G</t>
  </si>
  <si>
    <t>008906280G</t>
  </si>
  <si>
    <t>009019022E</t>
  </si>
  <si>
    <t>009111529F</t>
  </si>
  <si>
    <t>009145052I</t>
  </si>
  <si>
    <t>009198736C</t>
  </si>
  <si>
    <t>009349917G</t>
  </si>
  <si>
    <t>009351154B</t>
  </si>
  <si>
    <t>009745137B</t>
  </si>
  <si>
    <t>009788684A</t>
  </si>
  <si>
    <t>009798803E</t>
  </si>
  <si>
    <t>009800633B</t>
  </si>
  <si>
    <t>009943907H</t>
  </si>
  <si>
    <t>010164383B</t>
  </si>
  <si>
    <t>010445444C</t>
  </si>
  <si>
    <t>010636591J</t>
  </si>
  <si>
    <t>010799339G</t>
  </si>
  <si>
    <t>010980725F</t>
  </si>
  <si>
    <t>011082964F</t>
  </si>
  <si>
    <t>011092937J</t>
  </si>
  <si>
    <t>011127666D</t>
  </si>
  <si>
    <t>011238184D</t>
  </si>
  <si>
    <t>011375659H</t>
  </si>
  <si>
    <t>011375986E</t>
  </si>
  <si>
    <t>011505951B</t>
  </si>
  <si>
    <t>011832700G</t>
  </si>
  <si>
    <t>012355234B</t>
  </si>
  <si>
    <t>012538853 I</t>
  </si>
  <si>
    <t>012603547G</t>
  </si>
  <si>
    <t>012703662C</t>
  </si>
  <si>
    <t>012712226F</t>
  </si>
  <si>
    <t>01310530I</t>
  </si>
  <si>
    <t>013941130J</t>
  </si>
  <si>
    <t>014134163G</t>
  </si>
  <si>
    <t>014498931G</t>
  </si>
  <si>
    <t>014772310A</t>
  </si>
  <si>
    <t>014934740D</t>
  </si>
  <si>
    <t>015044201A</t>
  </si>
  <si>
    <t>015282490A</t>
  </si>
  <si>
    <t>015365085I</t>
  </si>
  <si>
    <t>015365722G</t>
  </si>
  <si>
    <t>015680685D</t>
  </si>
  <si>
    <t>015810620D</t>
  </si>
  <si>
    <t>015941913E</t>
  </si>
  <si>
    <t>016141953G</t>
  </si>
  <si>
    <t>016292499H</t>
  </si>
  <si>
    <t>016876603I</t>
  </si>
  <si>
    <t>0172145537H</t>
  </si>
  <si>
    <t>017222863H</t>
  </si>
  <si>
    <t>017750074B</t>
  </si>
  <si>
    <t>017829404H</t>
  </si>
  <si>
    <t>017831897I</t>
  </si>
  <si>
    <t>017876945B</t>
  </si>
  <si>
    <t>017947952C</t>
  </si>
  <si>
    <t>017987191I</t>
  </si>
  <si>
    <t>018034257I</t>
  </si>
  <si>
    <t>018137653E</t>
  </si>
  <si>
    <t>018155124D</t>
  </si>
  <si>
    <t>018185585J</t>
  </si>
  <si>
    <t>018228943J</t>
  </si>
  <si>
    <t>018266737I</t>
  </si>
  <si>
    <t>018289552E</t>
  </si>
  <si>
    <t>018293966A</t>
  </si>
  <si>
    <t>018322875I</t>
  </si>
  <si>
    <t>018339342A</t>
  </si>
  <si>
    <t>018364964J</t>
  </si>
  <si>
    <t>018373784A</t>
  </si>
  <si>
    <t>018420543D</t>
  </si>
  <si>
    <t>018423603C</t>
  </si>
  <si>
    <t>018429550J</t>
  </si>
  <si>
    <t>018459516D</t>
  </si>
  <si>
    <t>018467060C</t>
  </si>
  <si>
    <t>018489081C</t>
  </si>
  <si>
    <t>018507187F</t>
  </si>
  <si>
    <t>018625994B</t>
  </si>
  <si>
    <t>030060214B</t>
  </si>
  <si>
    <t>030643052B</t>
  </si>
  <si>
    <t>030938153B</t>
  </si>
  <si>
    <t>03204240A</t>
  </si>
  <si>
    <t>033170066H</t>
  </si>
  <si>
    <t>033173366H</t>
  </si>
  <si>
    <t>033204723C</t>
  </si>
  <si>
    <t>03352956J</t>
  </si>
  <si>
    <t>033684292H</t>
  </si>
  <si>
    <t>033688014B</t>
  </si>
  <si>
    <t>033842670D</t>
  </si>
  <si>
    <t>034344425D</t>
  </si>
  <si>
    <t>034939178J</t>
  </si>
  <si>
    <t>035464183J</t>
  </si>
  <si>
    <t>035845196B</t>
  </si>
  <si>
    <t>035846331D</t>
  </si>
  <si>
    <t>035925185H</t>
  </si>
  <si>
    <t>036190284E</t>
  </si>
  <si>
    <t>036515000C</t>
  </si>
  <si>
    <t>036668969D</t>
  </si>
  <si>
    <t>036759660 I</t>
  </si>
  <si>
    <t>036917143E</t>
  </si>
  <si>
    <t>036938736A</t>
  </si>
  <si>
    <t>037143619H</t>
  </si>
  <si>
    <t>037193843E</t>
  </si>
  <si>
    <t>037197484B</t>
  </si>
  <si>
    <t>037210701B</t>
  </si>
  <si>
    <t>037219705D</t>
  </si>
  <si>
    <t>037240502H</t>
  </si>
  <si>
    <t>037247274G</t>
  </si>
  <si>
    <t>037271984J</t>
  </si>
  <si>
    <t>037277809C</t>
  </si>
  <si>
    <t>037279745G</t>
  </si>
  <si>
    <t>037308386E</t>
  </si>
  <si>
    <t>037317791E</t>
  </si>
  <si>
    <t>037364602F</t>
  </si>
  <si>
    <t>037374579D</t>
  </si>
  <si>
    <t>03737457D</t>
  </si>
  <si>
    <t>037401001F</t>
  </si>
  <si>
    <t>037405777G</t>
  </si>
  <si>
    <t>0374509A</t>
  </si>
  <si>
    <t>037469377I</t>
  </si>
  <si>
    <t>037482686F</t>
  </si>
  <si>
    <t>037513812A</t>
  </si>
  <si>
    <t>037528108G</t>
  </si>
  <si>
    <t>037535482G</t>
  </si>
  <si>
    <t>037561033E</t>
  </si>
  <si>
    <t>037644146F</t>
  </si>
  <si>
    <t>037774880B</t>
  </si>
  <si>
    <t>037935024c</t>
  </si>
  <si>
    <t>03877034D</t>
  </si>
  <si>
    <t>04191730D</t>
  </si>
  <si>
    <t>05955225H</t>
  </si>
  <si>
    <t>077801569J</t>
  </si>
  <si>
    <t>081214202G</t>
  </si>
  <si>
    <t>0837516E</t>
  </si>
  <si>
    <t>08725926D</t>
  </si>
  <si>
    <t>08952769B</t>
  </si>
  <si>
    <t>090362652B</t>
  </si>
  <si>
    <t>09493250G</t>
  </si>
  <si>
    <t>09841443G</t>
  </si>
  <si>
    <t>10934456E</t>
  </si>
  <si>
    <t>12146850-I</t>
  </si>
  <si>
    <t>1225786-1</t>
  </si>
  <si>
    <t>12480289D</t>
  </si>
  <si>
    <t>14373073 H</t>
  </si>
  <si>
    <t>16577857A</t>
  </si>
  <si>
    <t>17711859-D</t>
  </si>
  <si>
    <t>17891001E</t>
  </si>
  <si>
    <t>18089865C</t>
  </si>
  <si>
    <t>18138059D</t>
  </si>
  <si>
    <t>18313267J</t>
  </si>
  <si>
    <t>18330874-B</t>
  </si>
  <si>
    <t>18421359D</t>
  </si>
  <si>
    <t>18494021B</t>
  </si>
  <si>
    <t>2196694-02</t>
  </si>
  <si>
    <t>30062588G</t>
  </si>
  <si>
    <t>3271908A</t>
  </si>
  <si>
    <t>34209028J</t>
  </si>
  <si>
    <t>36930653F</t>
  </si>
  <si>
    <t>36937971-E</t>
  </si>
  <si>
    <t>37282189C</t>
  </si>
  <si>
    <t>3730492D</t>
  </si>
  <si>
    <t>37447234I</t>
  </si>
  <si>
    <t>37941477E</t>
  </si>
  <si>
    <t>4034579F</t>
  </si>
  <si>
    <t>4442446-1</t>
  </si>
  <si>
    <t>4487848G</t>
  </si>
  <si>
    <t>5187747A</t>
  </si>
  <si>
    <t>56794C1</t>
  </si>
  <si>
    <t>6058962J</t>
  </si>
  <si>
    <t>62770098H</t>
  </si>
  <si>
    <t>6959187D</t>
  </si>
  <si>
    <t>7010534B</t>
  </si>
  <si>
    <t>7139339B</t>
  </si>
  <si>
    <t>7179895-D</t>
  </si>
  <si>
    <t>7451476B</t>
  </si>
  <si>
    <t>8095488G</t>
  </si>
  <si>
    <t>8095559E</t>
  </si>
  <si>
    <t>837516E</t>
  </si>
  <si>
    <t>91248162C</t>
  </si>
  <si>
    <t>9382275H</t>
  </si>
  <si>
    <t>9592685D</t>
  </si>
  <si>
    <t>KR92433N</t>
  </si>
  <si>
    <t>MU39601B</t>
  </si>
  <si>
    <t>PR23469F</t>
  </si>
  <si>
    <t>RX32372B</t>
  </si>
  <si>
    <t>100-74-6024</t>
  </si>
  <si>
    <t>111-46-5044</t>
  </si>
  <si>
    <t>125-66-9555</t>
  </si>
  <si>
    <t>065-58-4797</t>
  </si>
  <si>
    <t>117-64-7816</t>
  </si>
  <si>
    <t>111-90-0247</t>
  </si>
  <si>
    <t>096-70-8922</t>
  </si>
  <si>
    <t>098-58-1834</t>
  </si>
  <si>
    <t>080-84-2015</t>
  </si>
  <si>
    <t>562-89-4337</t>
  </si>
  <si>
    <t>132-68-8334</t>
  </si>
  <si>
    <t>098-84-2564</t>
  </si>
  <si>
    <t>106-66-8618</t>
  </si>
  <si>
    <t>078-97-3803</t>
  </si>
  <si>
    <t>129-58-2135</t>
  </si>
  <si>
    <t>094-66-3109</t>
  </si>
  <si>
    <t>584-94-1066</t>
  </si>
  <si>
    <t>059-80-8469</t>
  </si>
  <si>
    <t>053-94-7379</t>
  </si>
  <si>
    <t>101-86-5551</t>
  </si>
  <si>
    <t>123-90-7150</t>
  </si>
  <si>
    <t>058-98-8459</t>
  </si>
  <si>
    <t>073-86-8315</t>
  </si>
  <si>
    <t>120-54-2166</t>
  </si>
  <si>
    <t>103-70-6183</t>
  </si>
  <si>
    <t>609-90-1665</t>
  </si>
  <si>
    <t>121-60-0964</t>
  </si>
  <si>
    <t>057-78-8391</t>
  </si>
  <si>
    <t>089-78-0626</t>
  </si>
  <si>
    <t>054-68-0767</t>
  </si>
  <si>
    <t>104-72-0097</t>
  </si>
  <si>
    <t>102-64-7663</t>
  </si>
  <si>
    <t>109-86-2247</t>
  </si>
  <si>
    <t>523-25-1350</t>
  </si>
  <si>
    <t>155-04-3679</t>
  </si>
  <si>
    <t>057-74-4943</t>
  </si>
  <si>
    <t>088-48-0229</t>
  </si>
  <si>
    <t>093-76-7413</t>
  </si>
  <si>
    <t>058-60-7220</t>
  </si>
  <si>
    <t>765-31-8748</t>
  </si>
  <si>
    <t>101-74-0225</t>
  </si>
  <si>
    <t>102-52-2798</t>
  </si>
  <si>
    <t>102-66-9527</t>
  </si>
  <si>
    <t>133-90-8703</t>
  </si>
  <si>
    <t>119-76-9003</t>
  </si>
  <si>
    <t>087-68-1354</t>
  </si>
  <si>
    <t>109-66-8773</t>
  </si>
  <si>
    <t>122-92-9571</t>
  </si>
  <si>
    <t>053-80-5989</t>
  </si>
  <si>
    <t>602-89-3294</t>
  </si>
  <si>
    <t>000-00-0889</t>
  </si>
  <si>
    <t>085-58-1036</t>
  </si>
  <si>
    <t>598-28-2790</t>
  </si>
  <si>
    <t>119-66-4869</t>
  </si>
  <si>
    <t>129-58-2381</t>
  </si>
  <si>
    <t>097-52-9265</t>
  </si>
  <si>
    <t>247-11-5210</t>
  </si>
  <si>
    <t>090-58-0453</t>
  </si>
  <si>
    <t>067-76-7736</t>
  </si>
  <si>
    <t>053-64-8422</t>
  </si>
  <si>
    <t>095-72-8027</t>
  </si>
  <si>
    <t>057-86-3392</t>
  </si>
  <si>
    <t>103-74-1088</t>
  </si>
  <si>
    <t>066-50-7724</t>
  </si>
  <si>
    <t>729-14-8437</t>
  </si>
  <si>
    <t>596-03-7844</t>
  </si>
  <si>
    <t>596-28-4158</t>
  </si>
  <si>
    <t>077-54-6495</t>
  </si>
  <si>
    <t>107-60-8680</t>
  </si>
  <si>
    <t>094-68-6221</t>
  </si>
  <si>
    <t>116-68-5913</t>
  </si>
  <si>
    <t>599-42-2857</t>
  </si>
  <si>
    <t>062-62-7342</t>
  </si>
  <si>
    <t>062-76-6993</t>
  </si>
  <si>
    <t>052-68-4361</t>
  </si>
  <si>
    <t>084-72-3588</t>
  </si>
  <si>
    <t>141-06-4878</t>
  </si>
  <si>
    <t>067-82-5544</t>
  </si>
  <si>
    <t>086-66-8364</t>
  </si>
  <si>
    <t>089-78-8620</t>
  </si>
  <si>
    <t>066-64-0517</t>
  </si>
  <si>
    <t>113-56-0451</t>
  </si>
  <si>
    <t>108-76-3554</t>
  </si>
  <si>
    <t>596-32-1295</t>
  </si>
  <si>
    <t>120-56-0808</t>
  </si>
  <si>
    <t>101-02-7535</t>
  </si>
  <si>
    <t>083-86-3645</t>
  </si>
  <si>
    <t>067-66-8277</t>
  </si>
  <si>
    <t>056-96-3413</t>
  </si>
  <si>
    <t>066-72-4178</t>
  </si>
  <si>
    <t>092-68-7608</t>
  </si>
  <si>
    <t>115-62-0958</t>
  </si>
  <si>
    <t>133-86-7385</t>
  </si>
  <si>
    <t>080-78-5517</t>
  </si>
  <si>
    <t>067-68-4903</t>
  </si>
  <si>
    <t>075-76-5147</t>
  </si>
  <si>
    <t>069-58-9275</t>
  </si>
  <si>
    <t>114-70-4705</t>
  </si>
  <si>
    <t>580-06-7295</t>
  </si>
  <si>
    <t>068-64-0750</t>
  </si>
  <si>
    <t>102-68-0894</t>
  </si>
  <si>
    <t>084-84-9559</t>
  </si>
  <si>
    <t>127-74-3762</t>
  </si>
  <si>
    <t>240-88-5081</t>
  </si>
  <si>
    <t>351-66-8317</t>
  </si>
  <si>
    <t>055-62-0679</t>
  </si>
  <si>
    <t>121-76-1885</t>
  </si>
  <si>
    <t>071-72-1403</t>
  </si>
  <si>
    <t>088-76-4628</t>
  </si>
  <si>
    <t>115-76-4451</t>
  </si>
  <si>
    <t>126-66-9842</t>
  </si>
  <si>
    <t>099-98-5316</t>
  </si>
  <si>
    <t>067-66-2793</t>
  </si>
  <si>
    <t>120-62-9149</t>
  </si>
  <si>
    <t>133-98-6450</t>
  </si>
  <si>
    <t>127-64-8951</t>
  </si>
  <si>
    <t>122-74-5303</t>
  </si>
  <si>
    <t>097-64-6235</t>
  </si>
  <si>
    <t>073-64-7390</t>
  </si>
  <si>
    <t>128-74-2314</t>
  </si>
  <si>
    <t>125-64-6163</t>
  </si>
  <si>
    <t>217-84-3641</t>
  </si>
  <si>
    <t>085-98-9063</t>
  </si>
  <si>
    <t>110-64-1450</t>
  </si>
  <si>
    <t>072-92-2020</t>
  </si>
  <si>
    <t>105-78-8644</t>
  </si>
  <si>
    <t>122-62-1904</t>
  </si>
  <si>
    <t>083-98-7783</t>
  </si>
  <si>
    <t>114-68-3712</t>
  </si>
  <si>
    <t>069-46-9237</t>
  </si>
  <si>
    <t>058-82-8103</t>
  </si>
  <si>
    <t>060-98-1525</t>
  </si>
  <si>
    <t>093-72-4292</t>
  </si>
  <si>
    <t>084-70-1820</t>
  </si>
  <si>
    <t>091-94-5296</t>
  </si>
  <si>
    <t>000-00-9117</t>
  </si>
  <si>
    <t>133-98-3438</t>
  </si>
  <si>
    <t>126-70-5471</t>
  </si>
  <si>
    <t>064-78-0788</t>
  </si>
  <si>
    <t>109-90-7130</t>
  </si>
  <si>
    <t>063-60-9597</t>
  </si>
  <si>
    <t>080-68-7289</t>
  </si>
  <si>
    <t>095-68-3275</t>
  </si>
  <si>
    <t>118-54-2329</t>
  </si>
  <si>
    <t>127-66-7633</t>
  </si>
  <si>
    <t>080-84-8792</t>
  </si>
  <si>
    <t>062-86-3183</t>
  </si>
  <si>
    <t>067-62-1665</t>
  </si>
  <si>
    <t>059-78-7449</t>
  </si>
  <si>
    <t>393-75-4977</t>
  </si>
  <si>
    <t>065-78-4122</t>
  </si>
  <si>
    <t>128-86-2508</t>
  </si>
  <si>
    <t>098-62-0317</t>
  </si>
  <si>
    <t>087-58-9441</t>
  </si>
  <si>
    <t>092-88-4650</t>
  </si>
  <si>
    <t>584-75-9061</t>
  </si>
  <si>
    <t>486-80-1423</t>
  </si>
  <si>
    <t>063-58-1725</t>
  </si>
  <si>
    <t>101-98-1443</t>
  </si>
  <si>
    <t>054-58-8420</t>
  </si>
  <si>
    <t>133-68-1739</t>
  </si>
  <si>
    <t>582-95-4425</t>
  </si>
  <si>
    <t>116-62-0301</t>
  </si>
  <si>
    <t>085-64-7147</t>
  </si>
  <si>
    <t>094-58-1320</t>
  </si>
  <si>
    <t>112-64-2523</t>
  </si>
  <si>
    <t>069-66-7566</t>
  </si>
  <si>
    <t>589-92-9383</t>
  </si>
  <si>
    <t>078-72-1568</t>
  </si>
  <si>
    <t>101-60-8108</t>
  </si>
  <si>
    <t>096-76-6558</t>
  </si>
  <si>
    <t>054-02-8877</t>
  </si>
  <si>
    <t>133-82-3246</t>
  </si>
  <si>
    <t>584-04-8228</t>
  </si>
  <si>
    <t>396-29-0818</t>
  </si>
  <si>
    <t>129-84-1261</t>
  </si>
  <si>
    <t>082-74-9862</t>
  </si>
  <si>
    <t>077-58-1374</t>
  </si>
  <si>
    <t>065-98-7656</t>
  </si>
  <si>
    <t>062-64-7952</t>
  </si>
  <si>
    <t>065-92-7647</t>
  </si>
  <si>
    <t>112-74-1820</t>
  </si>
  <si>
    <t>072-02-2167</t>
  </si>
  <si>
    <t>076-86-6207</t>
  </si>
  <si>
    <t>085-02-7666</t>
  </si>
  <si>
    <t>134-68-4952</t>
  </si>
  <si>
    <t>059-66-0046</t>
  </si>
  <si>
    <t>094-64-5359</t>
  </si>
  <si>
    <t>070-72-3310</t>
  </si>
  <si>
    <t>128-74-9232</t>
  </si>
  <si>
    <t>111-74-9683</t>
  </si>
  <si>
    <t>131-82-7254</t>
  </si>
  <si>
    <t>133-82-2294</t>
  </si>
  <si>
    <t>121-64-3355</t>
  </si>
  <si>
    <t>062-68-2973</t>
  </si>
  <si>
    <t>115-80-4883</t>
  </si>
  <si>
    <t>103-80-6069</t>
  </si>
  <si>
    <t>085-98-2513</t>
  </si>
  <si>
    <t>121-68-3730</t>
  </si>
  <si>
    <t>128-58-4175</t>
  </si>
  <si>
    <t>055-88-7083</t>
  </si>
  <si>
    <t>397-41-3621</t>
  </si>
  <si>
    <t>099-60-8110</t>
  </si>
  <si>
    <t>064-82-5363</t>
  </si>
  <si>
    <t>089-52-0229</t>
  </si>
  <si>
    <t>051-72-5318</t>
  </si>
  <si>
    <t>111-94-3076</t>
  </si>
  <si>
    <t>043-76-6261</t>
  </si>
  <si>
    <t>068-64-5872</t>
  </si>
  <si>
    <t>131-62-3689</t>
  </si>
  <si>
    <t>068-58-0612</t>
  </si>
  <si>
    <t>098-76-3290</t>
  </si>
  <si>
    <t>075-02-2377</t>
  </si>
  <si>
    <t>091-58-6170</t>
  </si>
  <si>
    <t>066-68-6986</t>
  </si>
  <si>
    <t>097-32-0581</t>
  </si>
  <si>
    <t>104-70-8789</t>
  </si>
  <si>
    <t>056-58-0890</t>
  </si>
  <si>
    <t>248-08-3303</t>
  </si>
  <si>
    <t>078-98-5589</t>
  </si>
  <si>
    <t>365-08-9731</t>
  </si>
  <si>
    <t>075-58-4422</t>
  </si>
  <si>
    <t>117-92-3431</t>
  </si>
  <si>
    <t>067-66-8331</t>
  </si>
  <si>
    <t>081-80-8444</t>
  </si>
  <si>
    <t>718-49-4818</t>
  </si>
  <si>
    <t>072-66-2689</t>
  </si>
  <si>
    <t>067-64-4220</t>
  </si>
  <si>
    <t>116-68-5912</t>
  </si>
  <si>
    <t>132-82-8038</t>
  </si>
  <si>
    <t>129-56-0887</t>
  </si>
  <si>
    <t>335-57-8114</t>
  </si>
  <si>
    <t>066-74-4931</t>
  </si>
  <si>
    <t>119-84-0712</t>
  </si>
  <si>
    <t>074-74-9186</t>
  </si>
  <si>
    <t>076-82-2855</t>
  </si>
  <si>
    <t>100-70-0187</t>
  </si>
  <si>
    <t>100-58-4358</t>
  </si>
  <si>
    <t>060-58-4309</t>
  </si>
  <si>
    <t>108-68-1739</t>
  </si>
  <si>
    <t>062-66-3461</t>
  </si>
  <si>
    <t>103-84-2067</t>
  </si>
  <si>
    <t>098-46-7329</t>
  </si>
  <si>
    <t>134-92-0590</t>
  </si>
  <si>
    <t>061-82-2291</t>
  </si>
  <si>
    <t>092-74-5206</t>
  </si>
  <si>
    <t>121-54-1165</t>
  </si>
  <si>
    <t>129-68-2087</t>
  </si>
  <si>
    <t>112-76-3742</t>
  </si>
  <si>
    <t>112-62-8145</t>
  </si>
  <si>
    <t>076-72-9141</t>
  </si>
  <si>
    <t>090-70-3031</t>
  </si>
  <si>
    <t>582-27-3529</t>
  </si>
  <si>
    <t>058-68-6837</t>
  </si>
  <si>
    <t>070-76-8863</t>
  </si>
  <si>
    <t>134-64-5979</t>
  </si>
  <si>
    <t>627-70-9814</t>
  </si>
  <si>
    <t>074-66-7666</t>
  </si>
  <si>
    <t>081-68-2376</t>
  </si>
  <si>
    <t>091-13-4434</t>
  </si>
  <si>
    <t>071-48-6367</t>
  </si>
  <si>
    <t>153-84-8214</t>
  </si>
  <si>
    <t>134-62-9194</t>
  </si>
  <si>
    <t>054-68-3745</t>
  </si>
  <si>
    <t>099-78-9927</t>
  </si>
  <si>
    <t>062-72-4938</t>
  </si>
  <si>
    <t>125-75-0313</t>
  </si>
  <si>
    <t>000-00-0335</t>
  </si>
  <si>
    <t>000-00-3788</t>
  </si>
  <si>
    <t>000-00-4702</t>
  </si>
  <si>
    <t>000-00-9317</t>
  </si>
  <si>
    <t>Unregulated – Other</t>
  </si>
  <si>
    <t>Supportive Housing</t>
  </si>
  <si>
    <t>HOMETBRA</t>
  </si>
  <si>
    <t>Pathways Home</t>
  </si>
  <si>
    <t>07/06/2019</t>
  </si>
  <si>
    <t>09/12/2017</t>
  </si>
  <si>
    <t>03/02/2017</t>
  </si>
  <si>
    <t>07/19/2019</t>
  </si>
  <si>
    <t>05/12/2017</t>
  </si>
  <si>
    <t>02/26/2018</t>
  </si>
  <si>
    <t>02/20/2017</t>
  </si>
  <si>
    <t>05/11/2018</t>
  </si>
  <si>
    <t>08/16/2017</t>
  </si>
  <si>
    <t>09/19/2017</t>
  </si>
  <si>
    <t>03/20/2017</t>
  </si>
  <si>
    <t>09/17/2017</t>
  </si>
  <si>
    <t>11/26/2016</t>
  </si>
  <si>
    <t>Income Waiver</t>
  </si>
  <si>
    <t>Zip Code Waiver</t>
  </si>
  <si>
    <t>CAT3: Cases Involving Rent-Regulated Housing Or Housing Subsidies Vouchers</t>
  </si>
  <si>
    <t>Polish</t>
  </si>
  <si>
    <t>Korean</t>
  </si>
  <si>
    <t>Russian</t>
  </si>
  <si>
    <t>Cambodian</t>
  </si>
  <si>
    <t>Cantonese</t>
  </si>
  <si>
    <t>Tagalog</t>
  </si>
  <si>
    <t>Japanese</t>
  </si>
  <si>
    <t>Rumanian</t>
  </si>
  <si>
    <t>Danish</t>
  </si>
  <si>
    <t xml:space="preserve">Chinese </t>
  </si>
  <si>
    <t>Amer. Sign Lang.</t>
  </si>
  <si>
    <t>French Creole</t>
  </si>
  <si>
    <t>Hebrew</t>
  </si>
  <si>
    <t>Portuguese</t>
  </si>
  <si>
    <t>Persian</t>
  </si>
  <si>
    <t>Albanian</t>
  </si>
  <si>
    <t>Urdu</t>
  </si>
  <si>
    <t>Consent to Release Form is unsigned</t>
  </si>
  <si>
    <t>Releases are in the attestation folder</t>
  </si>
  <si>
    <t>Client needs an income waiver for TRC. He's 201.76% of FPL with recurring bills and obligations.</t>
  </si>
  <si>
    <t>Waiver obtained for Dukler building wide HP initiative</t>
  </si>
  <si>
    <t>UA/TRC funding swap</t>
  </si>
  <si>
    <t>&gt;200%, advice only</t>
  </si>
  <si>
    <t>HRA Consent uploaded</t>
  </si>
  <si>
    <t>HPLP/TRC swap</t>
  </si>
  <si>
    <t>All forms are uploaded</t>
  </si>
  <si>
    <t>needs waiver &gt;200%</t>
  </si>
  <si>
    <t>TRC grant (Advocacy case); over 200% - Income waiver requested on 2.7.19.</t>
  </si>
  <si>
    <t>2016 3307 case restored in 2019; coding as 3018</t>
  </si>
  <si>
    <t>Docket number is correct</t>
  </si>
  <si>
    <t>Compliance form are in original LS 19-1890535</t>
  </si>
  <si>
    <t>Waiver obtained for DHCI re APT bldg wide initiative</t>
  </si>
  <si>
    <t>Releases are found in the Attestation folder</t>
  </si>
  <si>
    <t>Compliance Forms are in orginial LS 19-1891925</t>
  </si>
  <si>
    <t>Wavier for APT facial recognition. No DHCI required.</t>
  </si>
  <si>
    <t>Upload in compliance folder</t>
  </si>
  <si>
    <t>Compliance forms are in 19-1898376</t>
  </si>
  <si>
    <t>Wavier for APT Facial Recognition. No DHCI required.</t>
  </si>
  <si>
    <t>over 200%</t>
  </si>
  <si>
    <t>&gt;200% Income waiver neede?</t>
  </si>
  <si>
    <t>DO-noted that waiver was approved - Compliance docs in parent file 18-1875098</t>
  </si>
  <si>
    <t>Waiver obtained re No DHCI required. Attestation &amp; Release are housed in parent file #19-1891500</t>
  </si>
  <si>
    <t>Waiver obtained re No DHCI required</t>
  </si>
  <si>
    <t>Compliance forms are in 19-1898022</t>
  </si>
  <si>
    <t>Waiver for APT Facial recognition. No DHCI required.</t>
  </si>
  <si>
    <t>DHCI not signed by LSNY Staff   - Over 200%</t>
  </si>
  <si>
    <t>Income waiver for bldg</t>
  </si>
  <si>
    <t>DO-Noted that waiver was approved</t>
  </si>
  <si>
    <t>Waiver obtained - No DHCI required Compliance Docs located in parent file #19-1890561</t>
  </si>
  <si>
    <t>Compliance forms are in original LS 18-1886113</t>
  </si>
  <si>
    <t>Client needs income waiver re group rep  - Compliance docs located in companion file #18-1879248</t>
  </si>
  <si>
    <t>Client did not provide SS#.</t>
  </si>
  <si>
    <t>Releases in Attestation File</t>
  </si>
  <si>
    <t>&gt;200% CASA advice</t>
  </si>
  <si>
    <t>Compliance Forms are LS 19-1903926</t>
  </si>
  <si>
    <t>Retainer located in parent file #18-1874883</t>
  </si>
  <si>
    <t>need consent signed</t>
  </si>
  <si>
    <t>Client needs income waiver for TRC</t>
  </si>
  <si>
    <t>Compliance docs in parent file #18-1876080</t>
  </si>
  <si>
    <t>Building wide waiver obtained for DHCI form - Needs income waiver</t>
  </si>
  <si>
    <t>Building wide waiver obtained for DHCI form</t>
  </si>
  <si>
    <t>Compliance forms are in 19-1898976</t>
  </si>
  <si>
    <t>Building wide waiver obtained for DHCI form - Compliance Docs located in Companion file #19-1897400</t>
  </si>
  <si>
    <t>Wavier for APT Facial Recogniton. No DHCI required.</t>
  </si>
  <si>
    <t>refused to give SS#</t>
  </si>
  <si>
    <t>veteran; hra granted income waiver</t>
  </si>
  <si>
    <t>Compliance upload 18-1876272</t>
  </si>
  <si>
    <t>&gt;200%Income waiver needed?</t>
  </si>
  <si>
    <t>4/18 - need consent &amp; DHCI uploaded</t>
  </si>
  <si>
    <t>&gt;200% FPL, non-UA advice</t>
  </si>
  <si>
    <t>Compliances forms are in original LS 19-1891891</t>
  </si>
  <si>
    <t>Building wide waiver obtained for DHCI form - Compliance docs located in companion file #19-1897609</t>
  </si>
  <si>
    <t>need income waiver for TRC</t>
  </si>
  <si>
    <t>Compliance Forms are in 19-1897205</t>
  </si>
  <si>
    <t>Wavier for APT Facial Recognition.No DHCI required.</t>
  </si>
  <si>
    <t>Building wide waiver obtained for DHCI form - Compliance Docs located in companion file #19-1897534</t>
  </si>
  <si>
    <t>Compliance forms are in 19-1898966</t>
  </si>
  <si>
    <t>Building wide waiver obtained for DHCI form - Compliance Docs located in companion file #19-1897406</t>
  </si>
  <si>
    <t>Building wide waiver obtained for DHCI form -Compliance Doc located in companion file #19-1897349</t>
  </si>
  <si>
    <t>Waiver obtained re No DHCI required. Attestation &amp; Release are housed in parent file #19-1891580</t>
  </si>
  <si>
    <t>Compliance forms are in 19-1898243</t>
  </si>
  <si>
    <t>upload in 18-1879056</t>
  </si>
  <si>
    <t>Compliance forms are in original LS 19-1892521</t>
  </si>
  <si>
    <t>DO-Noted that waiver was approved / Compliance docs located in parent file #18-1874152</t>
  </si>
  <si>
    <t>Compliance forms are in original LS 19-1892069</t>
  </si>
  <si>
    <t>Compliance forms are in original LS 19-1892764</t>
  </si>
  <si>
    <t>Wavier for APT Facial recognition. No DHCI required</t>
  </si>
  <si>
    <t>Waiver obtained re No DHCI required. Attestation &amp; Release are housed in parent file #19-1891565</t>
  </si>
  <si>
    <t>HPLP/TRC funding swap</t>
  </si>
  <si>
    <t>Income waiver required. DHCI waiver obtained</t>
  </si>
  <si>
    <t>Wavier for APT Facial Recogniton. No DHCI Required. Income waiver required</t>
  </si>
  <si>
    <t>Compliance Forms are in original LS 19-1892761</t>
  </si>
  <si>
    <t>Wavier for APT Facial recognition.No DHCI required.</t>
  </si>
  <si>
    <t>Over 200% FPL</t>
  </si>
  <si>
    <t>Compliance docs in (18-1863740)</t>
  </si>
  <si>
    <t>Compliance forms are in 19-1898404</t>
  </si>
  <si>
    <t>&gt;200% FPL, advice only</t>
  </si>
  <si>
    <t>&gt;200% advice, reporting under TRC</t>
  </si>
  <si>
    <t>Waiver obtained re No DHCI required. Attestation &amp; Release are housed in parent file #19-1891559</t>
  </si>
  <si>
    <t>DO-HH is over 200%</t>
  </si>
  <si>
    <t>compliance docs are in attestation folder</t>
  </si>
  <si>
    <t>Income waiver needed?</t>
  </si>
  <si>
    <t>on 5/17/2019 HRA stated no waiver needed</t>
  </si>
  <si>
    <t>Income waiver needed.</t>
  </si>
  <si>
    <t>Compliance forms are in 19-1898848</t>
  </si>
  <si>
    <t>Wavier for APT Facial recognition. No DHCI required.</t>
  </si>
  <si>
    <t>Compliance forms are in original LS 18-1886109</t>
  </si>
  <si>
    <t>Waiver obtained re No DHCI required. Attestation &amp; Release are housed in parent file #19-1891550</t>
  </si>
  <si>
    <t>Compliance forms are in original LS 19-1892641</t>
  </si>
  <si>
    <t>4/18 - needs brief service notes; if advice only, cannot report as &gt;200% FPL</t>
  </si>
  <si>
    <t>Building wide waiver obtained for DHCI form -Compliance Docs located in companion file #19-1897393</t>
  </si>
  <si>
    <t>0ver income</t>
  </si>
  <si>
    <t>Client did not provide his SS#</t>
  </si>
  <si>
    <t>Income waiver needed - compliance docs located in companion file #19-1898334</t>
  </si>
  <si>
    <t>Income waiver needed for building wide action</t>
  </si>
  <si>
    <t>Compliance Forms are in original LS 19-1890584</t>
  </si>
  <si>
    <t>Need income waiver - Compliance docs located in companion file #18-1876511</t>
  </si>
  <si>
    <t>DHCI Not Signed by Staff - Income waiver needed</t>
  </si>
  <si>
    <t>Compliance forms are in 19-1902056</t>
  </si>
  <si>
    <t>Income Waiver denied on 7/9/2019</t>
  </si>
  <si>
    <t>Please see 19-1889883 for forms</t>
  </si>
  <si>
    <t>Waiver obtained - No DHCI required Compliance Docs located in parent file #19-1890567</t>
  </si>
  <si>
    <t>Needs income waiver</t>
  </si>
  <si>
    <t>Compliance Docs located in parent file #18-1886163</t>
  </si>
  <si>
    <t>4/18 - case type &amp; status unclear from notes</t>
  </si>
  <si>
    <t>DHCI &amp; consent in file # 19-1893001</t>
  </si>
  <si>
    <t>Compliance forms are in original LS 19-1892850</t>
  </si>
  <si>
    <t>Income waiver denied on 7/9/19</t>
  </si>
  <si>
    <t>Compliance forms are in 19-1898845</t>
  </si>
  <si>
    <t>Compliance forms are in 19-1898951</t>
  </si>
  <si>
    <t>HRA Waiver Denied on 11/16/2018</t>
  </si>
  <si>
    <t>Need income waiver - Compliance docs located in companion file #18-1876516</t>
  </si>
  <si>
    <t>Compliance forms are in 19-1898982</t>
  </si>
  <si>
    <t>Waiver obtained re No DHCI required. Attestation &amp; Release are housed in parent file #19-1891594</t>
  </si>
  <si>
    <t>Need income waiver  - compliance docs located in file #18-1876938</t>
  </si>
  <si>
    <t>Building wide waiver obtained for DHCI form. Retainer, Attestation &amp; Release located in companion file #19-1897410</t>
  </si>
  <si>
    <t>Income waiver required. Waiver obtained re No DHCI required.</t>
  </si>
  <si>
    <t>Need income waiver. Waiver obtained re No DHCI required</t>
  </si>
  <si>
    <t>Income Waiver denied on 7/9/19- Compliance docs located in parent file #18-1880271</t>
  </si>
  <si>
    <t>FY19 Compliance upload 18-1878669</t>
  </si>
  <si>
    <t>Compliance Forms are in original LS 19-1890628</t>
  </si>
  <si>
    <t>Compliance Forms are in orginial LS 19-1891940</t>
  </si>
  <si>
    <t>Building wide waiver obtained for DHCI form -Compliance Docs located in companion file #19-1897337</t>
  </si>
  <si>
    <t>Income waiver needed for building wide work - Compliance docs located in parent file #19-1898331</t>
  </si>
  <si>
    <t>Income waiver needed for building wide affirmative action</t>
  </si>
  <si>
    <t>Compliance forms are in 19-1898368</t>
  </si>
  <si>
    <t>Income Waiver denied on 7/9/19</t>
  </si>
  <si>
    <t>Compliance upload 18-1878669</t>
  </si>
  <si>
    <t>Building wide waiver obtained for DHCI form - Compliance docs located in companion file #19-1897605</t>
  </si>
  <si>
    <t>Waiver obtained re No DHCI required. Attestation &amp; Release are housed in parent file #19-1891541</t>
  </si>
  <si>
    <t>Compliance forms are in original LS 19-1892863</t>
  </si>
  <si>
    <t>over income 411%, need income waiver</t>
  </si>
  <si>
    <t>DHCI waiver obtained. Need income waiver</t>
  </si>
  <si>
    <t>Waiver obtained re No DHCI required. Attestation &amp; Release are housed in parent file #19-1891586</t>
  </si>
  <si>
    <t>Waiver for DHCI obtained for facial recognition building wide initiative- Income waiver required</t>
  </si>
  <si>
    <t>Complaince forms are in original LS 19-1890550</t>
  </si>
  <si>
    <t>No DHCI required -Waiver obtained for APT facial recognition group wide initiative</t>
  </si>
  <si>
    <t>Compliance Forms are in original LS 19-1890581</t>
  </si>
  <si>
    <t>No DHCI required -Waiver obtained for APT facial recognition building wide initiative</t>
  </si>
  <si>
    <t>Compliance Forms are in original LS 19-1890575</t>
  </si>
  <si>
    <t>Compliance forms ar ein original LS 19-1890587</t>
  </si>
  <si>
    <t>uploaded in 18-1876925</t>
  </si>
  <si>
    <t>Waiver for No DHCI required - Compliance docs in parent file #19-1893258</t>
  </si>
  <si>
    <t>Waiver for no DHCI required</t>
  </si>
  <si>
    <t>Waiver obtained in parent file 17-1851102 for which this is an offshoot</t>
  </si>
  <si>
    <t>Compliance docs located in companion file #19-1899643 - Income waiver as part of building wide initiative.</t>
  </si>
  <si>
    <t>Compliance Forms are in original LS 19-1891914</t>
  </si>
  <si>
    <t>DO-We have Income Waiver as per Jim's note</t>
  </si>
  <si>
    <t>upload in 18-1876913</t>
  </si>
  <si>
    <t>Compliance forms are in 19-1898394</t>
  </si>
  <si>
    <t>Waiver obtained - No DHCI required Compliance Docs located in parent file #19-1890552</t>
  </si>
  <si>
    <t>Waiver for APT Facial Recognition. DHCI not required.</t>
  </si>
  <si>
    <t>Compliance forms are in 19-1898826</t>
  </si>
  <si>
    <t>Compliance forms can be found in 19-1896646</t>
  </si>
  <si>
    <t>Compliance forms are in 19-1896646.</t>
  </si>
  <si>
    <t>Compliance forms are in 19-1896646</t>
  </si>
  <si>
    <t>Compliance forms are 19-1896646</t>
  </si>
  <si>
    <t>Compliance forms are in original LS 19-1891983</t>
  </si>
  <si>
    <t>Wavier for APT facial regonition. No DHCI required.</t>
  </si>
  <si>
    <t>Client did not want to provide her SS number</t>
  </si>
  <si>
    <t>Complaince forms are in original LS 18-1886541</t>
  </si>
  <si>
    <t>upload in compliance folder</t>
  </si>
  <si>
    <t>compliance doc in 18-1881489</t>
  </si>
  <si>
    <t>&gt;200%FPL</t>
  </si>
  <si>
    <t>Compliance forms are in 19-1898268</t>
  </si>
  <si>
    <t>upload in 18-1876799</t>
  </si>
  <si>
    <t>upload in 18-1876828</t>
  </si>
  <si>
    <t>upload in 18-1876793</t>
  </si>
  <si>
    <t>Compliance forms are in original LS 19-1889442</t>
  </si>
  <si>
    <t>upload in 18-1876941</t>
  </si>
  <si>
    <t>Compliance forms are in 19-1898259</t>
  </si>
  <si>
    <t>Compliance forms are in original LS 19-1892094</t>
  </si>
  <si>
    <t>comp docs in attestation file</t>
  </si>
  <si>
    <t>4/19 - need consent &amp; DHCI uploaded</t>
  </si>
  <si>
    <t>advice over phone.</t>
  </si>
  <si>
    <t>signed DHCI</t>
  </si>
  <si>
    <t>Compliance forms and all other documents can be found in original case 18-1872177</t>
  </si>
  <si>
    <t>Advice Only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</si>
  <si>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</si>
  <si>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</si>
  <si>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</t>
  </si>
  <si>
    <t>Compliance forms are 19-1897167</t>
  </si>
  <si>
    <t>Building wide waiver obtained for DHCI form - Compliance Docs located in companion file #19-1897528</t>
  </si>
  <si>
    <t>Compliance forms are in LS 19-1901993</t>
  </si>
  <si>
    <t>Compliance forms are in LS 19-1902020</t>
  </si>
  <si>
    <t>Release and DHCI in 18-1871432</t>
  </si>
  <si>
    <t>Still needs attestation &amp; Retainer</t>
  </si>
  <si>
    <t>4/10-needs advocacy or advice notes</t>
  </si>
  <si>
    <t>Wavier for APT Facial Recognition. No DHCI required. Compliance forms are in 19-1897190</t>
  </si>
  <si>
    <t>All DHCR advocacy occurred 4 months apart, we just obtained all forms in 2018.  No benefit, HRA verified, 7/20/17</t>
  </si>
  <si>
    <t>No 4 month issue, PAR, rent reduction and MCI opp all occurred 4+ months apart</t>
  </si>
  <si>
    <t>Compliance docs located in companion file #19-1895289</t>
  </si>
  <si>
    <t>Compliance Docs located in parent file 18-1856466</t>
  </si>
  <si>
    <t>DHCI and HRA forms located in #19-1889315 - Retainer located in #18-1856466</t>
  </si>
  <si>
    <t>Compliance docs located in companion file #18-1882630</t>
  </si>
  <si>
    <t>compliance docs in Case No: (19-1895470</t>
  </si>
  <si>
    <t>DHCI form done</t>
  </si>
  <si>
    <t>DHCI and HRA consent forms are in LS# (19-1890691)</t>
  </si>
  <si>
    <t>DHCI &amp; billing consent in file # 18-1884409</t>
  </si>
  <si>
    <t>CASA 5/2/19 , missing advice notes</t>
  </si>
  <si>
    <t>consent &amp; DHCI in 18-1884972</t>
  </si>
  <si>
    <t>releases/packet uploaded</t>
  </si>
  <si>
    <t>consent/DHCI in 18-1878211 (physical file)</t>
  </si>
  <si>
    <t>Client provided last 4 digits of SS# but declined to provide in its entirety.</t>
  </si>
  <si>
    <t>Compliance Docs located in parent file 18-1880262</t>
  </si>
  <si>
    <t>client homebound, he's mailing compliance docs back to me</t>
  </si>
  <si>
    <t>Sent by email to Sylvia</t>
  </si>
  <si>
    <t>forms will be signed by client on 10/30/18</t>
  </si>
  <si>
    <t>HRA Rollover case</t>
  </si>
  <si>
    <t>upload in 17-1852920</t>
  </si>
  <si>
    <t>Compliance Docs located in parent file 18-1856516.</t>
  </si>
  <si>
    <t>Compliance forms are in original LS 19-1890543</t>
  </si>
  <si>
    <t>Waiver obtained for APT facial recognition group wide initiative - No DHCI required</t>
  </si>
  <si>
    <t>no pending proceeding</t>
  </si>
  <si>
    <t>Do not report- declined to rep</t>
  </si>
  <si>
    <t>All releases and forms are uploaded</t>
  </si>
  <si>
    <t>Compliance forms are in 19-1898251</t>
  </si>
  <si>
    <t>HRA forms in 17-1854779</t>
  </si>
  <si>
    <t>Compliance forms are LS 19-1901977</t>
  </si>
  <si>
    <t>Compliance Forms are in LS 19-1895314</t>
  </si>
  <si>
    <t>Compliance forms are in 19-1896739</t>
  </si>
  <si>
    <t>HRA consent is in LS#18-1885738</t>
  </si>
  <si>
    <t>refused to give ss#</t>
  </si>
  <si>
    <t>upload in 17-1835050</t>
  </si>
  <si>
    <t>Compliance forms are in 19-1902042</t>
  </si>
  <si>
    <t>DHCI form income and LS income do not match</t>
  </si>
  <si>
    <t>DHCI &amp; HRA forms located in file # 19-1889304 - Retainer located in file #17-1844625</t>
  </si>
  <si>
    <t>compliance docs located in parent file #18-1885030</t>
  </si>
  <si>
    <t>Compliance Docs located in parent file #18-1885030</t>
  </si>
  <si>
    <t>consent &amp; DHCI in attestation</t>
  </si>
  <si>
    <t>Compliance Docs located in parent file 17-1844625</t>
  </si>
  <si>
    <t>intake/release forms are in Attestation-compliance folder of parent file #19-1887512</t>
  </si>
  <si>
    <t>Intake release forms are in Attestation-compliance folder</t>
  </si>
  <si>
    <t>DHCI completed.</t>
  </si>
  <si>
    <t>DHCI form</t>
  </si>
  <si>
    <t>needs forms uploaded - 5/16</t>
  </si>
  <si>
    <t>Upload in 17-1852362</t>
  </si>
  <si>
    <t>Waiver obtained re No DHCI required. Attestation &amp; Release are housed in parent file #19-1891662</t>
  </si>
  <si>
    <t>4/10 - unclear how to report as we're appearing as FOC</t>
  </si>
  <si>
    <t>This case got missed in earlier reporting, reporting it now</t>
  </si>
  <si>
    <t>Upload is in Compliance folder</t>
  </si>
  <si>
    <t>Release in Attestation  file</t>
  </si>
  <si>
    <t>no case, can't report UA/HPLP</t>
  </si>
  <si>
    <t>Forms are in the other 2018 file</t>
  </si>
  <si>
    <t>see file # 18-1871977 for consent &amp; DHCI</t>
  </si>
  <si>
    <t>Compliance upload 18-1878653</t>
  </si>
  <si>
    <t>DHCI &amp; consent in 18-1884730</t>
  </si>
  <si>
    <t>HRA forms in 18-1873865</t>
  </si>
  <si>
    <t>DHCI and HRA forms located in #19-1889312 -  Retainer located in #17-1844626</t>
  </si>
  <si>
    <t>Compliance forms are in original LS 19-1891991</t>
  </si>
  <si>
    <t>Wavier for APt facial recognition. No DHCI required.</t>
  </si>
  <si>
    <t>DHCI &amp; HRA forms located in file #19-1889327- Retainer located in file #18-1882438</t>
  </si>
  <si>
    <t>consent in 2018 file; active HRA# in lieu of DHCI</t>
  </si>
  <si>
    <t>refused to give me SS#</t>
  </si>
  <si>
    <t>Compliance forms are LS 19-1901986</t>
  </si>
  <si>
    <t>Compliance Docs located in companion file #19-1897431</t>
  </si>
  <si>
    <t>Compliance Docs located in parent file 18-1882438</t>
  </si>
  <si>
    <t>Release forms can be found in Attestation upload</t>
  </si>
  <si>
    <t>Compliance Docs located in parent file #18-1878029</t>
  </si>
  <si>
    <t>DHCI &amp; consent under attestation</t>
  </si>
  <si>
    <t>HPD Termination proceeding, no case number.</t>
  </si>
  <si>
    <t>Refused to give SS#</t>
  </si>
  <si>
    <t>HRA consent and DHCI forms are in LS#HRA consent is in LS#18-1885738</t>
  </si>
  <si>
    <t>Compliance Docs found in parent file 18-1878029</t>
  </si>
  <si>
    <t>PVT house</t>
  </si>
  <si>
    <t>Compliance docs located in companion file #18-1884207</t>
  </si>
  <si>
    <t>All compliance forms are uploaded</t>
  </si>
  <si>
    <t>All compliance forms and retainer in companion file #19-1899826</t>
  </si>
  <si>
    <t>Compliance forms are in 19-1897175</t>
  </si>
  <si>
    <t>Need HRA consent form</t>
  </si>
  <si>
    <t>no show for her appt</t>
  </si>
  <si>
    <t>compliance docs located in parent file #18-1873030</t>
  </si>
  <si>
    <t>Compliance docs located in 19-1887074</t>
  </si>
  <si>
    <t>Complaince Form is in LS 19-1895329</t>
  </si>
  <si>
    <t>Compliance forms are in 19-1898956</t>
  </si>
  <si>
    <t>DHCI &amp; consent in 18-1886637</t>
  </si>
  <si>
    <t>not sure if we can bill since case is about damages in a former apt?</t>
  </si>
  <si>
    <t>Forms uploaded at 18-1868067 (DHCI &gt;3 months old though)</t>
  </si>
  <si>
    <t>All compliance forms and retainer in companion file #19-1895279</t>
  </si>
  <si>
    <t>Attestation can be found in 18-1860318</t>
  </si>
  <si>
    <t>Pvt house</t>
  </si>
  <si>
    <t>Compliance Docs located in parent file 17-1844626</t>
  </si>
  <si>
    <t>4/18 - still on hold?</t>
  </si>
  <si>
    <t>Located DHCI form and uploaded</t>
  </si>
  <si>
    <t>Compliance forms are in original LS 19-1892080</t>
  </si>
  <si>
    <t>Compliance forms are in 19-1902026</t>
  </si>
  <si>
    <t>don't need DHCI bc HRA verified benefits</t>
  </si>
  <si>
    <t>scheduled for CASA 11/1</t>
  </si>
  <si>
    <t>Compliance docs in 19-1887570</t>
  </si>
  <si>
    <t>4/10 - need consent; case status unclear</t>
  </si>
  <si>
    <t>4/10 - need LOS, case type, consent &amp; DHCI</t>
  </si>
  <si>
    <t>confirm/upload forms</t>
  </si>
  <si>
    <t>Compliance forms are in original LS 19-1890177</t>
  </si>
  <si>
    <t>attorney forgot to get DHCI form/tenant didn't fill out because didn't udnerstand; confirmed by phone 29k income last year</t>
  </si>
  <si>
    <t>DHCI form is in file 18-1870514</t>
  </si>
  <si>
    <t>shd have consent + DHCI uploaded</t>
  </si>
  <si>
    <t>Compliance upload 18-1878637</t>
  </si>
  <si>
    <t>upload in 18-1879051</t>
  </si>
  <si>
    <t>pre-litigation advice</t>
  </si>
  <si>
    <t>DHCI is in LS# 19-1889786</t>
  </si>
  <si>
    <t>Compliance forms are in original LS 19-1890585</t>
  </si>
  <si>
    <t>Compliance forms are in 19-1898383</t>
  </si>
  <si>
    <t>report as HPLP if we file; TRC if we don't</t>
  </si>
  <si>
    <t>Compliance docs located in companion file #18-1876512</t>
  </si>
  <si>
    <t>HRA and DHCI forms are in case #19-1899894</t>
  </si>
  <si>
    <t>4/10 - need LOS</t>
  </si>
  <si>
    <t>releases and DHCI in 18-1878370</t>
  </si>
  <si>
    <t>Waiver obtained for DHCI form</t>
  </si>
  <si>
    <t>Attestation can be found in 18-1860281</t>
  </si>
  <si>
    <t>Compliance Docs located in parent file #18-1886536</t>
  </si>
  <si>
    <t>Compliance Docs located in parent file #19-1887097</t>
  </si>
  <si>
    <t>Compliance Forms arre in LS 19-1900103</t>
  </si>
  <si>
    <t>Compliance docs located in companion file #19-1900103</t>
  </si>
  <si>
    <t>Individual action obo client who is part of a building wide action</t>
  </si>
  <si>
    <t>Compliance docs located in companion file #18-1882164</t>
  </si>
  <si>
    <t>Waiver obtained - No DHCI required</t>
  </si>
  <si>
    <t>Jim f/u with client re HRA release</t>
  </si>
  <si>
    <t>CASA 1/3</t>
  </si>
  <si>
    <t>Compliance docs located in parent file # 19-1893312</t>
  </si>
  <si>
    <t>Compliance Docs located in parent file #18-1886734</t>
  </si>
  <si>
    <t>Compliance docs, incl Attestation, located in companion file #18-1885020</t>
  </si>
  <si>
    <t>see 18-1873823 for DHCI</t>
  </si>
  <si>
    <t>Compliance docs located in companion file #18-1880272</t>
  </si>
  <si>
    <t>Intake release forms are found in Attestation upload</t>
  </si>
  <si>
    <t>Waiver obtained - No DHCI required Compliance Docs located in parent file #19-1890579</t>
  </si>
  <si>
    <t>Waiver obtained - No DHCI required Compliance Docs located in parent file #19-1890540</t>
  </si>
  <si>
    <t>no DHCI-PA number</t>
  </si>
  <si>
    <t>Waiver obtained re No DHCI required. Attestation &amp; Release are housed in parent file #19-1891635</t>
  </si>
  <si>
    <t>copy of PA case comp in 18-1884683</t>
  </si>
  <si>
    <t>DO-Client signed income form but staff did not sign it</t>
  </si>
  <si>
    <t>Compliance docs located in parent file #18-1876504</t>
  </si>
  <si>
    <t>CASA 4/18</t>
  </si>
  <si>
    <t>consent form not yet uploaded 6/20 ND</t>
  </si>
  <si>
    <t>PA# in lieu of DHCI</t>
  </si>
  <si>
    <t>compliance doc 18-1876696</t>
  </si>
  <si>
    <t>Client did not provide SS number</t>
  </si>
  <si>
    <t>DHCI waiver obtained for facial recognition group work</t>
  </si>
  <si>
    <t>Compliance docs located in companion file #19-1895283</t>
  </si>
  <si>
    <t>Compliance forms are in LS 19-1902001</t>
  </si>
  <si>
    <t>Compliance forms are in 19-1896778</t>
  </si>
  <si>
    <t>Compliance Forms are in 19-1896778</t>
  </si>
  <si>
    <t>Compliance docs located in companion file #19-1896778</t>
  </si>
  <si>
    <t>Not comfortable giving out SSN until meets with someone face-to-face</t>
  </si>
  <si>
    <t>Compliance forms are in 19-1898732</t>
  </si>
  <si>
    <t>Compliance forms are in original LS 19-1892004</t>
  </si>
  <si>
    <t>Compliance forms are in original LS 19-1892678</t>
  </si>
  <si>
    <t>Compliance forms are in 19-1897843</t>
  </si>
  <si>
    <t>Compliance forms are in 19-1897154</t>
  </si>
  <si>
    <t>Waiver obtained - No DHCI required Compliance Docs located in parent file #19-1890630</t>
  </si>
  <si>
    <t>Compliance forms are in 19-1898037</t>
  </si>
  <si>
    <t>Compliance forms are in original LS 19-1892667</t>
  </si>
  <si>
    <t>Building wide waiver obtained for DHCI form - Compliance Docs located in companion file #19-1897518</t>
  </si>
  <si>
    <t>DHCI form done HRA</t>
  </si>
  <si>
    <t>DHCI Form does not match what is in LS</t>
  </si>
  <si>
    <t>Waiver obtained - No DHCI required Compliance Docs located in parent file #19-1890532</t>
  </si>
  <si>
    <t>Waiver for APT Facial Recognition. No DHCI required.</t>
  </si>
  <si>
    <t>Waiver obtained re No DHCI required. Attestation &amp; Release are housed in parent file #19-1891604</t>
  </si>
  <si>
    <t>Compliance forms are in 19-1898987</t>
  </si>
  <si>
    <t>UA/TRC funding swap; need billing consent + DHCI or active CA/SNAP # - 5/17</t>
  </si>
  <si>
    <t>DHCI doesn't match LS</t>
  </si>
  <si>
    <t>Waiver obtained - No DHCI required Compliance Docs located in parent file #19-1890555</t>
  </si>
  <si>
    <t>Compliance forms are in 19-1897702</t>
  </si>
  <si>
    <t>Compliance forms are in LS 19-1902048</t>
  </si>
  <si>
    <t>Compliance docs located in file #17-1844623</t>
  </si>
  <si>
    <t>Compliance docs located in companion file #18-1882154</t>
  </si>
  <si>
    <t>Compliance forms are in original LS 19-1892650</t>
  </si>
  <si>
    <t>Building wide waiver obtained for DHCI form - Compliance Docs located in companion file #19-1897516</t>
  </si>
  <si>
    <t>Compliance forms are in 19-1902158</t>
  </si>
  <si>
    <t>Filed/Argued/Supplemented Dispositive or other Substantive Motion, Filed for an Emergency Order to Show Cause</t>
  </si>
  <si>
    <t>Conducted Evidentiary Hearing</t>
  </si>
  <si>
    <t>Counsel Assisted in Filing or Refiling of Answer, Filed for an Emergency Order to Show Cause</t>
  </si>
  <si>
    <t>Commenced Trial</t>
  </si>
  <si>
    <t>Commenced Trial, Conducted Evidentiary Hearing, Filed/Argued/Supplemented Dispositive or other Substantive Motion, Filed for an Emergency Order to Show Cause</t>
  </si>
  <si>
    <t>need DHCI uploaded or PA# entered</t>
  </si>
  <si>
    <t>4/18 - case status unclear from notes</t>
  </si>
  <si>
    <t>intake/releases uploaded</t>
  </si>
  <si>
    <t>HRA Consent form &amp; Attestation located in Parent File 17-1854274</t>
  </si>
  <si>
    <t>4/10 - case status unclear from notes</t>
  </si>
  <si>
    <t>consumer issue</t>
  </si>
  <si>
    <t>Attestation &amp; Releases are located in parent file #19-1894682</t>
  </si>
  <si>
    <t>4/12 - need billing consent</t>
  </si>
  <si>
    <t>S. Prado to upload forms, we have them</t>
  </si>
  <si>
    <t>Consent to Release in 19-1893768</t>
  </si>
  <si>
    <t>All releases are uploaded</t>
  </si>
  <si>
    <t>Coded as TRC as part of a HPLP/TRC swap, CN</t>
  </si>
  <si>
    <t>Group case although this is the only address</t>
  </si>
  <si>
    <t>DHCI signed</t>
  </si>
  <si>
    <t>Upload in 17-1852179</t>
  </si>
  <si>
    <t>DV Survivor</t>
  </si>
  <si>
    <t>Client provided last 4 digits of SS# but declined to provide in its entirety;  case did not include any housing activity indicators.</t>
  </si>
  <si>
    <t>Commenced Trial, Conducted Evidentiary Hearing, Filed for an Emergency Order to Show Cause</t>
  </si>
  <si>
    <t>Case Discontinued/Dismissed/Landlord Fails to Prosecute, Restored Access to Personal Property</t>
  </si>
  <si>
    <t>Case Discontinued/Dismissed/Landlord Fails to Prosecute, Secured Order or Agreement for Repairs in Apartment/Building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</si>
  <si>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</si>
  <si>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Client, Secured Rent Abatement</t>
  </si>
  <si>
    <t>Other, Provided Housing-related Consumer Debt Legal Assistance</t>
  </si>
  <si>
    <t>Obtained Renewal of Lease</t>
  </si>
  <si>
    <t>Secured Rent Reduction</t>
  </si>
  <si>
    <t>Secured Order or Agreement for Repairs in Apartment/Building, Secured Rent Reduction</t>
  </si>
  <si>
    <t>Secured Order or Agreement for Repairs in Apartment/Building</t>
  </si>
  <si>
    <t>Obtained Renewal of Lease, Obtain Ongoing Rent Subsidy, Secured Rent Reduction</t>
  </si>
  <si>
    <t>Case Resolved without Judgment of Eviction Against Client, Secured Rent Abatement</t>
  </si>
  <si>
    <t>Case Resolved without Judgment of Eviction Against Client, Secured Order or Agreement for Repairs in Apartment/Building, Secured Rent Abatement</t>
  </si>
  <si>
    <t>Other, Restored Access to Personal Property</t>
  </si>
  <si>
    <t>Case Discontinued/Dismissed/Landlord Fails to Prosecute, Provided Housing-related Consumer Debt Legal Assistance</t>
  </si>
  <si>
    <t>Case Resolved without Judgment of Eviction Against Client, Other</t>
  </si>
  <si>
    <t>Case Resolved without Judgment of Eviction Against Client, Secured Order or Agreement for Repairs in Apartment/Building</t>
  </si>
  <si>
    <t>Case Discontinued/Dismissed/Landlord Fails to Prosecute, Case Resolved without Judgment of Eviction Against Client, Obtained Negotiated Buyout, Secured 6 Months or Longer in Residence, Secured Order or Agreement for Repairs in Apartment/Building</t>
  </si>
  <si>
    <t>Obtained Succession Rights to Residence, Other</t>
  </si>
  <si>
    <t>Case Discontinued/Dismissed/Landlord Fails to Prosecute, Case Resolved without Judgment of Eviction Against Client, Obtain Ongoing Rent Subsidy, Overcame Housing Discrimination</t>
  </si>
  <si>
    <t>Case Discontinued/Dismissed/Landlord Fails to Prosecute, Case Resolved without Judgment of Eviction Against Client, Other, Secured Order or Agreement for Repairs in Apartment/Building</t>
  </si>
  <si>
    <t>Case Discontinued/Dismissed/Landlord Fails to Prosecute, Other</t>
  </si>
  <si>
    <t>Case Resolved without Judgment of Eviction Against Client, Obtain Ongoing Rent Subsidy, Other</t>
  </si>
  <si>
    <t>Secured Rent Abatement</t>
  </si>
  <si>
    <t>Case Discontinued/Dismissed/Landlord Fails to Prosecute, Case Resolved without Judgment of Eviction Against Client, Obtained Succession Rights to Residence, Secured Order or Agreement for Repairs in Apartment/Building, Secured Rent Reduction</t>
  </si>
  <si>
    <t>Case Resolved without Judgment of Eviction Against Client, Other, Secured Rent Reduction</t>
  </si>
  <si>
    <t>Case Resolved without Judgment of Eviction Against Client, Other, Secured 6 Months or Longer in Residence</t>
  </si>
  <si>
    <t>Secured 6 Months or Longer in Residence, Secured Order or Agreement for Repairs in Apartment/Building</t>
  </si>
  <si>
    <t>Case Discontinued/Dismissed/Landlord Fails to Prosecute, Case Resolved without Judgment of Eviction Against Client, Obtain Ongoing Rent Subsidy</t>
  </si>
  <si>
    <t>Case Discontinued/Dismissed/Landlord Fails to Prosecute, Case Resolved without Judgment of Eviction Against Client, Obtained Renewal of Lease, Secured 6 Months or Longer in Residence</t>
  </si>
  <si>
    <t>Case Discontinued/Dismissed/Landlord Fails to Prosecute, Case Resolved without Judgment of Eviction Against Client, Obtained Negotiated Buyout, Secured Order or Agreement for Repairs in Apartment/Building</t>
  </si>
  <si>
    <t>Restored Access to Personal Property</t>
  </si>
  <si>
    <t>Case Discontinued/Dismissed/Landlord Fails to Prosecute, Case Resolved without Judgment of Eviction Against Client, Obtained Negotiated Buyout, Secured 6 Months or Longer in Residence</t>
  </si>
  <si>
    <t>Case Resolved without Judgment of Eviction Against Client, Other, Secured Order or Agreement for Repairs in Apartment/Building, Secured Rent Abatement, Secured Rent Reduction</t>
  </si>
  <si>
    <t>Case Resolved without Judgment of Eviction Against Client, Other, Secured Order or Agreement for Repairs in Apartment/Building, Secured Rent Abatement</t>
  </si>
  <si>
    <t>Obtained Negotiated Buyout</t>
  </si>
  <si>
    <t>Case Discontinued/Dismissed/Landlord Fails to Prosecute, Case Resolved without Judgment of Eviction Against Client, Obtained Renewal of Lease, Other, Secured Order or Agreement for Repairs in Apartment/Building</t>
  </si>
  <si>
    <t>Case Resolved without Judgment of Eviction Against Client, Other, Secured 6 Months or Longer in Residence, Secured Order or Agreement for Repairs in Apartment/Building</t>
  </si>
  <si>
    <t>Case Discontinued/Dismissed/Landlord Fails to Prosecute, Case Resolved without Judgment of Eviction Against Client, Obtained Succession Rights to Residence, Secured Order or Agreement for Repairs in Apartment/Building</t>
  </si>
  <si>
    <t>Case Discontinued/Dismissed/Landlord Fails to Prosecute, Case Resolved without Judgment of Eviction Against Client, Obtained Renewal of Lease, Obtain Ongoing Rent Subsidy</t>
  </si>
  <si>
    <t>Client Discharged Attorney</t>
  </si>
  <si>
    <t>Case Discontinued/Dismissed/Landlord Fails to Prosecute, Case Resolved without Judgment of Eviction Against Client, Client Security Deposit Returned</t>
  </si>
  <si>
    <t>Case Discontinued/Dismissed/Landlord Fails to Prosecute, Case Resolved without Judgment of Eviction Against Client, Other</t>
  </si>
  <si>
    <t>Case Resolved without Judgment of Eviction Against Client, Obtain Ongoing Rent Subsidy, Provided Housing-related Consumer Debt Legal Assistance</t>
  </si>
  <si>
    <t>Case Discontinued/Dismissed/Landlord Fails to Prosecute, Obtained Succession Rights to Residence</t>
  </si>
  <si>
    <t>Case Discontinued/Dismissed/Landlord Fails to Prosecute, Other, Secured Order or Agreement for Repairs in Apartment/Building</t>
  </si>
  <si>
    <t>Case Discontinued/Dismissed/Landlord Fails to Prosecute, Secured 6 Months or Longer in Residence</t>
  </si>
  <si>
    <t>Case Discontinued/Dismissed/Landlord Fails to Prosecute, Secured Rent Abatement</t>
  </si>
  <si>
    <t>Case Discontinued/Dismissed/Landlord Fails to Prosecute, Obtain Ongoing Rent Subsidy, Other</t>
  </si>
  <si>
    <t>Obtain Ongoing Rent Subsidy, Other</t>
  </si>
  <si>
    <t>2018-09-13</t>
  </si>
  <si>
    <t>2018-10-17</t>
  </si>
  <si>
    <t>2019-04-24</t>
  </si>
  <si>
    <t>2018-09-14</t>
  </si>
  <si>
    <t>2019-01-04</t>
  </si>
  <si>
    <t>2019-01-30</t>
  </si>
  <si>
    <t>2019-05-07</t>
  </si>
  <si>
    <t>2018-11-28</t>
  </si>
  <si>
    <t>2018-11-27</t>
  </si>
  <si>
    <t>2018-08-01</t>
  </si>
  <si>
    <t>2018-11-20</t>
  </si>
  <si>
    <t>2019-01-15</t>
  </si>
  <si>
    <t>2018-11-29</t>
  </si>
  <si>
    <t>2019-02-21</t>
  </si>
  <si>
    <t>2018-10-11</t>
  </si>
  <si>
    <t>2019-04-25</t>
  </si>
  <si>
    <t>2019-01-29</t>
  </si>
  <si>
    <t>2019-02-23</t>
  </si>
  <si>
    <t>2019-06-02</t>
  </si>
  <si>
    <t>2019-04-03</t>
  </si>
  <si>
    <t>2018-09-04</t>
  </si>
  <si>
    <t>2019-07-09</t>
  </si>
  <si>
    <t>2019-06-25</t>
  </si>
  <si>
    <t>2019-06-17</t>
  </si>
  <si>
    <t>2019-03-01</t>
  </si>
  <si>
    <t>2019-03-28</t>
  </si>
  <si>
    <t>2018-12-28</t>
  </si>
  <si>
    <t>2019-03-15</t>
  </si>
  <si>
    <t>2019-04-23</t>
  </si>
  <si>
    <t>2019-03-29</t>
  </si>
  <si>
    <t>2019-03-19</t>
  </si>
  <si>
    <t>2019-02-13</t>
  </si>
  <si>
    <t>2018-09-26</t>
  </si>
  <si>
    <t>2018-12-14</t>
  </si>
  <si>
    <t>2019-03-12</t>
  </si>
  <si>
    <t>2019-04-10</t>
  </si>
  <si>
    <t>2019-02-01</t>
  </si>
  <si>
    <t>2019-03-13</t>
  </si>
  <si>
    <t>2018-12-01</t>
  </si>
  <si>
    <t>2018-09-18</t>
  </si>
  <si>
    <t>2019-06-05</t>
  </si>
  <si>
    <t>2019-03-21</t>
  </si>
  <si>
    <t>2019-04-29</t>
  </si>
  <si>
    <t>2018-11-10</t>
  </si>
  <si>
    <t>2018-08-13</t>
  </si>
  <si>
    <t>2019-05-24</t>
  </si>
  <si>
    <t>2018-09-25</t>
  </si>
  <si>
    <t>2019-03-05</t>
  </si>
  <si>
    <t>2019-02-28</t>
  </si>
  <si>
    <t>2018-08-29</t>
  </si>
  <si>
    <t>2018-12-31</t>
  </si>
  <si>
    <t>2018-11-30</t>
  </si>
  <si>
    <t>2018-12-07</t>
  </si>
  <si>
    <t>2018-10-15</t>
  </si>
  <si>
    <t>2019-09-13</t>
  </si>
  <si>
    <t>2018-01-03</t>
  </si>
  <si>
    <t>2019-03-08</t>
  </si>
  <si>
    <t>2018-10-01</t>
  </si>
  <si>
    <t>2018-09-07</t>
  </si>
  <si>
    <t>2019-06-04</t>
  </si>
  <si>
    <t>2019-06-21</t>
  </si>
  <si>
    <t>2019-05-11</t>
  </si>
  <si>
    <t>2019-03-27</t>
  </si>
  <si>
    <t>2019-07-03</t>
  </si>
  <si>
    <t>2019-05-20</t>
  </si>
  <si>
    <t>2018-08-07</t>
  </si>
  <si>
    <t>2018-07-27</t>
  </si>
  <si>
    <t>2018-12-05</t>
  </si>
  <si>
    <t>2019-03-07</t>
  </si>
  <si>
    <t>2019-05-02</t>
  </si>
  <si>
    <t>2018-10-18</t>
  </si>
  <si>
    <t>2018-10-09</t>
  </si>
  <si>
    <t>2019-06-27</t>
  </si>
  <si>
    <t>2019-03-18</t>
  </si>
  <si>
    <t>2019-02-27</t>
  </si>
  <si>
    <t>2018-11-21</t>
  </si>
  <si>
    <t>2018-12-20</t>
  </si>
  <si>
    <t>2019-01-03</t>
  </si>
  <si>
    <t>2019-01-14</t>
  </si>
  <si>
    <t>2019-05-21</t>
  </si>
  <si>
    <t>2018-04-01</t>
  </si>
  <si>
    <t>2019-04-12</t>
  </si>
  <si>
    <t>2019-05-25</t>
  </si>
  <si>
    <t>2018-07-19</t>
  </si>
  <si>
    <t>2018-10-25</t>
  </si>
  <si>
    <t>2019-05-03</t>
  </si>
  <si>
    <t>2019-04-11</t>
  </si>
  <si>
    <t>2018-01-24</t>
  </si>
  <si>
    <t>2018-10-30</t>
  </si>
  <si>
    <t>2018-08-27</t>
  </si>
  <si>
    <t>2019-05-09</t>
  </si>
  <si>
    <t>2018-12-04</t>
  </si>
  <si>
    <t>2019-03-14</t>
  </si>
  <si>
    <t>2019-05-08</t>
  </si>
  <si>
    <t>2018-10-29</t>
  </si>
  <si>
    <t>2019-02-24</t>
  </si>
  <si>
    <t>2019-01-25</t>
  </si>
  <si>
    <t>2019-01-02</t>
  </si>
  <si>
    <t>2019-06-29</t>
  </si>
  <si>
    <t>2019-03-04</t>
  </si>
  <si>
    <t>2019-04-01</t>
  </si>
  <si>
    <t>2019-02-22</t>
  </si>
  <si>
    <t>2018-11-19</t>
  </si>
  <si>
    <t>2018-12-27</t>
  </si>
  <si>
    <t>2018-11-05</t>
  </si>
  <si>
    <t>2019-06-30</t>
  </si>
  <si>
    <t>2019-06-06</t>
  </si>
  <si>
    <t>2018-12-18</t>
  </si>
  <si>
    <t>2019-01-08</t>
  </si>
  <si>
    <t>2018-08-28</t>
  </si>
  <si>
    <t>2018-08-17</t>
  </si>
  <si>
    <t>2018-06-08</t>
  </si>
  <si>
    <t>2018-12-12</t>
  </si>
  <si>
    <t>2018-09-21</t>
  </si>
  <si>
    <t>2019-05-22</t>
  </si>
  <si>
    <t>2018-03-23</t>
  </si>
  <si>
    <t>2018-10-12</t>
  </si>
  <si>
    <t>2018-10-16</t>
  </si>
  <si>
    <t>2018-12-30</t>
  </si>
  <si>
    <t>2019-04-15</t>
  </si>
  <si>
    <t>2019-05-14</t>
  </si>
  <si>
    <t>2018-06-29</t>
  </si>
  <si>
    <t>2019-06-01</t>
  </si>
  <si>
    <t>2019-02-04</t>
  </si>
  <si>
    <t>2018-10-20</t>
  </si>
  <si>
    <t>2019-05-06</t>
  </si>
  <si>
    <t>2019-08-14</t>
  </si>
  <si>
    <t>2019-02-05</t>
  </si>
  <si>
    <t>2019-07-10</t>
  </si>
  <si>
    <t>2018-12-06</t>
  </si>
  <si>
    <t>2018-07-12</t>
  </si>
  <si>
    <t>2019-02-06</t>
  </si>
  <si>
    <t>2018-11-14</t>
  </si>
  <si>
    <t>2018-08-15</t>
  </si>
  <si>
    <t>2019-05-13</t>
  </si>
  <si>
    <t>2018-09-28</t>
  </si>
  <si>
    <t>2019-02-11</t>
  </si>
  <si>
    <t>2018-12-10</t>
  </si>
  <si>
    <t>2018-10-10</t>
  </si>
  <si>
    <t>2019-04-02</t>
  </si>
  <si>
    <t>2019-11-15</t>
  </si>
  <si>
    <t>2018-10-28</t>
  </si>
  <si>
    <t>2019-02-07</t>
  </si>
  <si>
    <t>2019-05-16</t>
  </si>
  <si>
    <t>2018-08-08</t>
  </si>
  <si>
    <t>2018-11-15</t>
  </si>
  <si>
    <t>2019-02-15</t>
  </si>
  <si>
    <t>10/23/2017</t>
  </si>
  <si>
    <t>03/09/2018</t>
  </si>
  <si>
    <t>10/25/2017</t>
  </si>
  <si>
    <t>03/02/2019</t>
  </si>
  <si>
    <t>06/16/2019</t>
  </si>
  <si>
    <t>03/08/2018</t>
  </si>
  <si>
    <t>04/20/2019</t>
  </si>
  <si>
    <t>08/20/2017</t>
  </si>
  <si>
    <t>12/05/2017</t>
  </si>
  <si>
    <t>02/24/2019</t>
  </si>
  <si>
    <t>07/13/2019</t>
  </si>
  <si>
    <t>07/07/2019</t>
  </si>
  <si>
    <t>Salcedo, Luciris</t>
  </si>
  <si>
    <t>Dong, Sean</t>
  </si>
  <si>
    <t>Then, Laura</t>
  </si>
  <si>
    <t>Vazquez, Angel</t>
  </si>
  <si>
    <t>Smith, Jeanne</t>
  </si>
  <si>
    <t>Villanueva, Anthony</t>
  </si>
  <si>
    <t>Moss, Julieta</t>
  </si>
  <si>
    <t>Figueroa, Sylvia</t>
  </si>
  <si>
    <t>Vujica, Visnja</t>
  </si>
  <si>
    <t>Landry-Reyes, Jane</t>
  </si>
  <si>
    <t>Tejada, Dennis</t>
  </si>
  <si>
    <t>Vaz, Marie</t>
  </si>
  <si>
    <t>Sanchez, Ingrid</t>
  </si>
  <si>
    <t>Savinon, Clara</t>
  </si>
  <si>
    <t>St. Marie, Monique</t>
  </si>
  <si>
    <t>Newton, Jack</t>
  </si>
  <si>
    <t>Morace, Jana</t>
  </si>
  <si>
    <t>Arboleda, Paula</t>
  </si>
  <si>
    <t>Sanchez, Dennis</t>
  </si>
  <si>
    <t>Castillo, Evette</t>
  </si>
  <si>
    <t>Bowman, Cathy</t>
  </si>
  <si>
    <t>Deolarte, Stephanie</t>
  </si>
  <si>
    <t>Agarwala, Shelly</t>
  </si>
  <si>
    <t>Hernandez, Jonathan</t>
  </si>
  <si>
    <t>Khanam, Aysha</t>
  </si>
  <si>
    <t>Diaz, Karla</t>
  </si>
  <si>
    <t>Stone, Gary</t>
  </si>
  <si>
    <t>Espinal, Wendy</t>
  </si>
  <si>
    <t>05/25/2018</t>
  </si>
  <si>
    <t>04/28/2019</t>
  </si>
  <si>
    <t>11/06/2018</t>
  </si>
  <si>
    <t>Ventura, Alejandro</t>
  </si>
  <si>
    <t>DHCI Form</t>
  </si>
  <si>
    <t>Active CA/SNAP</t>
  </si>
  <si>
    <t>Encarnacion-Badru, Bea</t>
  </si>
  <si>
    <t>Fernandez, Jennifer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</si>
</sst>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540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HYPERLINK("https://lsnyc.legalserver.org/matter/dynamic-profile/view/1892128","19-1892128")</f>
        <v>0</v>
      </c>
      <c r="B2" t="s">
        <v>50</v>
      </c>
      <c r="C2" t="s">
        <v>52</v>
      </c>
      <c r="D2" t="s">
        <v>163</v>
      </c>
      <c r="E2" t="s">
        <v>165</v>
      </c>
      <c r="G2" t="s">
        <v>410</v>
      </c>
      <c r="H2" t="s">
        <v>767</v>
      </c>
      <c r="I2" t="s">
        <v>1107</v>
      </c>
      <c r="J2" t="s">
        <v>1474</v>
      </c>
      <c r="K2" t="s">
        <v>1641</v>
      </c>
      <c r="L2">
        <v>10460</v>
      </c>
      <c r="M2" t="s">
        <v>1670</v>
      </c>
      <c r="P2" t="s">
        <v>1673</v>
      </c>
      <c r="Q2" t="s">
        <v>1936</v>
      </c>
      <c r="R2" t="s">
        <v>1958</v>
      </c>
      <c r="T2" t="s">
        <v>1671</v>
      </c>
      <c r="V2" t="s">
        <v>1972</v>
      </c>
      <c r="W2" t="s">
        <v>1983</v>
      </c>
      <c r="X2" t="s">
        <v>283</v>
      </c>
      <c r="Y2">
        <v>902</v>
      </c>
      <c r="Z2" t="s">
        <v>2006</v>
      </c>
      <c r="AA2" t="s">
        <v>2011</v>
      </c>
      <c r="AC2" t="s">
        <v>2045</v>
      </c>
      <c r="AD2" t="s">
        <v>2471</v>
      </c>
      <c r="AE2">
        <v>0</v>
      </c>
      <c r="AF2" t="s">
        <v>2902</v>
      </c>
      <c r="AH2">
        <v>2</v>
      </c>
      <c r="AJ2">
        <v>1</v>
      </c>
      <c r="AK2">
        <v>2</v>
      </c>
      <c r="AL2">
        <v>192.22</v>
      </c>
      <c r="AO2" t="s">
        <v>2926</v>
      </c>
      <c r="AP2">
        <v>41000</v>
      </c>
      <c r="AV2">
        <v>31.25</v>
      </c>
      <c r="AW2" t="s">
        <v>397</v>
      </c>
      <c r="AX2" t="s">
        <v>3041</v>
      </c>
    </row>
    <row r="3" spans="1:50">
      <c r="A3" s="1">
        <f>HYPERLINK("https://lsnyc.legalserver.org/matter/dynamic-profile/view/1875223","18-1875223")</f>
        <v>0</v>
      </c>
      <c r="B3" t="s">
        <v>51</v>
      </c>
      <c r="C3" t="s">
        <v>53</v>
      </c>
      <c r="D3" t="s">
        <v>164</v>
      </c>
      <c r="E3" t="s">
        <v>166</v>
      </c>
      <c r="F3" t="s">
        <v>349</v>
      </c>
      <c r="G3" t="s">
        <v>411</v>
      </c>
      <c r="H3" t="s">
        <v>768</v>
      </c>
      <c r="I3" t="s">
        <v>1108</v>
      </c>
      <c r="K3" t="s">
        <v>1642</v>
      </c>
      <c r="L3">
        <v>11364</v>
      </c>
      <c r="M3" t="s">
        <v>1670</v>
      </c>
      <c r="P3" t="s">
        <v>1674</v>
      </c>
      <c r="Q3" t="s">
        <v>1936</v>
      </c>
      <c r="R3" t="s">
        <v>1958</v>
      </c>
      <c r="S3" t="s">
        <v>1965</v>
      </c>
      <c r="T3" t="s">
        <v>1671</v>
      </c>
      <c r="V3" t="s">
        <v>1972</v>
      </c>
      <c r="W3" t="s">
        <v>1984</v>
      </c>
      <c r="X3" t="s">
        <v>166</v>
      </c>
      <c r="Y3">
        <v>3400</v>
      </c>
      <c r="Z3" t="s">
        <v>2007</v>
      </c>
      <c r="AA3" t="s">
        <v>2012</v>
      </c>
      <c r="AB3" t="s">
        <v>2029</v>
      </c>
      <c r="AC3" t="s">
        <v>2046</v>
      </c>
      <c r="AD3" t="s">
        <v>2472</v>
      </c>
      <c r="AE3">
        <v>1</v>
      </c>
      <c r="AF3" t="s">
        <v>2903</v>
      </c>
      <c r="AG3" t="s">
        <v>1754</v>
      </c>
      <c r="AH3">
        <v>1</v>
      </c>
      <c r="AJ3">
        <v>1</v>
      </c>
      <c r="AK3">
        <v>4</v>
      </c>
      <c r="AL3">
        <v>30.59</v>
      </c>
      <c r="AM3" t="s">
        <v>2923</v>
      </c>
      <c r="AN3" t="s">
        <v>2924</v>
      </c>
      <c r="AO3" t="s">
        <v>2926</v>
      </c>
      <c r="AP3">
        <v>9000</v>
      </c>
      <c r="AV3">
        <v>1.3</v>
      </c>
      <c r="AW3" t="s">
        <v>349</v>
      </c>
      <c r="AX3" t="s">
        <v>53</v>
      </c>
    </row>
    <row r="4" spans="1:50">
      <c r="A4" s="1">
        <f>HYPERLINK("https://lsnyc.legalserver.org/matter/dynamic-profile/view/1879852","18-1879852")</f>
        <v>0</v>
      </c>
      <c r="B4" t="s">
        <v>50</v>
      </c>
      <c r="C4" t="s">
        <v>54</v>
      </c>
      <c r="D4" t="s">
        <v>164</v>
      </c>
      <c r="E4" t="s">
        <v>167</v>
      </c>
      <c r="F4" t="s">
        <v>210</v>
      </c>
      <c r="G4" t="s">
        <v>412</v>
      </c>
      <c r="H4" t="s">
        <v>769</v>
      </c>
      <c r="I4" t="s">
        <v>1109</v>
      </c>
      <c r="J4" t="s">
        <v>1475</v>
      </c>
      <c r="K4" t="s">
        <v>1643</v>
      </c>
      <c r="L4">
        <v>10034</v>
      </c>
      <c r="M4" t="s">
        <v>1670</v>
      </c>
      <c r="Q4" t="s">
        <v>1937</v>
      </c>
      <c r="R4" t="s">
        <v>1959</v>
      </c>
      <c r="S4" t="s">
        <v>1966</v>
      </c>
      <c r="T4" t="s">
        <v>1671</v>
      </c>
      <c r="V4" t="s">
        <v>1972</v>
      </c>
      <c r="X4" t="s">
        <v>167</v>
      </c>
      <c r="Y4">
        <v>1400</v>
      </c>
      <c r="Z4" t="s">
        <v>2008</v>
      </c>
      <c r="AA4" t="s">
        <v>2013</v>
      </c>
      <c r="AB4" t="s">
        <v>2030</v>
      </c>
      <c r="AC4" t="s">
        <v>2047</v>
      </c>
      <c r="AD4" t="s">
        <v>2473</v>
      </c>
      <c r="AE4">
        <v>30</v>
      </c>
      <c r="AF4" t="s">
        <v>2902</v>
      </c>
      <c r="AG4" t="s">
        <v>2915</v>
      </c>
      <c r="AH4">
        <v>6</v>
      </c>
      <c r="AJ4">
        <v>2</v>
      </c>
      <c r="AK4">
        <v>1</v>
      </c>
      <c r="AL4">
        <v>60.99</v>
      </c>
      <c r="AO4" t="s">
        <v>2927</v>
      </c>
      <c r="AP4">
        <v>12673.2</v>
      </c>
      <c r="AV4">
        <v>13.5</v>
      </c>
      <c r="AW4" t="s">
        <v>3029</v>
      </c>
      <c r="AX4" t="s">
        <v>3042</v>
      </c>
    </row>
    <row r="5" spans="1:50">
      <c r="A5" s="1">
        <f>HYPERLINK("https://lsnyc.legalserver.org/matter/dynamic-profile/view/1870843","18-1870843")</f>
        <v>0</v>
      </c>
      <c r="B5" t="s">
        <v>50</v>
      </c>
      <c r="C5" t="s">
        <v>55</v>
      </c>
      <c r="D5" t="s">
        <v>164</v>
      </c>
      <c r="E5" t="s">
        <v>168</v>
      </c>
      <c r="F5" t="s">
        <v>318</v>
      </c>
      <c r="G5" t="s">
        <v>413</v>
      </c>
      <c r="H5" t="s">
        <v>770</v>
      </c>
      <c r="I5" t="s">
        <v>1110</v>
      </c>
      <c r="J5" t="s">
        <v>1476</v>
      </c>
      <c r="K5" t="s">
        <v>1644</v>
      </c>
      <c r="L5">
        <v>11212</v>
      </c>
      <c r="M5" t="s">
        <v>1670</v>
      </c>
      <c r="P5" t="s">
        <v>1675</v>
      </c>
      <c r="Q5" t="s">
        <v>1675</v>
      </c>
      <c r="R5" t="s">
        <v>1958</v>
      </c>
      <c r="S5" t="s">
        <v>1965</v>
      </c>
      <c r="T5" t="s">
        <v>1671</v>
      </c>
      <c r="V5" t="s">
        <v>1972</v>
      </c>
      <c r="X5" t="s">
        <v>1989</v>
      </c>
      <c r="Y5">
        <v>0</v>
      </c>
      <c r="Z5" t="s">
        <v>2009</v>
      </c>
      <c r="AB5" t="s">
        <v>2029</v>
      </c>
      <c r="AC5" t="s">
        <v>2048</v>
      </c>
      <c r="AD5" t="s">
        <v>2474</v>
      </c>
      <c r="AE5">
        <v>4</v>
      </c>
      <c r="AH5">
        <v>0</v>
      </c>
      <c r="AJ5">
        <v>2</v>
      </c>
      <c r="AK5">
        <v>4</v>
      </c>
      <c r="AL5">
        <v>0</v>
      </c>
      <c r="AO5" t="s">
        <v>2927</v>
      </c>
      <c r="AP5">
        <v>0</v>
      </c>
      <c r="AV5">
        <v>1.75</v>
      </c>
      <c r="AW5" t="s">
        <v>280</v>
      </c>
      <c r="AX5" t="s">
        <v>3043</v>
      </c>
    </row>
    <row r="6" spans="1:50">
      <c r="A6" s="1">
        <f>HYPERLINK("https://lsnyc.legalserver.org/matter/dynamic-profile/view/1873749","18-1873749")</f>
        <v>0</v>
      </c>
      <c r="B6" t="s">
        <v>50</v>
      </c>
      <c r="C6" t="s">
        <v>56</v>
      </c>
      <c r="D6" t="s">
        <v>163</v>
      </c>
      <c r="E6" t="s">
        <v>169</v>
      </c>
      <c r="G6" t="s">
        <v>414</v>
      </c>
      <c r="H6" t="s">
        <v>771</v>
      </c>
      <c r="I6" t="s">
        <v>1111</v>
      </c>
      <c r="J6" t="s">
        <v>1477</v>
      </c>
      <c r="K6" t="s">
        <v>1645</v>
      </c>
      <c r="L6">
        <v>11691</v>
      </c>
      <c r="M6" t="s">
        <v>1670</v>
      </c>
      <c r="P6" t="s">
        <v>1676</v>
      </c>
      <c r="Q6" t="s">
        <v>1936</v>
      </c>
      <c r="R6" t="s">
        <v>1960</v>
      </c>
      <c r="T6" t="s">
        <v>1671</v>
      </c>
      <c r="V6" t="s">
        <v>1972</v>
      </c>
      <c r="W6" t="s">
        <v>1985</v>
      </c>
      <c r="X6" t="s">
        <v>1990</v>
      </c>
      <c r="Y6">
        <v>1956</v>
      </c>
      <c r="Z6" t="s">
        <v>2007</v>
      </c>
      <c r="AA6" t="s">
        <v>2014</v>
      </c>
      <c r="AC6" t="s">
        <v>2049</v>
      </c>
      <c r="AD6" t="s">
        <v>2475</v>
      </c>
      <c r="AE6">
        <v>26</v>
      </c>
      <c r="AF6" t="s">
        <v>2902</v>
      </c>
      <c r="AG6" t="s">
        <v>2916</v>
      </c>
      <c r="AH6">
        <v>3</v>
      </c>
      <c r="AJ6">
        <v>1</v>
      </c>
      <c r="AK6">
        <v>2</v>
      </c>
      <c r="AL6">
        <v>14.51</v>
      </c>
      <c r="AN6" t="s">
        <v>2925</v>
      </c>
      <c r="AO6" t="s">
        <v>2926</v>
      </c>
      <c r="AP6">
        <v>3016</v>
      </c>
      <c r="AR6" t="s">
        <v>2976</v>
      </c>
      <c r="AS6" t="s">
        <v>2982</v>
      </c>
      <c r="AT6" t="s">
        <v>2992</v>
      </c>
      <c r="AU6" t="s">
        <v>2995</v>
      </c>
      <c r="AV6">
        <v>19.7</v>
      </c>
      <c r="AW6" t="s">
        <v>200</v>
      </c>
      <c r="AX6" t="s">
        <v>3044</v>
      </c>
    </row>
    <row r="7" spans="1:50">
      <c r="A7" s="1">
        <f>HYPERLINK("https://lsnyc.legalserver.org/matter/dynamic-profile/view/1890039","19-1890039")</f>
        <v>0</v>
      </c>
      <c r="B7" t="s">
        <v>50</v>
      </c>
      <c r="C7" t="s">
        <v>57</v>
      </c>
      <c r="D7" t="s">
        <v>163</v>
      </c>
      <c r="E7" t="s">
        <v>170</v>
      </c>
      <c r="G7" t="s">
        <v>415</v>
      </c>
      <c r="H7" t="s">
        <v>772</v>
      </c>
      <c r="I7" t="s">
        <v>1112</v>
      </c>
      <c r="J7" t="s">
        <v>1475</v>
      </c>
      <c r="K7" t="s">
        <v>1641</v>
      </c>
      <c r="L7">
        <v>10453</v>
      </c>
      <c r="M7" t="s">
        <v>1670</v>
      </c>
      <c r="Q7" t="s">
        <v>1938</v>
      </c>
      <c r="R7" t="s">
        <v>1961</v>
      </c>
      <c r="T7" t="s">
        <v>1670</v>
      </c>
      <c r="V7" t="s">
        <v>1972</v>
      </c>
      <c r="X7" t="s">
        <v>392</v>
      </c>
      <c r="Y7">
        <v>880.27</v>
      </c>
      <c r="Z7" t="s">
        <v>2006</v>
      </c>
      <c r="AA7" t="s">
        <v>2015</v>
      </c>
      <c r="AC7" t="s">
        <v>2050</v>
      </c>
      <c r="AD7" t="s">
        <v>2476</v>
      </c>
      <c r="AE7">
        <v>170</v>
      </c>
      <c r="AF7" t="s">
        <v>2902</v>
      </c>
      <c r="AG7" t="s">
        <v>1754</v>
      </c>
      <c r="AH7">
        <v>20</v>
      </c>
      <c r="AJ7">
        <v>2</v>
      </c>
      <c r="AK7">
        <v>4</v>
      </c>
      <c r="AL7">
        <v>101.93</v>
      </c>
      <c r="AO7" t="s">
        <v>2926</v>
      </c>
      <c r="AP7">
        <v>34392</v>
      </c>
      <c r="AV7">
        <v>0</v>
      </c>
      <c r="AX7" t="s">
        <v>3045</v>
      </c>
    </row>
    <row r="8" spans="1:50">
      <c r="A8" s="1">
        <f>HYPERLINK("https://lsnyc.legalserver.org/matter/dynamic-profile/view/1890024","19-1890024")</f>
        <v>0</v>
      </c>
      <c r="B8" t="s">
        <v>50</v>
      </c>
      <c r="C8" t="s">
        <v>57</v>
      </c>
      <c r="D8" t="s">
        <v>163</v>
      </c>
      <c r="E8" t="s">
        <v>170</v>
      </c>
      <c r="G8" t="s">
        <v>415</v>
      </c>
      <c r="H8" t="s">
        <v>772</v>
      </c>
      <c r="I8" t="s">
        <v>1112</v>
      </c>
      <c r="J8" t="s">
        <v>1475</v>
      </c>
      <c r="K8" t="s">
        <v>1641</v>
      </c>
      <c r="L8">
        <v>10453</v>
      </c>
      <c r="M8" t="s">
        <v>1670</v>
      </c>
      <c r="P8" t="s">
        <v>1677</v>
      </c>
      <c r="Q8" t="s">
        <v>1939</v>
      </c>
      <c r="R8" t="s">
        <v>1960</v>
      </c>
      <c r="T8" t="s">
        <v>1670</v>
      </c>
      <c r="V8" t="s">
        <v>1972</v>
      </c>
      <c r="X8" t="s">
        <v>283</v>
      </c>
      <c r="Y8">
        <v>880.27</v>
      </c>
      <c r="Z8" t="s">
        <v>2006</v>
      </c>
      <c r="AA8" t="s">
        <v>2016</v>
      </c>
      <c r="AC8" t="s">
        <v>2050</v>
      </c>
      <c r="AD8" t="s">
        <v>2476</v>
      </c>
      <c r="AE8">
        <v>170</v>
      </c>
      <c r="AF8" t="s">
        <v>2902</v>
      </c>
      <c r="AG8" t="s">
        <v>1754</v>
      </c>
      <c r="AH8">
        <v>20</v>
      </c>
      <c r="AJ8">
        <v>2</v>
      </c>
      <c r="AK8">
        <v>4</v>
      </c>
      <c r="AL8">
        <v>101.93</v>
      </c>
      <c r="AO8" t="s">
        <v>2926</v>
      </c>
      <c r="AP8">
        <v>34392</v>
      </c>
      <c r="AV8">
        <v>0</v>
      </c>
      <c r="AX8" t="s">
        <v>3045</v>
      </c>
    </row>
    <row r="9" spans="1:50">
      <c r="A9" s="1">
        <f>HYPERLINK("https://lsnyc.legalserver.org/matter/dynamic-profile/view/1899117","19-1899117")</f>
        <v>0</v>
      </c>
      <c r="B9" t="s">
        <v>50</v>
      </c>
      <c r="C9" t="s">
        <v>58</v>
      </c>
      <c r="D9" t="s">
        <v>163</v>
      </c>
      <c r="E9" t="s">
        <v>171</v>
      </c>
      <c r="G9" t="s">
        <v>416</v>
      </c>
      <c r="H9" t="s">
        <v>773</v>
      </c>
      <c r="I9" t="s">
        <v>1113</v>
      </c>
      <c r="J9" t="s">
        <v>1475</v>
      </c>
      <c r="K9" t="s">
        <v>1641</v>
      </c>
      <c r="L9">
        <v>10452</v>
      </c>
      <c r="M9" t="s">
        <v>1670</v>
      </c>
      <c r="Q9" t="s">
        <v>1938</v>
      </c>
      <c r="R9" t="s">
        <v>1962</v>
      </c>
      <c r="T9" t="s">
        <v>1670</v>
      </c>
      <c r="V9" t="s">
        <v>1972</v>
      </c>
      <c r="X9" t="s">
        <v>293</v>
      </c>
      <c r="Y9">
        <v>1500</v>
      </c>
      <c r="Z9" t="s">
        <v>2006</v>
      </c>
      <c r="AA9" t="s">
        <v>2016</v>
      </c>
      <c r="AC9" t="s">
        <v>2051</v>
      </c>
      <c r="AD9" t="s">
        <v>2477</v>
      </c>
      <c r="AE9">
        <v>41</v>
      </c>
      <c r="AF9" t="s">
        <v>2903</v>
      </c>
      <c r="AG9" t="s">
        <v>1754</v>
      </c>
      <c r="AH9">
        <v>4</v>
      </c>
      <c r="AJ9">
        <v>2</v>
      </c>
      <c r="AK9">
        <v>2</v>
      </c>
      <c r="AL9">
        <v>77.67</v>
      </c>
      <c r="AO9" t="s">
        <v>2927</v>
      </c>
      <c r="AP9">
        <v>20000</v>
      </c>
      <c r="AV9">
        <v>0</v>
      </c>
      <c r="AX9" t="s">
        <v>3046</v>
      </c>
    </row>
    <row r="10" spans="1:50">
      <c r="A10" s="1">
        <f>HYPERLINK("https://lsnyc.legalserver.org/matter/dynamic-profile/view/1883419","18-1883419")</f>
        <v>0</v>
      </c>
      <c r="B10" t="s">
        <v>50</v>
      </c>
      <c r="C10" t="s">
        <v>58</v>
      </c>
      <c r="D10" t="s">
        <v>163</v>
      </c>
      <c r="E10" t="s">
        <v>172</v>
      </c>
      <c r="G10" t="s">
        <v>416</v>
      </c>
      <c r="H10" t="s">
        <v>773</v>
      </c>
      <c r="I10" t="s">
        <v>1113</v>
      </c>
      <c r="J10" t="s">
        <v>1475</v>
      </c>
      <c r="K10" t="s">
        <v>1641</v>
      </c>
      <c r="L10">
        <v>10452</v>
      </c>
      <c r="M10" t="s">
        <v>1670</v>
      </c>
      <c r="P10" t="s">
        <v>1678</v>
      </c>
      <c r="Q10" t="s">
        <v>1939</v>
      </c>
      <c r="R10" t="s">
        <v>1960</v>
      </c>
      <c r="T10" t="s">
        <v>1670</v>
      </c>
      <c r="V10" t="s">
        <v>1972</v>
      </c>
      <c r="X10" t="s">
        <v>359</v>
      </c>
      <c r="Y10">
        <v>1500</v>
      </c>
      <c r="Z10" t="s">
        <v>2006</v>
      </c>
      <c r="AA10" t="s">
        <v>2016</v>
      </c>
      <c r="AC10" t="s">
        <v>2051</v>
      </c>
      <c r="AD10" t="s">
        <v>2477</v>
      </c>
      <c r="AE10">
        <v>41</v>
      </c>
      <c r="AF10" t="s">
        <v>2903</v>
      </c>
      <c r="AG10" t="s">
        <v>1754</v>
      </c>
      <c r="AH10">
        <v>4</v>
      </c>
      <c r="AJ10">
        <v>2</v>
      </c>
      <c r="AK10">
        <v>2</v>
      </c>
      <c r="AL10">
        <v>79.68000000000001</v>
      </c>
      <c r="AO10" t="s">
        <v>2927</v>
      </c>
      <c r="AP10">
        <v>20000</v>
      </c>
      <c r="AV10">
        <v>0</v>
      </c>
      <c r="AX10" t="s">
        <v>3046</v>
      </c>
    </row>
    <row r="11" spans="1:50">
      <c r="A11" s="1">
        <f>HYPERLINK("https://lsnyc.legalserver.org/matter/dynamic-profile/view/1876678","18-1876678")</f>
        <v>0</v>
      </c>
      <c r="B11" t="s">
        <v>50</v>
      </c>
      <c r="C11" t="s">
        <v>59</v>
      </c>
      <c r="D11" t="s">
        <v>163</v>
      </c>
      <c r="E11" t="s">
        <v>173</v>
      </c>
      <c r="G11" t="s">
        <v>417</v>
      </c>
      <c r="H11" t="s">
        <v>774</v>
      </c>
      <c r="I11" t="s">
        <v>1114</v>
      </c>
      <c r="J11" t="s">
        <v>1478</v>
      </c>
      <c r="K11" t="s">
        <v>1641</v>
      </c>
      <c r="L11">
        <v>10456</v>
      </c>
      <c r="M11" t="s">
        <v>1670</v>
      </c>
      <c r="P11" t="s">
        <v>1679</v>
      </c>
      <c r="Q11" t="s">
        <v>1938</v>
      </c>
      <c r="R11" t="s">
        <v>1959</v>
      </c>
      <c r="T11" t="s">
        <v>1670</v>
      </c>
      <c r="V11" t="s">
        <v>1972</v>
      </c>
      <c r="X11" t="s">
        <v>173</v>
      </c>
      <c r="Y11">
        <v>1227</v>
      </c>
      <c r="Z11" t="s">
        <v>2006</v>
      </c>
      <c r="AA11" t="s">
        <v>2015</v>
      </c>
      <c r="AC11" t="s">
        <v>2052</v>
      </c>
      <c r="AD11" t="s">
        <v>2478</v>
      </c>
      <c r="AE11">
        <v>131</v>
      </c>
      <c r="AF11" t="s">
        <v>2902</v>
      </c>
      <c r="AG11" t="s">
        <v>2915</v>
      </c>
      <c r="AH11">
        <v>9</v>
      </c>
      <c r="AJ11">
        <v>2</v>
      </c>
      <c r="AK11">
        <v>3</v>
      </c>
      <c r="AL11">
        <v>42.18</v>
      </c>
      <c r="AO11" t="s">
        <v>2927</v>
      </c>
      <c r="AP11">
        <v>12408</v>
      </c>
      <c r="AV11">
        <v>0</v>
      </c>
      <c r="AX11" t="s">
        <v>3047</v>
      </c>
    </row>
    <row r="12" spans="1:50">
      <c r="A12" s="1">
        <f>HYPERLINK("https://lsnyc.legalserver.org/matter/dynamic-profile/view/1886112","18-1886112")</f>
        <v>0</v>
      </c>
      <c r="B12" t="s">
        <v>50</v>
      </c>
      <c r="C12" t="s">
        <v>59</v>
      </c>
      <c r="D12" t="s">
        <v>163</v>
      </c>
      <c r="E12" t="s">
        <v>174</v>
      </c>
      <c r="G12" t="s">
        <v>417</v>
      </c>
      <c r="H12" t="s">
        <v>774</v>
      </c>
      <c r="I12" t="s">
        <v>1114</v>
      </c>
      <c r="J12" t="s">
        <v>1478</v>
      </c>
      <c r="K12" t="s">
        <v>1641</v>
      </c>
      <c r="L12">
        <v>10456</v>
      </c>
      <c r="M12" t="s">
        <v>1670</v>
      </c>
      <c r="P12" t="s">
        <v>1680</v>
      </c>
      <c r="Q12" t="s">
        <v>1938</v>
      </c>
      <c r="R12" t="s">
        <v>1961</v>
      </c>
      <c r="T12" t="s">
        <v>1670</v>
      </c>
      <c r="V12" t="s">
        <v>1972</v>
      </c>
      <c r="X12" t="s">
        <v>359</v>
      </c>
      <c r="Y12">
        <v>1227</v>
      </c>
      <c r="Z12" t="s">
        <v>2006</v>
      </c>
      <c r="AA12" t="s">
        <v>2015</v>
      </c>
      <c r="AC12" t="s">
        <v>2052</v>
      </c>
      <c r="AD12" t="s">
        <v>2478</v>
      </c>
      <c r="AE12">
        <v>131</v>
      </c>
      <c r="AF12" t="s">
        <v>2902</v>
      </c>
      <c r="AG12" t="s">
        <v>2915</v>
      </c>
      <c r="AH12">
        <v>9</v>
      </c>
      <c r="AJ12">
        <v>2</v>
      </c>
      <c r="AK12">
        <v>3</v>
      </c>
      <c r="AL12">
        <v>42.18</v>
      </c>
      <c r="AO12" t="s">
        <v>2927</v>
      </c>
      <c r="AP12">
        <v>12408</v>
      </c>
      <c r="AV12">
        <v>0</v>
      </c>
      <c r="AX12" t="s">
        <v>3047</v>
      </c>
    </row>
    <row r="13" spans="1:50">
      <c r="A13" s="1">
        <f>HYPERLINK("https://lsnyc.legalserver.org/matter/dynamic-profile/view/1876670","18-1876670")</f>
        <v>0</v>
      </c>
      <c r="B13" t="s">
        <v>50</v>
      </c>
      <c r="C13" t="s">
        <v>59</v>
      </c>
      <c r="D13" t="s">
        <v>163</v>
      </c>
      <c r="E13" t="s">
        <v>173</v>
      </c>
      <c r="G13" t="s">
        <v>417</v>
      </c>
      <c r="H13" t="s">
        <v>774</v>
      </c>
      <c r="I13" t="s">
        <v>1114</v>
      </c>
      <c r="J13" t="s">
        <v>1478</v>
      </c>
      <c r="K13" t="s">
        <v>1641</v>
      </c>
      <c r="L13">
        <v>10456</v>
      </c>
      <c r="M13" t="s">
        <v>1670</v>
      </c>
      <c r="P13" t="s">
        <v>1681</v>
      </c>
      <c r="Q13" t="s">
        <v>1939</v>
      </c>
      <c r="R13" t="s">
        <v>1960</v>
      </c>
      <c r="T13" t="s">
        <v>1670</v>
      </c>
      <c r="V13" t="s">
        <v>1972</v>
      </c>
      <c r="X13" t="s">
        <v>173</v>
      </c>
      <c r="Y13">
        <v>1227</v>
      </c>
      <c r="Z13" t="s">
        <v>2006</v>
      </c>
      <c r="AA13" t="s">
        <v>2015</v>
      </c>
      <c r="AC13" t="s">
        <v>2052</v>
      </c>
      <c r="AD13" t="s">
        <v>2478</v>
      </c>
      <c r="AE13">
        <v>131</v>
      </c>
      <c r="AF13" t="s">
        <v>2902</v>
      </c>
      <c r="AG13" t="s">
        <v>2915</v>
      </c>
      <c r="AH13">
        <v>9</v>
      </c>
      <c r="AJ13">
        <v>2</v>
      </c>
      <c r="AK13">
        <v>3</v>
      </c>
      <c r="AL13">
        <v>42.18</v>
      </c>
      <c r="AO13" t="s">
        <v>2927</v>
      </c>
      <c r="AP13">
        <v>12408</v>
      </c>
      <c r="AV13">
        <v>0</v>
      </c>
      <c r="AX13" t="s">
        <v>3047</v>
      </c>
    </row>
    <row r="14" spans="1:50">
      <c r="A14" s="1">
        <f>HYPERLINK("https://lsnyc.legalserver.org/matter/dynamic-profile/view/1873213","18-1873213")</f>
        <v>0</v>
      </c>
      <c r="B14" t="s">
        <v>50</v>
      </c>
      <c r="C14" t="s">
        <v>60</v>
      </c>
      <c r="D14" t="s">
        <v>163</v>
      </c>
      <c r="E14" t="s">
        <v>175</v>
      </c>
      <c r="G14" t="s">
        <v>418</v>
      </c>
      <c r="H14" t="s">
        <v>775</v>
      </c>
      <c r="I14" t="s">
        <v>1115</v>
      </c>
      <c r="K14" t="s">
        <v>1645</v>
      </c>
      <c r="L14">
        <v>11691</v>
      </c>
      <c r="M14" t="s">
        <v>1670</v>
      </c>
      <c r="P14" t="s">
        <v>1682</v>
      </c>
      <c r="Q14" t="s">
        <v>1940</v>
      </c>
      <c r="R14" t="s">
        <v>1958</v>
      </c>
      <c r="T14" t="s">
        <v>1671</v>
      </c>
      <c r="V14" t="s">
        <v>1972</v>
      </c>
      <c r="W14" t="s">
        <v>1984</v>
      </c>
      <c r="X14" t="s">
        <v>1990</v>
      </c>
      <c r="Y14">
        <v>500</v>
      </c>
      <c r="Z14" t="s">
        <v>2007</v>
      </c>
      <c r="AA14" t="s">
        <v>2014</v>
      </c>
      <c r="AC14" t="s">
        <v>2053</v>
      </c>
      <c r="AD14" t="s">
        <v>2479</v>
      </c>
      <c r="AE14">
        <v>2</v>
      </c>
      <c r="AF14" t="s">
        <v>2903</v>
      </c>
      <c r="AG14" t="s">
        <v>1754</v>
      </c>
      <c r="AH14">
        <v>3</v>
      </c>
      <c r="AJ14">
        <v>2</v>
      </c>
      <c r="AK14">
        <v>1</v>
      </c>
      <c r="AL14">
        <v>86.62</v>
      </c>
      <c r="AN14" t="s">
        <v>2925</v>
      </c>
      <c r="AO14" t="s">
        <v>2926</v>
      </c>
      <c r="AP14">
        <v>18000</v>
      </c>
      <c r="AV14">
        <v>1.85</v>
      </c>
      <c r="AW14" t="s">
        <v>395</v>
      </c>
      <c r="AX14" t="s">
        <v>3044</v>
      </c>
    </row>
    <row r="15" spans="1:50">
      <c r="A15" s="1">
        <f>HYPERLINK("https://lsnyc.legalserver.org/matter/dynamic-profile/view/1890008","19-1890008")</f>
        <v>0</v>
      </c>
      <c r="B15" t="s">
        <v>50</v>
      </c>
      <c r="C15" t="s">
        <v>57</v>
      </c>
      <c r="D15" t="s">
        <v>163</v>
      </c>
      <c r="E15" t="s">
        <v>170</v>
      </c>
      <c r="G15" t="s">
        <v>419</v>
      </c>
      <c r="H15" t="s">
        <v>776</v>
      </c>
      <c r="I15" t="s">
        <v>1112</v>
      </c>
      <c r="J15" t="s">
        <v>1479</v>
      </c>
      <c r="K15" t="s">
        <v>1641</v>
      </c>
      <c r="L15">
        <v>10453</v>
      </c>
      <c r="M15" t="s">
        <v>1670</v>
      </c>
      <c r="Q15" t="s">
        <v>1675</v>
      </c>
      <c r="R15" t="s">
        <v>1958</v>
      </c>
      <c r="T15" t="s">
        <v>1670</v>
      </c>
      <c r="V15" t="s">
        <v>1972</v>
      </c>
      <c r="X15" t="s">
        <v>293</v>
      </c>
      <c r="Y15">
        <v>1091</v>
      </c>
      <c r="Z15" t="s">
        <v>2006</v>
      </c>
      <c r="AA15" t="s">
        <v>2015</v>
      </c>
      <c r="AC15" t="s">
        <v>2054</v>
      </c>
      <c r="AD15" t="s">
        <v>2480</v>
      </c>
      <c r="AE15">
        <v>167</v>
      </c>
      <c r="AF15" t="s">
        <v>2902</v>
      </c>
      <c r="AG15" t="s">
        <v>2917</v>
      </c>
      <c r="AH15">
        <v>12</v>
      </c>
      <c r="AJ15">
        <v>1</v>
      </c>
      <c r="AK15">
        <v>2</v>
      </c>
      <c r="AL15">
        <v>41.63</v>
      </c>
      <c r="AO15" t="s">
        <v>2927</v>
      </c>
      <c r="AP15">
        <v>8880</v>
      </c>
      <c r="AV15">
        <v>0</v>
      </c>
      <c r="AX15" t="s">
        <v>3046</v>
      </c>
    </row>
    <row r="16" spans="1:50">
      <c r="A16" s="1">
        <f>HYPERLINK("https://lsnyc.legalserver.org/matter/dynamic-profile/view/1890012","19-1890012")</f>
        <v>0</v>
      </c>
      <c r="B16" t="s">
        <v>50</v>
      </c>
      <c r="C16" t="s">
        <v>57</v>
      </c>
      <c r="D16" t="s">
        <v>163</v>
      </c>
      <c r="E16" t="s">
        <v>170</v>
      </c>
      <c r="G16" t="s">
        <v>419</v>
      </c>
      <c r="H16" t="s">
        <v>776</v>
      </c>
      <c r="I16" t="s">
        <v>1112</v>
      </c>
      <c r="J16" t="s">
        <v>1479</v>
      </c>
      <c r="K16" t="s">
        <v>1641</v>
      </c>
      <c r="L16">
        <v>10453</v>
      </c>
      <c r="M16" t="s">
        <v>1670</v>
      </c>
      <c r="Q16" t="s">
        <v>1938</v>
      </c>
      <c r="R16" t="s">
        <v>1961</v>
      </c>
      <c r="T16" t="s">
        <v>1670</v>
      </c>
      <c r="V16" t="s">
        <v>1972</v>
      </c>
      <c r="X16" t="s">
        <v>283</v>
      </c>
      <c r="Y16">
        <v>1091</v>
      </c>
      <c r="Z16" t="s">
        <v>2006</v>
      </c>
      <c r="AA16" t="s">
        <v>2015</v>
      </c>
      <c r="AC16" t="s">
        <v>2054</v>
      </c>
      <c r="AD16" t="s">
        <v>2480</v>
      </c>
      <c r="AE16">
        <v>167</v>
      </c>
      <c r="AF16" t="s">
        <v>2902</v>
      </c>
      <c r="AG16" t="s">
        <v>2917</v>
      </c>
      <c r="AH16">
        <v>12</v>
      </c>
      <c r="AJ16">
        <v>1</v>
      </c>
      <c r="AK16">
        <v>2</v>
      </c>
      <c r="AL16">
        <v>41.63</v>
      </c>
      <c r="AO16" t="s">
        <v>2927</v>
      </c>
      <c r="AP16">
        <v>8880</v>
      </c>
      <c r="AV16">
        <v>0</v>
      </c>
      <c r="AX16" t="s">
        <v>3046</v>
      </c>
    </row>
    <row r="17" spans="1:50">
      <c r="A17" s="1">
        <f>HYPERLINK("https://lsnyc.legalserver.org/matter/dynamic-profile/view/1884518","18-1884518")</f>
        <v>0</v>
      </c>
      <c r="B17" t="s">
        <v>50</v>
      </c>
      <c r="C17" t="s">
        <v>61</v>
      </c>
      <c r="D17" t="s">
        <v>163</v>
      </c>
      <c r="E17" t="s">
        <v>176</v>
      </c>
      <c r="G17" t="s">
        <v>420</v>
      </c>
      <c r="H17" t="s">
        <v>777</v>
      </c>
      <c r="I17" t="s">
        <v>1116</v>
      </c>
      <c r="K17" t="s">
        <v>1644</v>
      </c>
      <c r="L17">
        <v>11217</v>
      </c>
      <c r="M17" t="s">
        <v>1670</v>
      </c>
      <c r="P17" t="s">
        <v>1683</v>
      </c>
      <c r="Q17" t="s">
        <v>1936</v>
      </c>
      <c r="R17" t="s">
        <v>1960</v>
      </c>
      <c r="T17" t="s">
        <v>1671</v>
      </c>
      <c r="V17" t="s">
        <v>1972</v>
      </c>
      <c r="W17" t="s">
        <v>1984</v>
      </c>
      <c r="X17" t="s">
        <v>176</v>
      </c>
      <c r="Y17">
        <v>1104</v>
      </c>
      <c r="Z17" t="s">
        <v>2009</v>
      </c>
      <c r="AA17" t="s">
        <v>2017</v>
      </c>
      <c r="AC17" t="s">
        <v>2055</v>
      </c>
      <c r="AD17" t="s">
        <v>2481</v>
      </c>
      <c r="AE17">
        <v>303</v>
      </c>
      <c r="AF17" t="s">
        <v>2902</v>
      </c>
      <c r="AG17" t="s">
        <v>1754</v>
      </c>
      <c r="AH17">
        <v>1</v>
      </c>
      <c r="AJ17">
        <v>2</v>
      </c>
      <c r="AK17">
        <v>1</v>
      </c>
      <c r="AL17">
        <v>92.70999999999999</v>
      </c>
      <c r="AO17" t="s">
        <v>2926</v>
      </c>
      <c r="AP17">
        <v>19266</v>
      </c>
      <c r="AS17" t="s">
        <v>2983</v>
      </c>
      <c r="AT17" t="s">
        <v>2992</v>
      </c>
      <c r="AU17" t="s">
        <v>2996</v>
      </c>
      <c r="AV17">
        <v>17.2</v>
      </c>
      <c r="AW17" t="s">
        <v>274</v>
      </c>
      <c r="AX17" t="s">
        <v>158</v>
      </c>
    </row>
    <row r="18" spans="1:50">
      <c r="A18" s="1">
        <f>HYPERLINK("https://lsnyc.legalserver.org/matter/dynamic-profile/view/1894805","19-1894805")</f>
        <v>0</v>
      </c>
      <c r="B18" t="s">
        <v>50</v>
      </c>
      <c r="C18" t="s">
        <v>62</v>
      </c>
      <c r="D18" t="s">
        <v>163</v>
      </c>
      <c r="E18" t="s">
        <v>177</v>
      </c>
      <c r="G18" t="s">
        <v>421</v>
      </c>
      <c r="H18" t="s">
        <v>778</v>
      </c>
      <c r="I18" t="s">
        <v>1117</v>
      </c>
      <c r="J18" t="s">
        <v>1480</v>
      </c>
      <c r="K18" t="s">
        <v>1644</v>
      </c>
      <c r="L18">
        <v>11221</v>
      </c>
      <c r="M18" t="s">
        <v>1670</v>
      </c>
      <c r="R18" t="s">
        <v>1959</v>
      </c>
      <c r="T18" t="s">
        <v>1671</v>
      </c>
      <c r="V18" t="s">
        <v>1972</v>
      </c>
      <c r="X18" t="s">
        <v>195</v>
      </c>
      <c r="Y18">
        <v>0</v>
      </c>
      <c r="Z18" t="s">
        <v>2009</v>
      </c>
      <c r="AC18" t="s">
        <v>2056</v>
      </c>
      <c r="AD18" t="s">
        <v>2482</v>
      </c>
      <c r="AE18">
        <v>0</v>
      </c>
      <c r="AH18">
        <v>0</v>
      </c>
      <c r="AJ18">
        <v>1</v>
      </c>
      <c r="AK18">
        <v>1</v>
      </c>
      <c r="AL18">
        <v>39.74</v>
      </c>
      <c r="AO18" t="s">
        <v>2926</v>
      </c>
      <c r="AP18">
        <v>6720</v>
      </c>
      <c r="AV18">
        <v>17.7</v>
      </c>
      <c r="AW18" t="s">
        <v>346</v>
      </c>
      <c r="AX18" t="s">
        <v>158</v>
      </c>
    </row>
    <row r="19" spans="1:50">
      <c r="A19" s="1">
        <f>HYPERLINK("https://lsnyc.legalserver.org/matter/dynamic-profile/view/1884481","18-1884481")</f>
        <v>0</v>
      </c>
      <c r="B19" t="s">
        <v>50</v>
      </c>
      <c r="C19" t="s">
        <v>63</v>
      </c>
      <c r="D19" t="s">
        <v>163</v>
      </c>
      <c r="E19" t="s">
        <v>178</v>
      </c>
      <c r="G19" t="s">
        <v>422</v>
      </c>
      <c r="H19" t="s">
        <v>779</v>
      </c>
      <c r="I19" t="s">
        <v>1118</v>
      </c>
      <c r="J19" t="s">
        <v>1481</v>
      </c>
      <c r="K19" t="s">
        <v>1641</v>
      </c>
      <c r="L19">
        <v>10452</v>
      </c>
      <c r="M19" t="s">
        <v>1670</v>
      </c>
      <c r="Q19" t="s">
        <v>1941</v>
      </c>
      <c r="R19" t="s">
        <v>1958</v>
      </c>
      <c r="T19" t="s">
        <v>1671</v>
      </c>
      <c r="V19" t="s">
        <v>1972</v>
      </c>
      <c r="X19" t="s">
        <v>392</v>
      </c>
      <c r="Y19">
        <v>1300.04</v>
      </c>
      <c r="Z19" t="s">
        <v>2006</v>
      </c>
      <c r="AA19" t="s">
        <v>2015</v>
      </c>
      <c r="AC19" t="s">
        <v>2057</v>
      </c>
      <c r="AD19" t="s">
        <v>2483</v>
      </c>
      <c r="AE19">
        <v>0</v>
      </c>
      <c r="AF19" t="s">
        <v>2902</v>
      </c>
      <c r="AH19">
        <v>0</v>
      </c>
      <c r="AJ19">
        <v>2</v>
      </c>
      <c r="AK19">
        <v>2</v>
      </c>
      <c r="AL19">
        <v>119.52</v>
      </c>
      <c r="AO19" t="s">
        <v>2926</v>
      </c>
      <c r="AP19">
        <v>30000</v>
      </c>
      <c r="AV19">
        <v>2.3</v>
      </c>
      <c r="AW19" t="s">
        <v>376</v>
      </c>
      <c r="AX19" t="s">
        <v>128</v>
      </c>
    </row>
    <row r="20" spans="1:50">
      <c r="A20" s="1">
        <f>HYPERLINK("https://lsnyc.legalserver.org/matter/dynamic-profile/view/1902038","19-1902038")</f>
        <v>0</v>
      </c>
      <c r="B20" t="s">
        <v>50</v>
      </c>
      <c r="C20" t="s">
        <v>64</v>
      </c>
      <c r="D20" t="s">
        <v>163</v>
      </c>
      <c r="E20" t="s">
        <v>179</v>
      </c>
      <c r="G20" t="s">
        <v>423</v>
      </c>
      <c r="H20" t="s">
        <v>780</v>
      </c>
      <c r="I20" t="s">
        <v>1119</v>
      </c>
      <c r="J20" t="s">
        <v>1482</v>
      </c>
      <c r="K20" t="s">
        <v>1643</v>
      </c>
      <c r="L20">
        <v>10034</v>
      </c>
      <c r="M20" t="s">
        <v>1670</v>
      </c>
      <c r="Q20" t="s">
        <v>1675</v>
      </c>
      <c r="R20" t="s">
        <v>1962</v>
      </c>
      <c r="T20" t="s">
        <v>1671</v>
      </c>
      <c r="V20" t="s">
        <v>1972</v>
      </c>
      <c r="X20" t="s">
        <v>179</v>
      </c>
      <c r="Y20">
        <v>156</v>
      </c>
      <c r="Z20" t="s">
        <v>2008</v>
      </c>
      <c r="AA20" t="s">
        <v>2013</v>
      </c>
      <c r="AC20" t="s">
        <v>2058</v>
      </c>
      <c r="AD20" t="s">
        <v>2484</v>
      </c>
      <c r="AE20">
        <v>126</v>
      </c>
      <c r="AF20" t="s">
        <v>2902</v>
      </c>
      <c r="AG20" t="s">
        <v>1754</v>
      </c>
      <c r="AH20">
        <v>7</v>
      </c>
      <c r="AJ20">
        <v>2</v>
      </c>
      <c r="AK20">
        <v>1</v>
      </c>
      <c r="AL20">
        <v>157.69</v>
      </c>
      <c r="AO20" t="s">
        <v>2926</v>
      </c>
      <c r="AP20">
        <v>33636</v>
      </c>
      <c r="AV20">
        <v>9.800000000000001</v>
      </c>
      <c r="AW20" t="s">
        <v>289</v>
      </c>
      <c r="AX20" t="s">
        <v>3042</v>
      </c>
    </row>
    <row r="21" spans="1:50">
      <c r="A21" s="1">
        <f>HYPERLINK("https://lsnyc.legalserver.org/matter/dynamic-profile/view/1874688","18-1874688")</f>
        <v>0</v>
      </c>
      <c r="B21" t="s">
        <v>50</v>
      </c>
      <c r="C21" t="s">
        <v>54</v>
      </c>
      <c r="D21" t="s">
        <v>164</v>
      </c>
      <c r="E21" t="s">
        <v>180</v>
      </c>
      <c r="F21" t="s">
        <v>349</v>
      </c>
      <c r="G21" t="s">
        <v>424</v>
      </c>
      <c r="H21" t="s">
        <v>781</v>
      </c>
      <c r="I21" t="s">
        <v>1120</v>
      </c>
      <c r="J21" t="s">
        <v>1483</v>
      </c>
      <c r="K21" t="s">
        <v>1643</v>
      </c>
      <c r="L21">
        <v>10034</v>
      </c>
      <c r="M21" t="s">
        <v>1670</v>
      </c>
      <c r="Q21" t="s">
        <v>1675</v>
      </c>
      <c r="R21" t="s">
        <v>1958</v>
      </c>
      <c r="S21" t="s">
        <v>1965</v>
      </c>
      <c r="T21" t="s">
        <v>1671</v>
      </c>
      <c r="V21" t="s">
        <v>1972</v>
      </c>
      <c r="X21" t="s">
        <v>180</v>
      </c>
      <c r="Y21">
        <v>1200</v>
      </c>
      <c r="Z21" t="s">
        <v>2008</v>
      </c>
      <c r="AA21" t="s">
        <v>2013</v>
      </c>
      <c r="AB21" t="s">
        <v>2029</v>
      </c>
      <c r="AC21" t="s">
        <v>2059</v>
      </c>
      <c r="AD21" t="s">
        <v>2485</v>
      </c>
      <c r="AE21">
        <v>0</v>
      </c>
      <c r="AF21" t="s">
        <v>2902</v>
      </c>
      <c r="AG21" t="s">
        <v>1754</v>
      </c>
      <c r="AH21">
        <v>17</v>
      </c>
      <c r="AJ21">
        <v>3</v>
      </c>
      <c r="AK21">
        <v>2</v>
      </c>
      <c r="AL21">
        <v>168.79</v>
      </c>
      <c r="AO21" t="s">
        <v>2926</v>
      </c>
      <c r="AP21">
        <v>49657</v>
      </c>
      <c r="AV21">
        <v>0.5</v>
      </c>
      <c r="AW21" t="s">
        <v>349</v>
      </c>
      <c r="AX21" t="s">
        <v>3042</v>
      </c>
    </row>
    <row r="22" spans="1:50">
      <c r="A22" s="1">
        <f>HYPERLINK("https://lsnyc.legalserver.org/matter/dynamic-profile/view/1890374","19-1890374")</f>
        <v>0</v>
      </c>
      <c r="B22" t="s">
        <v>50</v>
      </c>
      <c r="C22" t="s">
        <v>65</v>
      </c>
      <c r="D22" t="s">
        <v>163</v>
      </c>
      <c r="E22" t="s">
        <v>181</v>
      </c>
      <c r="G22" t="s">
        <v>425</v>
      </c>
      <c r="H22" t="s">
        <v>782</v>
      </c>
      <c r="I22" t="s">
        <v>1121</v>
      </c>
      <c r="J22" t="s">
        <v>1484</v>
      </c>
      <c r="K22" t="s">
        <v>1644</v>
      </c>
      <c r="L22">
        <v>11226</v>
      </c>
      <c r="M22" t="s">
        <v>1670</v>
      </c>
      <c r="Q22" t="s">
        <v>1939</v>
      </c>
      <c r="R22" t="s">
        <v>1960</v>
      </c>
      <c r="T22" t="s">
        <v>1671</v>
      </c>
      <c r="V22" t="s">
        <v>1972</v>
      </c>
      <c r="X22" t="s">
        <v>320</v>
      </c>
      <c r="Y22">
        <v>778.9299999999999</v>
      </c>
      <c r="Z22" t="s">
        <v>2009</v>
      </c>
      <c r="AC22" t="s">
        <v>2060</v>
      </c>
      <c r="AD22" t="s">
        <v>2486</v>
      </c>
      <c r="AE22">
        <v>36</v>
      </c>
      <c r="AH22">
        <v>8</v>
      </c>
      <c r="AJ22">
        <v>4</v>
      </c>
      <c r="AK22">
        <v>1</v>
      </c>
      <c r="AL22">
        <v>193.32</v>
      </c>
      <c r="AO22" t="s">
        <v>2928</v>
      </c>
      <c r="AP22">
        <v>58324</v>
      </c>
      <c r="AV22">
        <v>2.4</v>
      </c>
      <c r="AW22" t="s">
        <v>303</v>
      </c>
      <c r="AX22" t="s">
        <v>158</v>
      </c>
    </row>
    <row r="23" spans="1:50">
      <c r="A23" s="1">
        <f>HYPERLINK("https://lsnyc.legalserver.org/matter/dynamic-profile/view/1891401","19-1891401")</f>
        <v>0</v>
      </c>
      <c r="B23" t="s">
        <v>50</v>
      </c>
      <c r="C23" t="s">
        <v>57</v>
      </c>
      <c r="D23" t="s">
        <v>163</v>
      </c>
      <c r="E23" t="s">
        <v>182</v>
      </c>
      <c r="G23" t="s">
        <v>426</v>
      </c>
      <c r="H23" t="s">
        <v>783</v>
      </c>
      <c r="I23" t="s">
        <v>1112</v>
      </c>
      <c r="J23" t="s">
        <v>1485</v>
      </c>
      <c r="K23" t="s">
        <v>1641</v>
      </c>
      <c r="L23">
        <v>10453</v>
      </c>
      <c r="M23" t="s">
        <v>1670</v>
      </c>
      <c r="Q23" t="s">
        <v>1938</v>
      </c>
      <c r="R23" t="s">
        <v>1961</v>
      </c>
      <c r="T23" t="s">
        <v>1670</v>
      </c>
      <c r="V23" t="s">
        <v>1972</v>
      </c>
      <c r="X23" t="s">
        <v>283</v>
      </c>
      <c r="Y23">
        <v>900</v>
      </c>
      <c r="Z23" t="s">
        <v>2006</v>
      </c>
      <c r="AA23" t="s">
        <v>2015</v>
      </c>
      <c r="AC23" t="s">
        <v>2061</v>
      </c>
      <c r="AD23" t="s">
        <v>2487</v>
      </c>
      <c r="AE23">
        <v>170</v>
      </c>
      <c r="AF23" t="s">
        <v>2902</v>
      </c>
      <c r="AG23" t="s">
        <v>2915</v>
      </c>
      <c r="AH23">
        <v>10</v>
      </c>
      <c r="AJ23">
        <v>1</v>
      </c>
      <c r="AK23">
        <v>3</v>
      </c>
      <c r="AL23">
        <v>177.91</v>
      </c>
      <c r="AO23" t="s">
        <v>2927</v>
      </c>
      <c r="AP23">
        <v>45812</v>
      </c>
      <c r="AV23">
        <v>0</v>
      </c>
      <c r="AX23" t="s">
        <v>3047</v>
      </c>
    </row>
    <row r="24" spans="1:50">
      <c r="A24" s="1">
        <f>HYPERLINK("https://lsnyc.legalserver.org/matter/dynamic-profile/view/1891397","19-1891397")</f>
        <v>0</v>
      </c>
      <c r="B24" t="s">
        <v>50</v>
      </c>
      <c r="C24" t="s">
        <v>57</v>
      </c>
      <c r="D24" t="s">
        <v>163</v>
      </c>
      <c r="E24" t="s">
        <v>182</v>
      </c>
      <c r="G24" t="s">
        <v>426</v>
      </c>
      <c r="H24" t="s">
        <v>783</v>
      </c>
      <c r="I24" t="s">
        <v>1112</v>
      </c>
      <c r="J24" t="s">
        <v>1485</v>
      </c>
      <c r="K24" t="s">
        <v>1641</v>
      </c>
      <c r="L24">
        <v>10453</v>
      </c>
      <c r="M24" t="s">
        <v>1670</v>
      </c>
      <c r="P24" t="s">
        <v>1677</v>
      </c>
      <c r="Q24" t="s">
        <v>1939</v>
      </c>
      <c r="R24" t="s">
        <v>1960</v>
      </c>
      <c r="T24" t="s">
        <v>1670</v>
      </c>
      <c r="V24" t="s">
        <v>1972</v>
      </c>
      <c r="X24" t="s">
        <v>283</v>
      </c>
      <c r="Y24">
        <v>900</v>
      </c>
      <c r="Z24" t="s">
        <v>2006</v>
      </c>
      <c r="AA24" t="s">
        <v>2015</v>
      </c>
      <c r="AC24" t="s">
        <v>2061</v>
      </c>
      <c r="AD24" t="s">
        <v>2487</v>
      </c>
      <c r="AE24">
        <v>170</v>
      </c>
      <c r="AF24" t="s">
        <v>2902</v>
      </c>
      <c r="AG24" t="s">
        <v>2915</v>
      </c>
      <c r="AH24">
        <v>10</v>
      </c>
      <c r="AJ24">
        <v>1</v>
      </c>
      <c r="AK24">
        <v>3</v>
      </c>
      <c r="AL24">
        <v>177.91</v>
      </c>
      <c r="AO24" t="s">
        <v>2927</v>
      </c>
      <c r="AP24">
        <v>45812</v>
      </c>
      <c r="AV24">
        <v>0</v>
      </c>
      <c r="AX24" t="s">
        <v>3047</v>
      </c>
    </row>
    <row r="25" spans="1:50">
      <c r="A25" s="1">
        <f>HYPERLINK("https://lsnyc.legalserver.org/matter/dynamic-profile/view/1896215","19-1896215")</f>
        <v>0</v>
      </c>
      <c r="B25" t="s">
        <v>50</v>
      </c>
      <c r="C25" t="s">
        <v>57</v>
      </c>
      <c r="D25" t="s">
        <v>163</v>
      </c>
      <c r="E25" t="s">
        <v>183</v>
      </c>
      <c r="G25" t="s">
        <v>427</v>
      </c>
      <c r="H25" t="s">
        <v>784</v>
      </c>
      <c r="I25" t="s">
        <v>1112</v>
      </c>
      <c r="J25" t="s">
        <v>1486</v>
      </c>
      <c r="K25" t="s">
        <v>1641</v>
      </c>
      <c r="L25">
        <v>10453</v>
      </c>
      <c r="M25" t="s">
        <v>1670</v>
      </c>
      <c r="Q25" t="s">
        <v>1938</v>
      </c>
      <c r="R25" t="s">
        <v>1961</v>
      </c>
      <c r="T25" t="s">
        <v>1670</v>
      </c>
      <c r="V25" t="s">
        <v>1972</v>
      </c>
      <c r="X25" t="s">
        <v>283</v>
      </c>
      <c r="Y25">
        <v>931</v>
      </c>
      <c r="Z25" t="s">
        <v>2006</v>
      </c>
      <c r="AA25" t="s">
        <v>2016</v>
      </c>
      <c r="AC25" t="s">
        <v>2062</v>
      </c>
      <c r="AD25" t="s">
        <v>2488</v>
      </c>
      <c r="AE25">
        <v>170</v>
      </c>
      <c r="AF25" t="s">
        <v>2902</v>
      </c>
      <c r="AG25" t="s">
        <v>1754</v>
      </c>
      <c r="AH25">
        <v>12</v>
      </c>
      <c r="AJ25">
        <v>1</v>
      </c>
      <c r="AK25">
        <v>1</v>
      </c>
      <c r="AL25">
        <v>21.29</v>
      </c>
      <c r="AO25" t="s">
        <v>2926</v>
      </c>
      <c r="AP25">
        <v>3600</v>
      </c>
      <c r="AV25">
        <v>0</v>
      </c>
      <c r="AX25" t="s">
        <v>3045</v>
      </c>
    </row>
    <row r="26" spans="1:50">
      <c r="A26" s="1">
        <f>HYPERLINK("https://lsnyc.legalserver.org/matter/dynamic-profile/view/1896214","19-1896214")</f>
        <v>0</v>
      </c>
      <c r="B26" t="s">
        <v>50</v>
      </c>
      <c r="C26" t="s">
        <v>57</v>
      </c>
      <c r="D26" t="s">
        <v>163</v>
      </c>
      <c r="E26" t="s">
        <v>183</v>
      </c>
      <c r="G26" t="s">
        <v>427</v>
      </c>
      <c r="H26" t="s">
        <v>784</v>
      </c>
      <c r="I26" t="s">
        <v>1112</v>
      </c>
      <c r="J26" t="s">
        <v>1486</v>
      </c>
      <c r="K26" t="s">
        <v>1641</v>
      </c>
      <c r="L26">
        <v>10453</v>
      </c>
      <c r="M26" t="s">
        <v>1670</v>
      </c>
      <c r="Q26" t="s">
        <v>1939</v>
      </c>
      <c r="R26" t="s">
        <v>1960</v>
      </c>
      <c r="T26" t="s">
        <v>1670</v>
      </c>
      <c r="V26" t="s">
        <v>1972</v>
      </c>
      <c r="X26" t="s">
        <v>283</v>
      </c>
      <c r="Y26">
        <v>931</v>
      </c>
      <c r="Z26" t="s">
        <v>2006</v>
      </c>
      <c r="AA26" t="s">
        <v>2016</v>
      </c>
      <c r="AC26" t="s">
        <v>2062</v>
      </c>
      <c r="AD26" t="s">
        <v>2488</v>
      </c>
      <c r="AE26">
        <v>170</v>
      </c>
      <c r="AF26" t="s">
        <v>2902</v>
      </c>
      <c r="AG26" t="s">
        <v>2917</v>
      </c>
      <c r="AH26">
        <v>12</v>
      </c>
      <c r="AJ26">
        <v>1</v>
      </c>
      <c r="AK26">
        <v>1</v>
      </c>
      <c r="AL26">
        <v>21.29</v>
      </c>
      <c r="AO26" t="s">
        <v>2926</v>
      </c>
      <c r="AP26">
        <v>3600</v>
      </c>
      <c r="AV26">
        <v>0</v>
      </c>
      <c r="AX26" t="s">
        <v>3045</v>
      </c>
    </row>
    <row r="27" spans="1:50">
      <c r="A27" s="1">
        <f>HYPERLINK("https://lsnyc.legalserver.org/matter/dynamic-profile/view/1873124","18-1873124")</f>
        <v>0</v>
      </c>
      <c r="B27" t="s">
        <v>50</v>
      </c>
      <c r="C27" t="s">
        <v>66</v>
      </c>
      <c r="D27" t="s">
        <v>164</v>
      </c>
      <c r="E27" t="s">
        <v>184</v>
      </c>
      <c r="F27" t="s">
        <v>384</v>
      </c>
      <c r="G27" t="s">
        <v>428</v>
      </c>
      <c r="H27" t="s">
        <v>785</v>
      </c>
      <c r="I27" t="s">
        <v>1122</v>
      </c>
      <c r="J27">
        <v>3</v>
      </c>
      <c r="K27" t="s">
        <v>1644</v>
      </c>
      <c r="L27">
        <v>11233</v>
      </c>
      <c r="M27" t="s">
        <v>1670</v>
      </c>
      <c r="P27" t="s">
        <v>1684</v>
      </c>
      <c r="Q27" t="s">
        <v>1936</v>
      </c>
      <c r="R27" t="s">
        <v>1960</v>
      </c>
      <c r="S27" t="s">
        <v>1967</v>
      </c>
      <c r="V27" t="s">
        <v>1972</v>
      </c>
      <c r="X27" t="s">
        <v>184</v>
      </c>
      <c r="Y27">
        <v>0</v>
      </c>
      <c r="Z27" t="s">
        <v>2009</v>
      </c>
      <c r="AB27" t="s">
        <v>2031</v>
      </c>
      <c r="AC27" t="s">
        <v>2063</v>
      </c>
      <c r="AD27" t="s">
        <v>2489</v>
      </c>
      <c r="AE27">
        <v>3</v>
      </c>
      <c r="AH27">
        <v>0</v>
      </c>
      <c r="AJ27">
        <v>2</v>
      </c>
      <c r="AK27">
        <v>2</v>
      </c>
      <c r="AL27">
        <v>0</v>
      </c>
      <c r="AO27" t="s">
        <v>2926</v>
      </c>
      <c r="AP27">
        <v>0</v>
      </c>
      <c r="AV27">
        <v>5.25</v>
      </c>
      <c r="AW27" t="s">
        <v>384</v>
      </c>
      <c r="AX27" t="s">
        <v>156</v>
      </c>
    </row>
    <row r="28" spans="1:50">
      <c r="A28" s="1">
        <f>HYPERLINK("https://lsnyc.legalserver.org/matter/dynamic-profile/view/1872365","18-1872365")</f>
        <v>0</v>
      </c>
      <c r="B28" t="s">
        <v>50</v>
      </c>
      <c r="C28" t="s">
        <v>67</v>
      </c>
      <c r="D28" t="s">
        <v>164</v>
      </c>
      <c r="E28" t="s">
        <v>185</v>
      </c>
      <c r="F28" t="s">
        <v>207</v>
      </c>
      <c r="G28" t="s">
        <v>429</v>
      </c>
      <c r="H28" t="s">
        <v>786</v>
      </c>
      <c r="I28" t="s">
        <v>1123</v>
      </c>
      <c r="J28" t="s">
        <v>1487</v>
      </c>
      <c r="K28" t="s">
        <v>1643</v>
      </c>
      <c r="L28">
        <v>10026</v>
      </c>
      <c r="M28" t="s">
        <v>1670</v>
      </c>
      <c r="P28" t="s">
        <v>1685</v>
      </c>
      <c r="Q28" t="s">
        <v>1940</v>
      </c>
      <c r="R28" t="s">
        <v>1958</v>
      </c>
      <c r="S28" t="s">
        <v>1965</v>
      </c>
      <c r="T28" t="s">
        <v>1671</v>
      </c>
      <c r="V28" t="s">
        <v>1972</v>
      </c>
      <c r="X28" t="s">
        <v>185</v>
      </c>
      <c r="Y28">
        <v>2500</v>
      </c>
      <c r="Z28" t="s">
        <v>2008</v>
      </c>
      <c r="AA28" t="s">
        <v>2018</v>
      </c>
      <c r="AB28" t="s">
        <v>2029</v>
      </c>
      <c r="AC28" t="s">
        <v>2064</v>
      </c>
      <c r="AD28" t="s">
        <v>2490</v>
      </c>
      <c r="AE28">
        <v>0</v>
      </c>
      <c r="AF28" t="s">
        <v>2904</v>
      </c>
      <c r="AG28" t="s">
        <v>1754</v>
      </c>
      <c r="AH28">
        <v>5</v>
      </c>
      <c r="AJ28">
        <v>3</v>
      </c>
      <c r="AK28">
        <v>2</v>
      </c>
      <c r="AL28">
        <v>152.01</v>
      </c>
      <c r="AO28" t="s">
        <v>2926</v>
      </c>
      <c r="AP28">
        <v>44720</v>
      </c>
      <c r="AV28">
        <v>2</v>
      </c>
      <c r="AW28" t="s">
        <v>184</v>
      </c>
      <c r="AX28" t="s">
        <v>3048</v>
      </c>
    </row>
    <row r="29" spans="1:50">
      <c r="A29" s="1">
        <f>HYPERLINK("https://lsnyc.legalserver.org/matter/dynamic-profile/view/1897239","19-1897239")</f>
        <v>0</v>
      </c>
      <c r="B29" t="s">
        <v>50</v>
      </c>
      <c r="C29" t="s">
        <v>68</v>
      </c>
      <c r="D29" t="s">
        <v>163</v>
      </c>
      <c r="E29" t="s">
        <v>186</v>
      </c>
      <c r="G29" t="s">
        <v>430</v>
      </c>
      <c r="H29" t="s">
        <v>787</v>
      </c>
      <c r="I29" t="s">
        <v>1124</v>
      </c>
      <c r="J29" t="s">
        <v>1488</v>
      </c>
      <c r="K29" t="s">
        <v>1643</v>
      </c>
      <c r="L29">
        <v>10034</v>
      </c>
      <c r="M29" t="s">
        <v>1670</v>
      </c>
      <c r="R29" t="s">
        <v>1960</v>
      </c>
      <c r="T29" t="s">
        <v>1671</v>
      </c>
      <c r="V29" t="s">
        <v>1972</v>
      </c>
      <c r="X29" t="s">
        <v>186</v>
      </c>
      <c r="Y29">
        <v>2600</v>
      </c>
      <c r="Z29" t="s">
        <v>2008</v>
      </c>
      <c r="AC29" t="s">
        <v>2065</v>
      </c>
      <c r="AD29" t="s">
        <v>2491</v>
      </c>
      <c r="AE29">
        <v>46</v>
      </c>
      <c r="AF29" t="s">
        <v>2902</v>
      </c>
      <c r="AG29" t="s">
        <v>1754</v>
      </c>
      <c r="AH29">
        <v>9</v>
      </c>
      <c r="AJ29">
        <v>1</v>
      </c>
      <c r="AK29">
        <v>1</v>
      </c>
      <c r="AL29">
        <v>107.63</v>
      </c>
      <c r="AO29" t="s">
        <v>2927</v>
      </c>
      <c r="AP29">
        <v>18200</v>
      </c>
      <c r="AV29">
        <v>20</v>
      </c>
      <c r="AW29" t="s">
        <v>389</v>
      </c>
      <c r="AX29" t="s">
        <v>3042</v>
      </c>
    </row>
    <row r="30" spans="1:50">
      <c r="A30" s="1">
        <f>HYPERLINK("https://lsnyc.legalserver.org/matter/dynamic-profile/view/1882742","18-1882742")</f>
        <v>0</v>
      </c>
      <c r="B30" t="s">
        <v>50</v>
      </c>
      <c r="C30" t="s">
        <v>69</v>
      </c>
      <c r="D30" t="s">
        <v>164</v>
      </c>
      <c r="E30" t="s">
        <v>187</v>
      </c>
      <c r="F30" t="s">
        <v>385</v>
      </c>
      <c r="G30" t="s">
        <v>431</v>
      </c>
      <c r="H30" t="s">
        <v>788</v>
      </c>
      <c r="I30" t="s">
        <v>1125</v>
      </c>
      <c r="J30" t="s">
        <v>1489</v>
      </c>
      <c r="K30" t="s">
        <v>1644</v>
      </c>
      <c r="L30">
        <v>11210</v>
      </c>
      <c r="M30" t="s">
        <v>1670</v>
      </c>
      <c r="P30" t="s">
        <v>1686</v>
      </c>
      <c r="Q30" t="s">
        <v>1936</v>
      </c>
      <c r="R30" t="s">
        <v>1962</v>
      </c>
      <c r="S30" t="s">
        <v>1965</v>
      </c>
      <c r="V30" t="s">
        <v>1972</v>
      </c>
      <c r="X30" t="s">
        <v>187</v>
      </c>
      <c r="Y30">
        <v>2350</v>
      </c>
      <c r="Z30" t="s">
        <v>2009</v>
      </c>
      <c r="AB30" t="s">
        <v>2029</v>
      </c>
      <c r="AC30" t="s">
        <v>2066</v>
      </c>
      <c r="AD30" t="s">
        <v>2492</v>
      </c>
      <c r="AE30">
        <v>6</v>
      </c>
      <c r="AH30">
        <v>2</v>
      </c>
      <c r="AJ30">
        <v>2</v>
      </c>
      <c r="AK30">
        <v>3</v>
      </c>
      <c r="AL30">
        <v>9.18</v>
      </c>
      <c r="AO30" t="s">
        <v>2926</v>
      </c>
      <c r="AP30">
        <v>2700</v>
      </c>
      <c r="AV30">
        <v>3.2</v>
      </c>
      <c r="AW30" t="s">
        <v>179</v>
      </c>
      <c r="AX30" t="s">
        <v>3049</v>
      </c>
    </row>
    <row r="31" spans="1:50">
      <c r="A31" s="1">
        <f>HYPERLINK("https://lsnyc.legalserver.org/matter/dynamic-profile/view/1876930","18-1876930")</f>
        <v>0</v>
      </c>
      <c r="B31" t="s">
        <v>50</v>
      </c>
      <c r="C31" t="s">
        <v>70</v>
      </c>
      <c r="D31" t="s">
        <v>164</v>
      </c>
      <c r="E31" t="s">
        <v>180</v>
      </c>
      <c r="F31" t="s">
        <v>373</v>
      </c>
      <c r="G31" t="s">
        <v>432</v>
      </c>
      <c r="H31" t="s">
        <v>789</v>
      </c>
      <c r="I31" t="s">
        <v>1126</v>
      </c>
      <c r="J31" t="s">
        <v>1490</v>
      </c>
      <c r="K31" t="s">
        <v>1641</v>
      </c>
      <c r="L31">
        <v>10452</v>
      </c>
      <c r="M31" t="s">
        <v>1670</v>
      </c>
      <c r="P31" t="s">
        <v>1687</v>
      </c>
      <c r="Q31" t="s">
        <v>1941</v>
      </c>
      <c r="R31" t="s">
        <v>1958</v>
      </c>
      <c r="S31" t="s">
        <v>1965</v>
      </c>
      <c r="T31" t="s">
        <v>1671</v>
      </c>
      <c r="V31" t="s">
        <v>1972</v>
      </c>
      <c r="X31" t="s">
        <v>373</v>
      </c>
      <c r="Y31">
        <v>1075</v>
      </c>
      <c r="Z31" t="s">
        <v>2006</v>
      </c>
      <c r="AA31" t="s">
        <v>2015</v>
      </c>
      <c r="AB31" t="s">
        <v>2029</v>
      </c>
      <c r="AC31" t="s">
        <v>2067</v>
      </c>
      <c r="AD31" t="s">
        <v>2493</v>
      </c>
      <c r="AE31">
        <v>30</v>
      </c>
      <c r="AH31">
        <v>0</v>
      </c>
      <c r="AJ31">
        <v>3</v>
      </c>
      <c r="AK31">
        <v>2</v>
      </c>
      <c r="AL31">
        <v>74.78</v>
      </c>
      <c r="AO31" t="s">
        <v>2927</v>
      </c>
      <c r="AP31">
        <v>22000</v>
      </c>
      <c r="AV31">
        <v>0.1</v>
      </c>
      <c r="AW31" t="s">
        <v>373</v>
      </c>
      <c r="AX31" t="s">
        <v>3047</v>
      </c>
    </row>
    <row r="32" spans="1:50">
      <c r="A32" s="1">
        <f>HYPERLINK("https://lsnyc.legalserver.org/matter/dynamic-profile/view/1899922","19-1899922")</f>
        <v>0</v>
      </c>
      <c r="B32" t="s">
        <v>50</v>
      </c>
      <c r="C32" t="s">
        <v>71</v>
      </c>
      <c r="D32" t="s">
        <v>163</v>
      </c>
      <c r="E32" t="s">
        <v>188</v>
      </c>
      <c r="G32" t="s">
        <v>433</v>
      </c>
      <c r="H32" t="s">
        <v>790</v>
      </c>
      <c r="I32" t="s">
        <v>1127</v>
      </c>
      <c r="J32" t="s">
        <v>1491</v>
      </c>
      <c r="K32" t="s">
        <v>1646</v>
      </c>
      <c r="L32">
        <v>10301</v>
      </c>
      <c r="M32" t="s">
        <v>1670</v>
      </c>
      <c r="P32" t="s">
        <v>1688</v>
      </c>
      <c r="Q32" t="s">
        <v>1940</v>
      </c>
      <c r="R32" t="s">
        <v>1960</v>
      </c>
      <c r="T32" t="s">
        <v>1671</v>
      </c>
      <c r="V32" t="s">
        <v>1972</v>
      </c>
      <c r="W32" t="s">
        <v>1984</v>
      </c>
      <c r="X32" t="s">
        <v>188</v>
      </c>
      <c r="Y32">
        <v>3200</v>
      </c>
      <c r="Z32" t="s">
        <v>2010</v>
      </c>
      <c r="AA32" t="s">
        <v>2011</v>
      </c>
      <c r="AC32" t="s">
        <v>2068</v>
      </c>
      <c r="AD32" t="s">
        <v>2494</v>
      </c>
      <c r="AE32">
        <v>2</v>
      </c>
      <c r="AF32" t="s">
        <v>2903</v>
      </c>
      <c r="AG32" t="s">
        <v>1754</v>
      </c>
      <c r="AH32">
        <v>2</v>
      </c>
      <c r="AJ32">
        <v>5</v>
      </c>
      <c r="AK32">
        <v>2</v>
      </c>
      <c r="AL32">
        <v>95.98</v>
      </c>
      <c r="AO32" t="s">
        <v>2926</v>
      </c>
      <c r="AP32">
        <v>37440</v>
      </c>
      <c r="AV32">
        <v>4.6</v>
      </c>
      <c r="AW32" t="s">
        <v>325</v>
      </c>
      <c r="AX32" t="s">
        <v>3050</v>
      </c>
    </row>
    <row r="33" spans="1:50">
      <c r="A33" s="1">
        <f>HYPERLINK("https://lsnyc.legalserver.org/matter/dynamic-profile/view/1893642","19-1893642")</f>
        <v>0</v>
      </c>
      <c r="B33" t="s">
        <v>51</v>
      </c>
      <c r="C33" t="s">
        <v>72</v>
      </c>
      <c r="D33" t="s">
        <v>164</v>
      </c>
      <c r="E33" t="s">
        <v>189</v>
      </c>
      <c r="F33" t="s">
        <v>295</v>
      </c>
      <c r="G33" t="s">
        <v>434</v>
      </c>
      <c r="H33" t="s">
        <v>791</v>
      </c>
      <c r="I33" t="s">
        <v>1128</v>
      </c>
      <c r="J33">
        <v>50</v>
      </c>
      <c r="K33" t="s">
        <v>1643</v>
      </c>
      <c r="L33">
        <v>10029</v>
      </c>
      <c r="M33" t="s">
        <v>1670</v>
      </c>
      <c r="Q33" t="s">
        <v>1675</v>
      </c>
      <c r="R33" t="s">
        <v>1962</v>
      </c>
      <c r="S33" t="s">
        <v>1968</v>
      </c>
      <c r="T33" t="s">
        <v>1671</v>
      </c>
      <c r="V33" t="s">
        <v>1972</v>
      </c>
      <c r="W33" t="s">
        <v>1984</v>
      </c>
      <c r="X33" t="s">
        <v>199</v>
      </c>
      <c r="Y33">
        <v>1867</v>
      </c>
      <c r="Z33" t="s">
        <v>2008</v>
      </c>
      <c r="AA33" t="s">
        <v>2012</v>
      </c>
      <c r="AB33" t="s">
        <v>2029</v>
      </c>
      <c r="AC33" t="s">
        <v>2069</v>
      </c>
      <c r="AD33" t="s">
        <v>2495</v>
      </c>
      <c r="AE33">
        <v>80</v>
      </c>
      <c r="AF33" t="s">
        <v>2902</v>
      </c>
      <c r="AG33" t="s">
        <v>1754</v>
      </c>
      <c r="AH33">
        <v>5</v>
      </c>
      <c r="AJ33">
        <v>2</v>
      </c>
      <c r="AK33">
        <v>1</v>
      </c>
      <c r="AL33">
        <v>34.37</v>
      </c>
      <c r="AM33" t="s">
        <v>2923</v>
      </c>
      <c r="AN33" t="s">
        <v>2924</v>
      </c>
      <c r="AO33" t="s">
        <v>2926</v>
      </c>
      <c r="AP33">
        <v>7332</v>
      </c>
      <c r="AV33">
        <v>20.9</v>
      </c>
      <c r="AW33" t="s">
        <v>240</v>
      </c>
      <c r="AX33" t="s">
        <v>3051</v>
      </c>
    </row>
    <row r="34" spans="1:50">
      <c r="A34" s="1">
        <f>HYPERLINK("https://lsnyc.legalserver.org/matter/dynamic-profile/view/1891966","19-1891966")</f>
        <v>0</v>
      </c>
      <c r="B34" t="s">
        <v>50</v>
      </c>
      <c r="C34" t="s">
        <v>73</v>
      </c>
      <c r="D34" t="s">
        <v>163</v>
      </c>
      <c r="E34" t="s">
        <v>190</v>
      </c>
      <c r="G34" t="s">
        <v>435</v>
      </c>
      <c r="H34" t="s">
        <v>792</v>
      </c>
      <c r="I34" t="s">
        <v>1129</v>
      </c>
      <c r="J34" t="s">
        <v>1492</v>
      </c>
      <c r="K34" t="s">
        <v>1645</v>
      </c>
      <c r="L34">
        <v>11691</v>
      </c>
      <c r="M34" t="s">
        <v>1670</v>
      </c>
      <c r="P34" t="s">
        <v>1689</v>
      </c>
      <c r="Q34" t="s">
        <v>1940</v>
      </c>
      <c r="R34" t="s">
        <v>1960</v>
      </c>
      <c r="T34" t="s">
        <v>1671</v>
      </c>
      <c r="V34" t="s">
        <v>1972</v>
      </c>
      <c r="W34" t="s">
        <v>1984</v>
      </c>
      <c r="X34" t="s">
        <v>258</v>
      </c>
      <c r="Y34">
        <v>1900</v>
      </c>
      <c r="Z34" t="s">
        <v>2007</v>
      </c>
      <c r="AA34" t="s">
        <v>2014</v>
      </c>
      <c r="AC34" t="s">
        <v>2070</v>
      </c>
      <c r="AD34" t="s">
        <v>2496</v>
      </c>
      <c r="AE34">
        <v>200</v>
      </c>
      <c r="AF34" t="s">
        <v>2904</v>
      </c>
      <c r="AG34" t="s">
        <v>1754</v>
      </c>
      <c r="AH34">
        <v>2</v>
      </c>
      <c r="AJ34">
        <v>1</v>
      </c>
      <c r="AK34">
        <v>1</v>
      </c>
      <c r="AL34">
        <v>147.84</v>
      </c>
      <c r="AO34" t="s">
        <v>2926</v>
      </c>
      <c r="AP34">
        <v>25000</v>
      </c>
      <c r="AR34" t="s">
        <v>2977</v>
      </c>
      <c r="AV34">
        <v>45.6</v>
      </c>
      <c r="AW34" t="s">
        <v>389</v>
      </c>
      <c r="AX34" t="s">
        <v>3044</v>
      </c>
    </row>
    <row r="35" spans="1:50">
      <c r="A35" s="1">
        <f>HYPERLINK("https://lsnyc.legalserver.org/matter/dynamic-profile/view/1889409","19-1889409")</f>
        <v>0</v>
      </c>
      <c r="B35" t="s">
        <v>51</v>
      </c>
      <c r="C35" t="s">
        <v>71</v>
      </c>
      <c r="D35" t="s">
        <v>163</v>
      </c>
      <c r="E35" t="s">
        <v>182</v>
      </c>
      <c r="G35" t="s">
        <v>427</v>
      </c>
      <c r="H35" t="s">
        <v>793</v>
      </c>
      <c r="I35" t="s">
        <v>1130</v>
      </c>
      <c r="J35" t="s">
        <v>1493</v>
      </c>
      <c r="K35" t="s">
        <v>1646</v>
      </c>
      <c r="L35">
        <v>10306</v>
      </c>
      <c r="M35" t="s">
        <v>1670</v>
      </c>
      <c r="P35" t="s">
        <v>1690</v>
      </c>
      <c r="Q35" t="s">
        <v>1936</v>
      </c>
      <c r="R35" t="s">
        <v>1960</v>
      </c>
      <c r="T35" t="s">
        <v>1671</v>
      </c>
      <c r="V35" t="s">
        <v>1972</v>
      </c>
      <c r="W35" t="s">
        <v>1984</v>
      </c>
      <c r="X35" t="s">
        <v>182</v>
      </c>
      <c r="Y35">
        <v>1470</v>
      </c>
      <c r="Z35" t="s">
        <v>2010</v>
      </c>
      <c r="AA35" t="s">
        <v>2012</v>
      </c>
      <c r="AC35" t="s">
        <v>2071</v>
      </c>
      <c r="AD35" t="s">
        <v>2497</v>
      </c>
      <c r="AE35">
        <v>125</v>
      </c>
      <c r="AF35" t="s">
        <v>2902</v>
      </c>
      <c r="AG35" t="s">
        <v>1754</v>
      </c>
      <c r="AH35">
        <v>2</v>
      </c>
      <c r="AJ35">
        <v>1</v>
      </c>
      <c r="AK35">
        <v>1</v>
      </c>
      <c r="AL35">
        <v>195.85</v>
      </c>
      <c r="AM35" t="s">
        <v>2923</v>
      </c>
      <c r="AN35" t="s">
        <v>2924</v>
      </c>
      <c r="AO35" t="s">
        <v>2926</v>
      </c>
      <c r="AP35">
        <v>33118.19</v>
      </c>
      <c r="AV35">
        <v>18.6</v>
      </c>
      <c r="AW35" t="s">
        <v>325</v>
      </c>
      <c r="AX35" t="s">
        <v>71</v>
      </c>
    </row>
    <row r="36" spans="1:50">
      <c r="A36" s="1">
        <f>HYPERLINK("https://lsnyc.legalserver.org/matter/dynamic-profile/view/1899862","19-1899862")</f>
        <v>0</v>
      </c>
      <c r="B36" t="s">
        <v>50</v>
      </c>
      <c r="C36" t="s">
        <v>74</v>
      </c>
      <c r="D36" t="s">
        <v>163</v>
      </c>
      <c r="E36" t="s">
        <v>191</v>
      </c>
      <c r="G36" t="s">
        <v>436</v>
      </c>
      <c r="H36" t="s">
        <v>794</v>
      </c>
      <c r="I36" t="s">
        <v>1131</v>
      </c>
      <c r="J36" t="s">
        <v>1494</v>
      </c>
      <c r="K36" t="s">
        <v>1641</v>
      </c>
      <c r="L36">
        <v>10460</v>
      </c>
      <c r="M36" t="s">
        <v>1670</v>
      </c>
      <c r="P36" t="s">
        <v>1691</v>
      </c>
      <c r="Q36" t="s">
        <v>1675</v>
      </c>
      <c r="R36" t="s">
        <v>1959</v>
      </c>
      <c r="T36" t="s">
        <v>1670</v>
      </c>
      <c r="V36" t="s">
        <v>1972</v>
      </c>
      <c r="X36" t="s">
        <v>1991</v>
      </c>
      <c r="Y36">
        <v>400</v>
      </c>
      <c r="Z36" t="s">
        <v>2006</v>
      </c>
      <c r="AA36" t="s">
        <v>2015</v>
      </c>
      <c r="AC36" t="s">
        <v>2072</v>
      </c>
      <c r="AD36" t="s">
        <v>2498</v>
      </c>
      <c r="AE36">
        <v>169</v>
      </c>
      <c r="AF36" t="s">
        <v>2902</v>
      </c>
      <c r="AG36" t="s">
        <v>2915</v>
      </c>
      <c r="AH36">
        <v>8</v>
      </c>
      <c r="AJ36">
        <v>1</v>
      </c>
      <c r="AK36">
        <v>2</v>
      </c>
      <c r="AL36">
        <v>23.65</v>
      </c>
      <c r="AO36" t="s">
        <v>2926</v>
      </c>
      <c r="AP36">
        <v>5044</v>
      </c>
      <c r="AV36">
        <v>0</v>
      </c>
      <c r="AX36" t="s">
        <v>3047</v>
      </c>
    </row>
    <row r="37" spans="1:50">
      <c r="A37" s="1">
        <f>HYPERLINK("https://lsnyc.legalserver.org/matter/dynamic-profile/view/1885652","18-1885652")</f>
        <v>0</v>
      </c>
      <c r="B37" t="s">
        <v>50</v>
      </c>
      <c r="C37" t="s">
        <v>74</v>
      </c>
      <c r="D37" t="s">
        <v>163</v>
      </c>
      <c r="E37" t="s">
        <v>192</v>
      </c>
      <c r="G37" t="s">
        <v>436</v>
      </c>
      <c r="H37" t="s">
        <v>794</v>
      </c>
      <c r="I37" t="s">
        <v>1131</v>
      </c>
      <c r="J37" t="s">
        <v>1494</v>
      </c>
      <c r="K37" t="s">
        <v>1641</v>
      </c>
      <c r="L37">
        <v>10460</v>
      </c>
      <c r="M37" t="s">
        <v>1670</v>
      </c>
      <c r="P37" t="s">
        <v>1692</v>
      </c>
      <c r="Q37" t="s">
        <v>1939</v>
      </c>
      <c r="R37" t="s">
        <v>1960</v>
      </c>
      <c r="T37" t="s">
        <v>1670</v>
      </c>
      <c r="V37" t="s">
        <v>1972</v>
      </c>
      <c r="X37" t="s">
        <v>283</v>
      </c>
      <c r="Y37">
        <v>400</v>
      </c>
      <c r="Z37" t="s">
        <v>2006</v>
      </c>
      <c r="AA37" t="s">
        <v>2015</v>
      </c>
      <c r="AC37" t="s">
        <v>2072</v>
      </c>
      <c r="AD37" t="s">
        <v>2498</v>
      </c>
      <c r="AE37">
        <v>168</v>
      </c>
      <c r="AF37" t="s">
        <v>2902</v>
      </c>
      <c r="AG37" t="s">
        <v>2915</v>
      </c>
      <c r="AH37">
        <v>8</v>
      </c>
      <c r="AJ37">
        <v>1</v>
      </c>
      <c r="AK37">
        <v>2</v>
      </c>
      <c r="AL37">
        <v>24.27</v>
      </c>
      <c r="AO37" t="s">
        <v>2926</v>
      </c>
      <c r="AP37">
        <v>5044</v>
      </c>
      <c r="AV37">
        <v>0</v>
      </c>
      <c r="AX37" t="s">
        <v>76</v>
      </c>
    </row>
    <row r="38" spans="1:50">
      <c r="A38" s="1">
        <f>HYPERLINK("https://lsnyc.legalserver.org/matter/dynamic-profile/view/1898161","19-1898161")</f>
        <v>0</v>
      </c>
      <c r="B38" t="s">
        <v>50</v>
      </c>
      <c r="C38" t="s">
        <v>52</v>
      </c>
      <c r="D38" t="s">
        <v>164</v>
      </c>
      <c r="E38" t="s">
        <v>193</v>
      </c>
      <c r="F38" t="s">
        <v>220</v>
      </c>
      <c r="G38" t="s">
        <v>437</v>
      </c>
      <c r="H38" t="s">
        <v>795</v>
      </c>
      <c r="I38" t="s">
        <v>1132</v>
      </c>
      <c r="J38" t="s">
        <v>1495</v>
      </c>
      <c r="K38" t="s">
        <v>1641</v>
      </c>
      <c r="L38">
        <v>10456</v>
      </c>
      <c r="M38" t="s">
        <v>1670</v>
      </c>
      <c r="Q38" t="s">
        <v>1675</v>
      </c>
      <c r="R38" t="s">
        <v>1958</v>
      </c>
      <c r="S38" t="s">
        <v>1965</v>
      </c>
      <c r="T38" t="s">
        <v>1671</v>
      </c>
      <c r="V38" t="s">
        <v>1972</v>
      </c>
      <c r="X38" t="s">
        <v>1991</v>
      </c>
      <c r="Y38">
        <v>510</v>
      </c>
      <c r="Z38" t="s">
        <v>2006</v>
      </c>
      <c r="AA38" t="s">
        <v>2015</v>
      </c>
      <c r="AB38" t="s">
        <v>2029</v>
      </c>
      <c r="AC38" t="s">
        <v>2073</v>
      </c>
      <c r="AD38" t="s">
        <v>2499</v>
      </c>
      <c r="AE38">
        <v>0</v>
      </c>
      <c r="AF38" t="s">
        <v>2904</v>
      </c>
      <c r="AG38" t="s">
        <v>1754</v>
      </c>
      <c r="AH38">
        <v>9</v>
      </c>
      <c r="AJ38">
        <v>1</v>
      </c>
      <c r="AK38">
        <v>3</v>
      </c>
      <c r="AL38">
        <v>100.97</v>
      </c>
      <c r="AO38" t="s">
        <v>2926</v>
      </c>
      <c r="AP38">
        <v>26000</v>
      </c>
      <c r="AV38">
        <v>0.3</v>
      </c>
      <c r="AW38" t="s">
        <v>193</v>
      </c>
      <c r="AX38" t="s">
        <v>3045</v>
      </c>
    </row>
    <row r="39" spans="1:50">
      <c r="A39" s="1">
        <f>HYPERLINK("https://lsnyc.legalserver.org/matter/dynamic-profile/view/1877362","18-1877362")</f>
        <v>0</v>
      </c>
      <c r="B39" t="s">
        <v>50</v>
      </c>
      <c r="C39" t="s">
        <v>75</v>
      </c>
      <c r="D39" t="s">
        <v>164</v>
      </c>
      <c r="E39" t="s">
        <v>194</v>
      </c>
      <c r="F39" t="s">
        <v>231</v>
      </c>
      <c r="G39" t="s">
        <v>438</v>
      </c>
      <c r="H39" t="s">
        <v>780</v>
      </c>
      <c r="I39" t="s">
        <v>1133</v>
      </c>
      <c r="J39" t="s">
        <v>1496</v>
      </c>
      <c r="K39" t="s">
        <v>1643</v>
      </c>
      <c r="L39">
        <v>10035</v>
      </c>
      <c r="M39" t="s">
        <v>1670</v>
      </c>
      <c r="P39" t="s">
        <v>1693</v>
      </c>
      <c r="Q39" t="s">
        <v>1942</v>
      </c>
      <c r="R39" t="s">
        <v>1958</v>
      </c>
      <c r="S39" t="s">
        <v>1965</v>
      </c>
      <c r="T39" t="s">
        <v>1671</v>
      </c>
      <c r="V39" t="s">
        <v>1972</v>
      </c>
      <c r="W39" t="s">
        <v>1984</v>
      </c>
      <c r="X39" t="s">
        <v>298</v>
      </c>
      <c r="Y39">
        <v>3272</v>
      </c>
      <c r="Z39" t="s">
        <v>2008</v>
      </c>
      <c r="AA39" t="s">
        <v>2019</v>
      </c>
      <c r="AB39" t="s">
        <v>2029</v>
      </c>
      <c r="AC39" t="s">
        <v>2074</v>
      </c>
      <c r="AD39" t="s">
        <v>2500</v>
      </c>
      <c r="AE39">
        <v>448</v>
      </c>
      <c r="AF39" t="s">
        <v>2902</v>
      </c>
      <c r="AG39" t="s">
        <v>1754</v>
      </c>
      <c r="AH39">
        <v>-1</v>
      </c>
      <c r="AJ39">
        <v>1</v>
      </c>
      <c r="AK39">
        <v>1</v>
      </c>
      <c r="AL39">
        <v>164.28</v>
      </c>
      <c r="AO39" t="s">
        <v>2927</v>
      </c>
      <c r="AP39">
        <v>27040</v>
      </c>
      <c r="AV39">
        <v>0.6</v>
      </c>
      <c r="AW39" t="s">
        <v>231</v>
      </c>
      <c r="AX39" t="s">
        <v>3052</v>
      </c>
    </row>
    <row r="40" spans="1:50">
      <c r="A40" s="1">
        <f>HYPERLINK("https://lsnyc.legalserver.org/matter/dynamic-profile/view/1896134","19-1896134")</f>
        <v>0</v>
      </c>
      <c r="B40" t="s">
        <v>50</v>
      </c>
      <c r="C40" t="s">
        <v>76</v>
      </c>
      <c r="D40" t="s">
        <v>163</v>
      </c>
      <c r="E40" t="s">
        <v>183</v>
      </c>
      <c r="G40" t="s">
        <v>439</v>
      </c>
      <c r="H40" t="s">
        <v>796</v>
      </c>
      <c r="I40" t="s">
        <v>1134</v>
      </c>
      <c r="J40" t="s">
        <v>1497</v>
      </c>
      <c r="K40" t="s">
        <v>1641</v>
      </c>
      <c r="L40">
        <v>10460</v>
      </c>
      <c r="M40" t="s">
        <v>1670</v>
      </c>
      <c r="P40" t="s">
        <v>1694</v>
      </c>
      <c r="Q40" t="s">
        <v>1936</v>
      </c>
      <c r="R40" t="s">
        <v>1958</v>
      </c>
      <c r="T40" t="s">
        <v>1671</v>
      </c>
      <c r="V40" t="s">
        <v>1972</v>
      </c>
      <c r="X40" t="s">
        <v>183</v>
      </c>
      <c r="Y40">
        <v>290</v>
      </c>
      <c r="Z40" t="s">
        <v>2006</v>
      </c>
      <c r="AA40" t="s">
        <v>2011</v>
      </c>
      <c r="AC40" t="s">
        <v>2075</v>
      </c>
      <c r="AD40" t="s">
        <v>2501</v>
      </c>
      <c r="AE40">
        <v>65</v>
      </c>
      <c r="AF40" t="s">
        <v>2905</v>
      </c>
      <c r="AG40" t="s">
        <v>1754</v>
      </c>
      <c r="AH40">
        <v>3</v>
      </c>
      <c r="AJ40">
        <v>1</v>
      </c>
      <c r="AK40">
        <v>1</v>
      </c>
      <c r="AL40">
        <v>17.46</v>
      </c>
      <c r="AO40" t="s">
        <v>2926</v>
      </c>
      <c r="AP40">
        <v>2952</v>
      </c>
      <c r="AV40">
        <v>0</v>
      </c>
      <c r="AX40" t="s">
        <v>3053</v>
      </c>
    </row>
    <row r="41" spans="1:50">
      <c r="A41" s="1">
        <f>HYPERLINK("https://lsnyc.legalserver.org/matter/dynamic-profile/view/1894706","19-1894706")</f>
        <v>0</v>
      </c>
      <c r="B41" t="s">
        <v>50</v>
      </c>
      <c r="C41" t="s">
        <v>77</v>
      </c>
      <c r="D41" t="s">
        <v>163</v>
      </c>
      <c r="E41" t="s">
        <v>195</v>
      </c>
      <c r="G41" t="s">
        <v>440</v>
      </c>
      <c r="H41" t="s">
        <v>797</v>
      </c>
      <c r="I41" t="s">
        <v>1135</v>
      </c>
      <c r="J41">
        <v>9</v>
      </c>
      <c r="K41" t="s">
        <v>1644</v>
      </c>
      <c r="L41">
        <v>11203</v>
      </c>
      <c r="M41" t="s">
        <v>1671</v>
      </c>
      <c r="R41" t="s">
        <v>1959</v>
      </c>
      <c r="V41" t="s">
        <v>1972</v>
      </c>
      <c r="X41" t="s">
        <v>195</v>
      </c>
      <c r="Y41">
        <v>0</v>
      </c>
      <c r="Z41" t="s">
        <v>2009</v>
      </c>
      <c r="AC41" t="s">
        <v>2076</v>
      </c>
      <c r="AD41" t="s">
        <v>2502</v>
      </c>
      <c r="AE41">
        <v>0</v>
      </c>
      <c r="AH41">
        <v>0</v>
      </c>
      <c r="AJ41">
        <v>2</v>
      </c>
      <c r="AK41">
        <v>2</v>
      </c>
      <c r="AL41">
        <v>34.43</v>
      </c>
      <c r="AO41" t="s">
        <v>2926</v>
      </c>
      <c r="AP41">
        <v>8866</v>
      </c>
      <c r="AV41">
        <v>8.199999999999999</v>
      </c>
      <c r="AW41" t="s">
        <v>1995</v>
      </c>
      <c r="AX41" t="s">
        <v>69</v>
      </c>
    </row>
    <row r="42" spans="1:50">
      <c r="A42" s="1">
        <f>HYPERLINK("https://lsnyc.legalserver.org/matter/dynamic-profile/view/1882962","18-1882962")</f>
        <v>0</v>
      </c>
      <c r="B42" t="s">
        <v>50</v>
      </c>
      <c r="C42" t="s">
        <v>52</v>
      </c>
      <c r="D42" t="s">
        <v>163</v>
      </c>
      <c r="E42" t="s">
        <v>196</v>
      </c>
      <c r="G42" t="s">
        <v>441</v>
      </c>
      <c r="H42" t="s">
        <v>798</v>
      </c>
      <c r="I42" t="s">
        <v>1136</v>
      </c>
      <c r="J42" t="s">
        <v>1498</v>
      </c>
      <c r="K42" t="s">
        <v>1641</v>
      </c>
      <c r="L42">
        <v>10457</v>
      </c>
      <c r="M42" t="s">
        <v>1670</v>
      </c>
      <c r="P42" t="s">
        <v>1695</v>
      </c>
      <c r="Q42" t="s">
        <v>1938</v>
      </c>
      <c r="R42" t="s">
        <v>1961</v>
      </c>
      <c r="T42" t="s">
        <v>1670</v>
      </c>
      <c r="V42" t="s">
        <v>1972</v>
      </c>
      <c r="X42" t="s">
        <v>359</v>
      </c>
      <c r="Y42">
        <v>1179</v>
      </c>
      <c r="Z42" t="s">
        <v>2006</v>
      </c>
      <c r="AA42" t="s">
        <v>2015</v>
      </c>
      <c r="AC42" t="s">
        <v>2077</v>
      </c>
      <c r="AD42" t="s">
        <v>2503</v>
      </c>
      <c r="AE42">
        <v>47</v>
      </c>
      <c r="AF42" t="s">
        <v>2902</v>
      </c>
      <c r="AG42" t="s">
        <v>1754</v>
      </c>
      <c r="AH42">
        <v>8</v>
      </c>
      <c r="AJ42">
        <v>1</v>
      </c>
      <c r="AK42">
        <v>1</v>
      </c>
      <c r="AL42">
        <v>151.88</v>
      </c>
      <c r="AO42" t="s">
        <v>2927</v>
      </c>
      <c r="AP42">
        <v>25000</v>
      </c>
      <c r="AV42">
        <v>0.1</v>
      </c>
      <c r="AW42" t="s">
        <v>171</v>
      </c>
      <c r="AX42" t="s">
        <v>3046</v>
      </c>
    </row>
    <row r="43" spans="1:50">
      <c r="A43" s="1">
        <f>HYPERLINK("https://lsnyc.legalserver.org/matter/dynamic-profile/view/1882956","18-1882956")</f>
        <v>0</v>
      </c>
      <c r="B43" t="s">
        <v>50</v>
      </c>
      <c r="C43" t="s">
        <v>52</v>
      </c>
      <c r="D43" t="s">
        <v>163</v>
      </c>
      <c r="E43" t="s">
        <v>196</v>
      </c>
      <c r="G43" t="s">
        <v>441</v>
      </c>
      <c r="H43" t="s">
        <v>798</v>
      </c>
      <c r="I43" t="s">
        <v>1136</v>
      </c>
      <c r="J43" t="s">
        <v>1498</v>
      </c>
      <c r="K43" t="s">
        <v>1641</v>
      </c>
      <c r="L43">
        <v>10457</v>
      </c>
      <c r="M43" t="s">
        <v>1670</v>
      </c>
      <c r="P43" t="s">
        <v>1696</v>
      </c>
      <c r="Q43" t="s">
        <v>1939</v>
      </c>
      <c r="R43" t="s">
        <v>1960</v>
      </c>
      <c r="T43" t="s">
        <v>1670</v>
      </c>
      <c r="V43" t="s">
        <v>1972</v>
      </c>
      <c r="X43" t="s">
        <v>359</v>
      </c>
      <c r="Y43">
        <v>1179</v>
      </c>
      <c r="Z43" t="s">
        <v>2006</v>
      </c>
      <c r="AA43" t="s">
        <v>2015</v>
      </c>
      <c r="AC43" t="s">
        <v>2077</v>
      </c>
      <c r="AD43" t="s">
        <v>2503</v>
      </c>
      <c r="AE43">
        <v>47</v>
      </c>
      <c r="AF43" t="s">
        <v>2902</v>
      </c>
      <c r="AG43" t="s">
        <v>1754</v>
      </c>
      <c r="AH43">
        <v>8</v>
      </c>
      <c r="AJ43">
        <v>1</v>
      </c>
      <c r="AK43">
        <v>1</v>
      </c>
      <c r="AL43">
        <v>151.88</v>
      </c>
      <c r="AO43" t="s">
        <v>2927</v>
      </c>
      <c r="AP43">
        <v>25000</v>
      </c>
      <c r="AV43">
        <v>0.2</v>
      </c>
      <c r="AW43" t="s">
        <v>303</v>
      </c>
      <c r="AX43" t="s">
        <v>3046</v>
      </c>
    </row>
    <row r="44" spans="1:50">
      <c r="A44" s="1">
        <f>HYPERLINK("https://lsnyc.legalserver.org/matter/dynamic-profile/view/1875532","18-1875532")</f>
        <v>0</v>
      </c>
      <c r="B44" t="s">
        <v>50</v>
      </c>
      <c r="C44" t="s">
        <v>74</v>
      </c>
      <c r="D44" t="s">
        <v>164</v>
      </c>
      <c r="E44" t="s">
        <v>197</v>
      </c>
      <c r="F44" t="s">
        <v>359</v>
      </c>
      <c r="G44" t="s">
        <v>442</v>
      </c>
      <c r="H44" t="s">
        <v>799</v>
      </c>
      <c r="I44" t="s">
        <v>1137</v>
      </c>
      <c r="J44" t="s">
        <v>1499</v>
      </c>
      <c r="K44" t="s">
        <v>1641</v>
      </c>
      <c r="L44">
        <v>10453</v>
      </c>
      <c r="M44" t="s">
        <v>1670</v>
      </c>
      <c r="P44" t="s">
        <v>1697</v>
      </c>
      <c r="Q44" t="s">
        <v>1936</v>
      </c>
      <c r="R44" t="s">
        <v>1958</v>
      </c>
      <c r="S44" t="s">
        <v>1965</v>
      </c>
      <c r="T44" t="s">
        <v>1671</v>
      </c>
      <c r="V44" t="s">
        <v>1972</v>
      </c>
      <c r="X44" t="s">
        <v>1992</v>
      </c>
      <c r="Y44">
        <v>1114</v>
      </c>
      <c r="Z44" t="s">
        <v>2006</v>
      </c>
      <c r="AA44" t="s">
        <v>2014</v>
      </c>
      <c r="AB44" t="s">
        <v>2032</v>
      </c>
      <c r="AC44" t="s">
        <v>2078</v>
      </c>
      <c r="AD44" t="s">
        <v>2504</v>
      </c>
      <c r="AE44">
        <v>43</v>
      </c>
      <c r="AF44" t="s">
        <v>2906</v>
      </c>
      <c r="AG44" t="s">
        <v>2915</v>
      </c>
      <c r="AH44">
        <v>6</v>
      </c>
      <c r="AJ44">
        <v>1</v>
      </c>
      <c r="AK44">
        <v>3</v>
      </c>
      <c r="AL44">
        <v>91.31</v>
      </c>
      <c r="AO44" t="s">
        <v>2926</v>
      </c>
      <c r="AP44">
        <v>22920</v>
      </c>
      <c r="AQ44" t="s">
        <v>2938</v>
      </c>
      <c r="AV44">
        <v>1.2</v>
      </c>
      <c r="AW44" t="s">
        <v>308</v>
      </c>
      <c r="AX44" t="s">
        <v>3054</v>
      </c>
    </row>
    <row r="45" spans="1:50">
      <c r="A45" s="1">
        <f>HYPERLINK("https://lsnyc.legalserver.org/matter/dynamic-profile/view/1896654","19-1896654")</f>
        <v>0</v>
      </c>
      <c r="B45" t="s">
        <v>50</v>
      </c>
      <c r="C45" t="s">
        <v>66</v>
      </c>
      <c r="D45" t="s">
        <v>164</v>
      </c>
      <c r="E45" t="s">
        <v>198</v>
      </c>
      <c r="F45" t="s">
        <v>369</v>
      </c>
      <c r="G45" t="s">
        <v>443</v>
      </c>
      <c r="H45" t="s">
        <v>800</v>
      </c>
      <c r="I45" t="s">
        <v>1138</v>
      </c>
      <c r="J45" t="s">
        <v>1500</v>
      </c>
      <c r="K45" t="s">
        <v>1644</v>
      </c>
      <c r="L45">
        <v>11212</v>
      </c>
      <c r="M45" t="s">
        <v>1670</v>
      </c>
      <c r="P45" t="s">
        <v>1698</v>
      </c>
      <c r="Q45" t="s">
        <v>1936</v>
      </c>
      <c r="R45" t="s">
        <v>1960</v>
      </c>
      <c r="S45" t="s">
        <v>1967</v>
      </c>
      <c r="T45" t="s">
        <v>1671</v>
      </c>
      <c r="V45" t="s">
        <v>1972</v>
      </c>
      <c r="W45" t="s">
        <v>1986</v>
      </c>
      <c r="X45" t="s">
        <v>369</v>
      </c>
      <c r="Y45">
        <v>911</v>
      </c>
      <c r="Z45" t="s">
        <v>2009</v>
      </c>
      <c r="AA45" t="s">
        <v>2014</v>
      </c>
      <c r="AB45" t="s">
        <v>2032</v>
      </c>
      <c r="AC45" t="s">
        <v>2079</v>
      </c>
      <c r="AD45" t="s">
        <v>2505</v>
      </c>
      <c r="AE45">
        <v>0</v>
      </c>
      <c r="AF45" t="s">
        <v>2902</v>
      </c>
      <c r="AH45">
        <v>9</v>
      </c>
      <c r="AJ45">
        <v>1</v>
      </c>
      <c r="AK45">
        <v>2</v>
      </c>
      <c r="AL45">
        <v>23.65</v>
      </c>
      <c r="AO45" t="s">
        <v>2926</v>
      </c>
      <c r="AP45">
        <v>5044</v>
      </c>
      <c r="AV45">
        <v>28</v>
      </c>
      <c r="AW45" t="s">
        <v>369</v>
      </c>
      <c r="AX45" t="s">
        <v>3055</v>
      </c>
    </row>
    <row r="46" spans="1:50">
      <c r="A46" s="1">
        <f>HYPERLINK("https://lsnyc.legalserver.org/matter/dynamic-profile/view/1893224","19-1893224")</f>
        <v>0</v>
      </c>
      <c r="B46" t="s">
        <v>50</v>
      </c>
      <c r="C46" t="s">
        <v>78</v>
      </c>
      <c r="D46" t="s">
        <v>163</v>
      </c>
      <c r="E46" t="s">
        <v>199</v>
      </c>
      <c r="G46" t="s">
        <v>444</v>
      </c>
      <c r="H46" t="s">
        <v>801</v>
      </c>
      <c r="I46" t="s">
        <v>1139</v>
      </c>
      <c r="J46">
        <v>2</v>
      </c>
      <c r="K46" t="s">
        <v>1646</v>
      </c>
      <c r="L46">
        <v>10301</v>
      </c>
      <c r="M46" t="s">
        <v>1670</v>
      </c>
      <c r="P46" t="s">
        <v>1699</v>
      </c>
      <c r="Q46" t="s">
        <v>1936</v>
      </c>
      <c r="R46" t="s">
        <v>1960</v>
      </c>
      <c r="T46" t="s">
        <v>1671</v>
      </c>
      <c r="V46" t="s">
        <v>1972</v>
      </c>
      <c r="W46" t="s">
        <v>1984</v>
      </c>
      <c r="X46" t="s">
        <v>199</v>
      </c>
      <c r="Y46">
        <v>1515</v>
      </c>
      <c r="Z46" t="s">
        <v>2010</v>
      </c>
      <c r="AA46" t="s">
        <v>2015</v>
      </c>
      <c r="AC46" t="s">
        <v>2080</v>
      </c>
      <c r="AD46" t="s">
        <v>2506</v>
      </c>
      <c r="AE46">
        <v>4</v>
      </c>
      <c r="AF46" t="s">
        <v>2903</v>
      </c>
      <c r="AG46" t="s">
        <v>2918</v>
      </c>
      <c r="AH46">
        <v>1</v>
      </c>
      <c r="AJ46">
        <v>2</v>
      </c>
      <c r="AK46">
        <v>1</v>
      </c>
      <c r="AL46">
        <v>48.76</v>
      </c>
      <c r="AO46" t="s">
        <v>2926</v>
      </c>
      <c r="AP46">
        <v>10400</v>
      </c>
      <c r="AR46" t="s">
        <v>2978</v>
      </c>
      <c r="AS46" t="s">
        <v>2017</v>
      </c>
      <c r="AV46">
        <v>19.65</v>
      </c>
      <c r="AW46" t="s">
        <v>3030</v>
      </c>
      <c r="AX46" t="s">
        <v>3056</v>
      </c>
    </row>
    <row r="47" spans="1:50">
      <c r="A47" s="1">
        <f>HYPERLINK("https://lsnyc.legalserver.org/matter/dynamic-profile/view/1879507","18-1879507")</f>
        <v>0</v>
      </c>
      <c r="B47" t="s">
        <v>50</v>
      </c>
      <c r="C47" t="s">
        <v>79</v>
      </c>
      <c r="D47" t="s">
        <v>164</v>
      </c>
      <c r="E47" t="s">
        <v>200</v>
      </c>
      <c r="F47" t="s">
        <v>330</v>
      </c>
      <c r="G47" t="s">
        <v>445</v>
      </c>
      <c r="H47" t="s">
        <v>802</v>
      </c>
      <c r="I47" t="s">
        <v>1140</v>
      </c>
      <c r="J47" t="s">
        <v>1501</v>
      </c>
      <c r="K47" t="s">
        <v>1644</v>
      </c>
      <c r="L47">
        <v>11233</v>
      </c>
      <c r="M47" t="s">
        <v>1670</v>
      </c>
      <c r="P47" t="s">
        <v>1700</v>
      </c>
      <c r="Q47" t="s">
        <v>1940</v>
      </c>
      <c r="R47" t="s">
        <v>1960</v>
      </c>
      <c r="S47" t="s">
        <v>1969</v>
      </c>
      <c r="T47" t="s">
        <v>1670</v>
      </c>
      <c r="V47" t="s">
        <v>1972</v>
      </c>
      <c r="W47" t="s">
        <v>1984</v>
      </c>
      <c r="X47" t="s">
        <v>227</v>
      </c>
      <c r="Y47">
        <v>1500</v>
      </c>
      <c r="Z47" t="s">
        <v>2009</v>
      </c>
      <c r="AB47" t="s">
        <v>2032</v>
      </c>
      <c r="AC47" t="s">
        <v>2081</v>
      </c>
      <c r="AD47" t="s">
        <v>2507</v>
      </c>
      <c r="AE47">
        <v>6</v>
      </c>
      <c r="AF47" t="s">
        <v>2902</v>
      </c>
      <c r="AH47">
        <v>1</v>
      </c>
      <c r="AJ47">
        <v>1</v>
      </c>
      <c r="AK47">
        <v>1</v>
      </c>
      <c r="AL47">
        <v>172.67</v>
      </c>
      <c r="AO47" t="s">
        <v>2926</v>
      </c>
      <c r="AP47">
        <v>28422.12</v>
      </c>
      <c r="AV47">
        <v>1.2</v>
      </c>
      <c r="AW47" t="s">
        <v>330</v>
      </c>
      <c r="AX47" t="s">
        <v>79</v>
      </c>
    </row>
    <row r="48" spans="1:50">
      <c r="A48" s="1">
        <f>HYPERLINK("https://lsnyc.legalserver.org/matter/dynamic-profile/view/1873805","18-1873805")</f>
        <v>0</v>
      </c>
      <c r="B48" t="s">
        <v>50</v>
      </c>
      <c r="C48" t="s">
        <v>54</v>
      </c>
      <c r="D48" t="s">
        <v>164</v>
      </c>
      <c r="E48" t="s">
        <v>169</v>
      </c>
      <c r="F48" t="s">
        <v>257</v>
      </c>
      <c r="G48" t="s">
        <v>446</v>
      </c>
      <c r="H48" t="s">
        <v>803</v>
      </c>
      <c r="I48" t="s">
        <v>1124</v>
      </c>
      <c r="J48" t="s">
        <v>1502</v>
      </c>
      <c r="K48" t="s">
        <v>1643</v>
      </c>
      <c r="L48">
        <v>10034</v>
      </c>
      <c r="M48" t="s">
        <v>1670</v>
      </c>
      <c r="Q48" t="s">
        <v>1939</v>
      </c>
      <c r="R48" t="s">
        <v>1962</v>
      </c>
      <c r="S48" t="s">
        <v>1965</v>
      </c>
      <c r="T48" t="s">
        <v>1671</v>
      </c>
      <c r="V48" t="s">
        <v>1972</v>
      </c>
      <c r="X48" t="s">
        <v>169</v>
      </c>
      <c r="Y48">
        <v>1200</v>
      </c>
      <c r="Z48" t="s">
        <v>2008</v>
      </c>
      <c r="AA48" t="s">
        <v>2020</v>
      </c>
      <c r="AB48" t="s">
        <v>2029</v>
      </c>
      <c r="AC48" t="s">
        <v>2082</v>
      </c>
      <c r="AD48" t="s">
        <v>2508</v>
      </c>
      <c r="AE48">
        <v>46</v>
      </c>
      <c r="AF48" t="s">
        <v>2902</v>
      </c>
      <c r="AG48" t="s">
        <v>1754</v>
      </c>
      <c r="AH48">
        <v>30</v>
      </c>
      <c r="AJ48">
        <v>3</v>
      </c>
      <c r="AK48">
        <v>1</v>
      </c>
      <c r="AL48">
        <v>61.25</v>
      </c>
      <c r="AO48" t="s">
        <v>2927</v>
      </c>
      <c r="AP48">
        <v>15374.46</v>
      </c>
      <c r="AV48">
        <v>0.5</v>
      </c>
      <c r="AW48" t="s">
        <v>257</v>
      </c>
      <c r="AX48" t="s">
        <v>3042</v>
      </c>
    </row>
    <row r="49" spans="1:50">
      <c r="A49" s="1">
        <f>HYPERLINK("https://lsnyc.legalserver.org/matter/dynamic-profile/view/1871577","18-1871577")</f>
        <v>0</v>
      </c>
      <c r="B49" t="s">
        <v>50</v>
      </c>
      <c r="C49" t="s">
        <v>54</v>
      </c>
      <c r="D49" t="s">
        <v>164</v>
      </c>
      <c r="E49" t="s">
        <v>201</v>
      </c>
      <c r="F49" t="s">
        <v>216</v>
      </c>
      <c r="G49" t="s">
        <v>446</v>
      </c>
      <c r="H49" t="s">
        <v>803</v>
      </c>
      <c r="I49" t="s">
        <v>1124</v>
      </c>
      <c r="J49" t="s">
        <v>1502</v>
      </c>
      <c r="K49" t="s">
        <v>1643</v>
      </c>
      <c r="L49">
        <v>10034</v>
      </c>
      <c r="M49" t="s">
        <v>1670</v>
      </c>
      <c r="Q49" t="s">
        <v>1939</v>
      </c>
      <c r="R49" t="s">
        <v>1962</v>
      </c>
      <c r="S49" t="s">
        <v>1968</v>
      </c>
      <c r="T49" t="s">
        <v>1671</v>
      </c>
      <c r="V49" t="s">
        <v>1972</v>
      </c>
      <c r="X49" t="s">
        <v>201</v>
      </c>
      <c r="Y49">
        <v>1200</v>
      </c>
      <c r="Z49" t="s">
        <v>2008</v>
      </c>
      <c r="AA49" t="s">
        <v>2013</v>
      </c>
      <c r="AB49" t="s">
        <v>2030</v>
      </c>
      <c r="AC49" t="s">
        <v>2082</v>
      </c>
      <c r="AD49" t="s">
        <v>2508</v>
      </c>
      <c r="AE49">
        <v>46</v>
      </c>
      <c r="AF49" t="s">
        <v>2902</v>
      </c>
      <c r="AG49" t="s">
        <v>1754</v>
      </c>
      <c r="AH49">
        <v>30</v>
      </c>
      <c r="AJ49">
        <v>3</v>
      </c>
      <c r="AK49">
        <v>1</v>
      </c>
      <c r="AL49">
        <v>61.25</v>
      </c>
      <c r="AO49" t="s">
        <v>2927</v>
      </c>
      <c r="AP49">
        <v>15374.46</v>
      </c>
      <c r="AV49">
        <v>1.9</v>
      </c>
      <c r="AW49" t="s">
        <v>287</v>
      </c>
      <c r="AX49" t="s">
        <v>3042</v>
      </c>
    </row>
    <row r="50" spans="1:50">
      <c r="A50" s="1">
        <f>HYPERLINK("https://lsnyc.legalserver.org/matter/dynamic-profile/view/1887057","19-1887057")</f>
        <v>0</v>
      </c>
      <c r="B50" t="s">
        <v>50</v>
      </c>
      <c r="C50" t="s">
        <v>80</v>
      </c>
      <c r="D50" t="s">
        <v>164</v>
      </c>
      <c r="E50" t="s">
        <v>202</v>
      </c>
      <c r="F50" t="s">
        <v>212</v>
      </c>
      <c r="G50" t="s">
        <v>447</v>
      </c>
      <c r="H50" t="s">
        <v>804</v>
      </c>
      <c r="I50" t="s">
        <v>1141</v>
      </c>
      <c r="J50">
        <v>1</v>
      </c>
      <c r="K50" t="s">
        <v>1646</v>
      </c>
      <c r="L50">
        <v>10301</v>
      </c>
      <c r="M50" t="s">
        <v>1670</v>
      </c>
      <c r="P50" t="s">
        <v>1701</v>
      </c>
      <c r="Q50" t="s">
        <v>1936</v>
      </c>
      <c r="R50" t="s">
        <v>1960</v>
      </c>
      <c r="S50" t="s">
        <v>1969</v>
      </c>
      <c r="T50" t="s">
        <v>1671</v>
      </c>
      <c r="V50" t="s">
        <v>1972</v>
      </c>
      <c r="W50" t="s">
        <v>1984</v>
      </c>
      <c r="X50" t="s">
        <v>202</v>
      </c>
      <c r="Y50">
        <v>1515</v>
      </c>
      <c r="Z50" t="s">
        <v>2010</v>
      </c>
      <c r="AA50" t="s">
        <v>2016</v>
      </c>
      <c r="AB50" t="s">
        <v>2032</v>
      </c>
      <c r="AC50" t="s">
        <v>2083</v>
      </c>
      <c r="AD50" t="s">
        <v>2509</v>
      </c>
      <c r="AE50">
        <v>2</v>
      </c>
      <c r="AF50" t="s">
        <v>2903</v>
      </c>
      <c r="AG50" t="s">
        <v>2916</v>
      </c>
      <c r="AH50">
        <v>4</v>
      </c>
      <c r="AJ50">
        <v>1</v>
      </c>
      <c r="AK50">
        <v>2</v>
      </c>
      <c r="AL50">
        <v>171.95</v>
      </c>
      <c r="AO50" t="s">
        <v>2926</v>
      </c>
      <c r="AP50">
        <v>35732</v>
      </c>
      <c r="AV50">
        <v>5</v>
      </c>
      <c r="AW50" t="s">
        <v>266</v>
      </c>
      <c r="AX50" t="s">
        <v>3057</v>
      </c>
    </row>
    <row r="51" spans="1:50">
      <c r="A51" s="1">
        <f>HYPERLINK("https://lsnyc.legalserver.org/matter/dynamic-profile/view/1897367","19-1897367")</f>
        <v>0</v>
      </c>
      <c r="B51" t="s">
        <v>50</v>
      </c>
      <c r="C51" t="s">
        <v>81</v>
      </c>
      <c r="D51" t="s">
        <v>163</v>
      </c>
      <c r="E51" t="s">
        <v>203</v>
      </c>
      <c r="G51" t="s">
        <v>438</v>
      </c>
      <c r="H51" t="s">
        <v>805</v>
      </c>
      <c r="I51" t="s">
        <v>1142</v>
      </c>
      <c r="J51" t="s">
        <v>1503</v>
      </c>
      <c r="K51" t="s">
        <v>1641</v>
      </c>
      <c r="L51">
        <v>10451</v>
      </c>
      <c r="M51" t="s">
        <v>1670</v>
      </c>
      <c r="Q51" t="s">
        <v>1943</v>
      </c>
      <c r="R51" t="s">
        <v>1958</v>
      </c>
      <c r="T51" t="s">
        <v>1671</v>
      </c>
      <c r="V51" t="s">
        <v>1973</v>
      </c>
      <c r="X51" t="s">
        <v>1991</v>
      </c>
      <c r="Y51">
        <v>891.87</v>
      </c>
      <c r="Z51" t="s">
        <v>2006</v>
      </c>
      <c r="AA51" t="s">
        <v>2020</v>
      </c>
      <c r="AC51" t="s">
        <v>2084</v>
      </c>
      <c r="AD51" t="s">
        <v>2510</v>
      </c>
      <c r="AE51">
        <v>84</v>
      </c>
      <c r="AF51" t="s">
        <v>2902</v>
      </c>
      <c r="AG51" t="s">
        <v>2918</v>
      </c>
      <c r="AH51">
        <v>25</v>
      </c>
      <c r="AJ51">
        <v>1</v>
      </c>
      <c r="AK51">
        <v>2</v>
      </c>
      <c r="AL51">
        <v>0</v>
      </c>
      <c r="AO51" t="s">
        <v>2927</v>
      </c>
      <c r="AP51">
        <v>0</v>
      </c>
      <c r="AQ51" t="s">
        <v>2939</v>
      </c>
      <c r="AV51">
        <v>0.8</v>
      </c>
      <c r="AW51" t="s">
        <v>333</v>
      </c>
      <c r="AX51" t="s">
        <v>3046</v>
      </c>
    </row>
    <row r="52" spans="1:50">
      <c r="A52" s="1">
        <f>HYPERLINK("https://lsnyc.legalserver.org/matter/dynamic-profile/view/1878277","18-1878277")</f>
        <v>0</v>
      </c>
      <c r="B52" t="s">
        <v>50</v>
      </c>
      <c r="C52" t="s">
        <v>57</v>
      </c>
      <c r="D52" t="s">
        <v>164</v>
      </c>
      <c r="E52" t="s">
        <v>204</v>
      </c>
      <c r="F52" t="s">
        <v>227</v>
      </c>
      <c r="G52" t="s">
        <v>448</v>
      </c>
      <c r="H52" t="s">
        <v>806</v>
      </c>
      <c r="I52" t="s">
        <v>1143</v>
      </c>
      <c r="J52" t="s">
        <v>1504</v>
      </c>
      <c r="K52" t="s">
        <v>1641</v>
      </c>
      <c r="L52">
        <v>10452</v>
      </c>
      <c r="M52" t="s">
        <v>1670</v>
      </c>
      <c r="Q52" t="s">
        <v>1939</v>
      </c>
      <c r="R52" t="s">
        <v>1958</v>
      </c>
      <c r="S52" t="s">
        <v>1965</v>
      </c>
      <c r="T52" t="s">
        <v>1671</v>
      </c>
      <c r="V52" t="s">
        <v>1972</v>
      </c>
      <c r="X52" t="s">
        <v>204</v>
      </c>
      <c r="Y52">
        <v>1357</v>
      </c>
      <c r="Z52" t="s">
        <v>2006</v>
      </c>
      <c r="AA52" t="s">
        <v>2020</v>
      </c>
      <c r="AB52" t="s">
        <v>2029</v>
      </c>
      <c r="AC52" t="s">
        <v>2085</v>
      </c>
      <c r="AD52" t="s">
        <v>2511</v>
      </c>
      <c r="AE52">
        <v>58</v>
      </c>
      <c r="AF52" t="s">
        <v>2902</v>
      </c>
      <c r="AG52" t="s">
        <v>2915</v>
      </c>
      <c r="AH52">
        <v>25</v>
      </c>
      <c r="AJ52">
        <v>1</v>
      </c>
      <c r="AK52">
        <v>1</v>
      </c>
      <c r="AL52">
        <v>146.54</v>
      </c>
      <c r="AO52" t="s">
        <v>2926</v>
      </c>
      <c r="AP52">
        <v>24120</v>
      </c>
      <c r="AV52">
        <v>1.1</v>
      </c>
      <c r="AW52" t="s">
        <v>348</v>
      </c>
      <c r="AX52" t="s">
        <v>3058</v>
      </c>
    </row>
    <row r="53" spans="1:50">
      <c r="A53" s="1">
        <f>HYPERLINK("https://lsnyc.legalserver.org/matter/dynamic-profile/view/1886406","18-1886406")</f>
        <v>0</v>
      </c>
      <c r="B53" t="s">
        <v>50</v>
      </c>
      <c r="C53" t="s">
        <v>82</v>
      </c>
      <c r="D53" t="s">
        <v>163</v>
      </c>
      <c r="E53" t="s">
        <v>205</v>
      </c>
      <c r="G53" t="s">
        <v>449</v>
      </c>
      <c r="H53" t="s">
        <v>807</v>
      </c>
      <c r="I53" t="s">
        <v>1144</v>
      </c>
      <c r="J53" t="s">
        <v>1505</v>
      </c>
      <c r="K53" t="s">
        <v>1644</v>
      </c>
      <c r="L53">
        <v>11233</v>
      </c>
      <c r="M53" t="s">
        <v>1670</v>
      </c>
      <c r="P53" t="s">
        <v>1675</v>
      </c>
      <c r="Q53" t="s">
        <v>1938</v>
      </c>
      <c r="R53" t="s">
        <v>1959</v>
      </c>
      <c r="T53" t="s">
        <v>1670</v>
      </c>
      <c r="V53" t="s">
        <v>1972</v>
      </c>
      <c r="W53" t="s">
        <v>1984</v>
      </c>
      <c r="X53" t="s">
        <v>376</v>
      </c>
      <c r="Y53">
        <v>1036</v>
      </c>
      <c r="Z53" t="s">
        <v>2009</v>
      </c>
      <c r="AA53" t="s">
        <v>2021</v>
      </c>
      <c r="AC53" t="s">
        <v>2086</v>
      </c>
      <c r="AD53" t="s">
        <v>2512</v>
      </c>
      <c r="AE53">
        <v>764</v>
      </c>
      <c r="AF53" t="s">
        <v>2902</v>
      </c>
      <c r="AG53" t="s">
        <v>2915</v>
      </c>
      <c r="AH53">
        <v>13</v>
      </c>
      <c r="AJ53">
        <v>2</v>
      </c>
      <c r="AK53">
        <v>4</v>
      </c>
      <c r="AL53">
        <v>0.06</v>
      </c>
      <c r="AO53" t="s">
        <v>2926</v>
      </c>
      <c r="AP53">
        <v>20</v>
      </c>
      <c r="AV53">
        <v>0</v>
      </c>
      <c r="AX53" t="s">
        <v>3059</v>
      </c>
    </row>
    <row r="54" spans="1:50">
      <c r="A54" s="1">
        <f>HYPERLINK("https://lsnyc.legalserver.org/matter/dynamic-profile/view/1891713","19-1891713")</f>
        <v>0</v>
      </c>
      <c r="B54" t="s">
        <v>50</v>
      </c>
      <c r="C54" t="s">
        <v>82</v>
      </c>
      <c r="D54" t="s">
        <v>163</v>
      </c>
      <c r="E54" t="s">
        <v>181</v>
      </c>
      <c r="G54" t="s">
        <v>449</v>
      </c>
      <c r="H54" t="s">
        <v>807</v>
      </c>
      <c r="I54" t="s">
        <v>1144</v>
      </c>
      <c r="J54" t="s">
        <v>1505</v>
      </c>
      <c r="K54" t="s">
        <v>1644</v>
      </c>
      <c r="L54">
        <v>11233</v>
      </c>
      <c r="M54" t="s">
        <v>1670</v>
      </c>
      <c r="P54" t="s">
        <v>1691</v>
      </c>
      <c r="Q54" t="s">
        <v>1937</v>
      </c>
      <c r="R54" t="s">
        <v>1962</v>
      </c>
      <c r="T54" t="s">
        <v>1670</v>
      </c>
      <c r="V54" t="s">
        <v>1972</v>
      </c>
      <c r="W54" t="s">
        <v>1984</v>
      </c>
      <c r="X54" t="s">
        <v>221</v>
      </c>
      <c r="Y54">
        <v>1036</v>
      </c>
      <c r="Z54" t="s">
        <v>2009</v>
      </c>
      <c r="AC54" t="s">
        <v>2086</v>
      </c>
      <c r="AD54" t="s">
        <v>2512</v>
      </c>
      <c r="AE54">
        <v>359</v>
      </c>
      <c r="AF54" t="s">
        <v>2902</v>
      </c>
      <c r="AG54" t="s">
        <v>2915</v>
      </c>
      <c r="AH54">
        <v>13</v>
      </c>
      <c r="AJ54">
        <v>2</v>
      </c>
      <c r="AK54">
        <v>4</v>
      </c>
      <c r="AL54">
        <v>57.82</v>
      </c>
      <c r="AO54" t="s">
        <v>2926</v>
      </c>
      <c r="AP54">
        <v>20000</v>
      </c>
      <c r="AQ54" t="s">
        <v>2940</v>
      </c>
      <c r="AV54">
        <v>0</v>
      </c>
      <c r="AX54" t="s">
        <v>3060</v>
      </c>
    </row>
    <row r="55" spans="1:50">
      <c r="A55" s="1">
        <f>HYPERLINK("https://lsnyc.legalserver.org/matter/dynamic-profile/view/1901186","19-1901186")</f>
        <v>0</v>
      </c>
      <c r="B55" t="s">
        <v>50</v>
      </c>
      <c r="C55" t="s">
        <v>83</v>
      </c>
      <c r="D55" t="s">
        <v>163</v>
      </c>
      <c r="E55" t="s">
        <v>206</v>
      </c>
      <c r="G55" t="s">
        <v>450</v>
      </c>
      <c r="H55" t="s">
        <v>808</v>
      </c>
      <c r="I55" t="s">
        <v>1145</v>
      </c>
      <c r="J55" t="s">
        <v>1506</v>
      </c>
      <c r="K55" t="s">
        <v>1643</v>
      </c>
      <c r="L55">
        <v>10036</v>
      </c>
      <c r="M55" t="s">
        <v>1670</v>
      </c>
      <c r="P55" t="s">
        <v>1702</v>
      </c>
      <c r="Q55" t="s">
        <v>1936</v>
      </c>
      <c r="R55" t="s">
        <v>1963</v>
      </c>
      <c r="T55" t="s">
        <v>1671</v>
      </c>
      <c r="V55" t="s">
        <v>1972</v>
      </c>
      <c r="X55" t="s">
        <v>206</v>
      </c>
      <c r="Y55">
        <v>898</v>
      </c>
      <c r="Z55" t="s">
        <v>2008</v>
      </c>
      <c r="AA55" t="s">
        <v>2014</v>
      </c>
      <c r="AC55" t="s">
        <v>2087</v>
      </c>
      <c r="AD55" t="s">
        <v>2513</v>
      </c>
      <c r="AE55">
        <v>0</v>
      </c>
      <c r="AF55" t="s">
        <v>2907</v>
      </c>
      <c r="AG55" t="s">
        <v>2915</v>
      </c>
      <c r="AH55">
        <v>39</v>
      </c>
      <c r="AJ55">
        <v>3</v>
      </c>
      <c r="AK55">
        <v>1</v>
      </c>
      <c r="AL55">
        <v>169.92</v>
      </c>
      <c r="AO55" t="s">
        <v>2926</v>
      </c>
      <c r="AP55">
        <v>43754</v>
      </c>
      <c r="AV55">
        <v>1.2</v>
      </c>
      <c r="AW55" t="s">
        <v>346</v>
      </c>
      <c r="AX55" t="s">
        <v>3061</v>
      </c>
    </row>
    <row r="56" spans="1:50">
      <c r="A56" s="1">
        <f>HYPERLINK("https://lsnyc.legalserver.org/matter/dynamic-profile/view/1873824","18-1873824")</f>
        <v>0</v>
      </c>
      <c r="B56" t="s">
        <v>50</v>
      </c>
      <c r="C56" t="s">
        <v>84</v>
      </c>
      <c r="D56" t="s">
        <v>164</v>
      </c>
      <c r="E56" t="s">
        <v>207</v>
      </c>
      <c r="F56" t="s">
        <v>264</v>
      </c>
      <c r="G56" t="s">
        <v>415</v>
      </c>
      <c r="H56" t="s">
        <v>809</v>
      </c>
      <c r="I56" t="s">
        <v>1146</v>
      </c>
      <c r="J56" t="s">
        <v>1507</v>
      </c>
      <c r="K56" t="s">
        <v>1646</v>
      </c>
      <c r="L56">
        <v>10304</v>
      </c>
      <c r="M56" t="s">
        <v>1670</v>
      </c>
      <c r="P56" t="s">
        <v>1703</v>
      </c>
      <c r="Q56" t="s">
        <v>1936</v>
      </c>
      <c r="R56" t="s">
        <v>1958</v>
      </c>
      <c r="S56" t="s">
        <v>1965</v>
      </c>
      <c r="T56" t="s">
        <v>1671</v>
      </c>
      <c r="V56" t="s">
        <v>1972</v>
      </c>
      <c r="W56" t="s">
        <v>1984</v>
      </c>
      <c r="X56" t="s">
        <v>207</v>
      </c>
      <c r="Y56">
        <v>1575</v>
      </c>
      <c r="Z56" t="s">
        <v>2010</v>
      </c>
      <c r="AA56" t="s">
        <v>2015</v>
      </c>
      <c r="AB56" t="s">
        <v>2029</v>
      </c>
      <c r="AC56" t="s">
        <v>2088</v>
      </c>
      <c r="AD56" t="s">
        <v>2514</v>
      </c>
      <c r="AE56">
        <v>147</v>
      </c>
      <c r="AF56" t="s">
        <v>2902</v>
      </c>
      <c r="AG56" t="s">
        <v>1754</v>
      </c>
      <c r="AH56">
        <v>4</v>
      </c>
      <c r="AJ56">
        <v>2</v>
      </c>
      <c r="AK56">
        <v>2</v>
      </c>
      <c r="AL56">
        <v>0</v>
      </c>
      <c r="AO56" t="s">
        <v>2926</v>
      </c>
      <c r="AP56">
        <v>0</v>
      </c>
      <c r="AT56" t="s">
        <v>2993</v>
      </c>
      <c r="AU56" t="s">
        <v>2997</v>
      </c>
      <c r="AV56">
        <v>2.3</v>
      </c>
      <c r="AW56" t="s">
        <v>264</v>
      </c>
      <c r="AX56" t="s">
        <v>3062</v>
      </c>
    </row>
    <row r="57" spans="1:50">
      <c r="A57" s="1">
        <f>HYPERLINK("https://lsnyc.legalserver.org/matter/dynamic-profile/view/1889816","19-1889816")</f>
        <v>0</v>
      </c>
      <c r="B57" t="s">
        <v>50</v>
      </c>
      <c r="C57" t="s">
        <v>71</v>
      </c>
      <c r="D57" t="s">
        <v>164</v>
      </c>
      <c r="E57" t="s">
        <v>208</v>
      </c>
      <c r="F57" t="s">
        <v>361</v>
      </c>
      <c r="G57" t="s">
        <v>451</v>
      </c>
      <c r="H57" t="s">
        <v>810</v>
      </c>
      <c r="I57" t="s">
        <v>1147</v>
      </c>
      <c r="J57" t="s">
        <v>1486</v>
      </c>
      <c r="K57" t="s">
        <v>1646</v>
      </c>
      <c r="L57">
        <v>10301</v>
      </c>
      <c r="M57" t="s">
        <v>1670</v>
      </c>
      <c r="P57" t="s">
        <v>1704</v>
      </c>
      <c r="Q57" t="s">
        <v>1936</v>
      </c>
      <c r="R57" t="s">
        <v>1960</v>
      </c>
      <c r="S57" t="s">
        <v>1969</v>
      </c>
      <c r="T57" t="s">
        <v>1671</v>
      </c>
      <c r="V57" t="s">
        <v>1972</v>
      </c>
      <c r="W57" t="s">
        <v>1984</v>
      </c>
      <c r="X57" t="s">
        <v>208</v>
      </c>
      <c r="Y57">
        <v>1550</v>
      </c>
      <c r="Z57" t="s">
        <v>2010</v>
      </c>
      <c r="AA57" t="s">
        <v>2022</v>
      </c>
      <c r="AB57" t="s">
        <v>2033</v>
      </c>
      <c r="AC57" t="s">
        <v>2089</v>
      </c>
      <c r="AD57" t="s">
        <v>2515</v>
      </c>
      <c r="AE57">
        <v>80</v>
      </c>
      <c r="AF57" t="s">
        <v>2902</v>
      </c>
      <c r="AG57" t="s">
        <v>1754</v>
      </c>
      <c r="AH57">
        <v>1</v>
      </c>
      <c r="AJ57">
        <v>1</v>
      </c>
      <c r="AK57">
        <v>2</v>
      </c>
      <c r="AL57">
        <v>164.09</v>
      </c>
      <c r="AO57" t="s">
        <v>2926</v>
      </c>
      <c r="AP57">
        <v>35000</v>
      </c>
      <c r="AR57" t="s">
        <v>2979</v>
      </c>
      <c r="AS57" t="s">
        <v>2017</v>
      </c>
      <c r="AT57" t="s">
        <v>2993</v>
      </c>
      <c r="AU57" t="s">
        <v>2998</v>
      </c>
      <c r="AV57">
        <v>7.7</v>
      </c>
      <c r="AW57" t="s">
        <v>361</v>
      </c>
      <c r="AX57" t="s">
        <v>3056</v>
      </c>
    </row>
    <row r="58" spans="1:50">
      <c r="A58" s="1">
        <f>HYPERLINK("https://lsnyc.legalserver.org/matter/dynamic-profile/view/1877721","18-1877721")</f>
        <v>0</v>
      </c>
      <c r="B58" t="s">
        <v>50</v>
      </c>
      <c r="C58" t="s">
        <v>85</v>
      </c>
      <c r="D58" t="s">
        <v>163</v>
      </c>
      <c r="E58" t="s">
        <v>209</v>
      </c>
      <c r="G58" t="s">
        <v>452</v>
      </c>
      <c r="H58" t="s">
        <v>811</v>
      </c>
      <c r="I58" t="s">
        <v>1148</v>
      </c>
      <c r="J58" t="s">
        <v>1508</v>
      </c>
      <c r="K58" t="s">
        <v>1644</v>
      </c>
      <c r="L58">
        <v>11233</v>
      </c>
      <c r="M58" t="s">
        <v>1670</v>
      </c>
      <c r="P58" t="s">
        <v>1705</v>
      </c>
      <c r="Q58" t="s">
        <v>1944</v>
      </c>
      <c r="R58" t="s">
        <v>1959</v>
      </c>
      <c r="T58" t="s">
        <v>1671</v>
      </c>
      <c r="V58" t="s">
        <v>1974</v>
      </c>
      <c r="X58" t="s">
        <v>275</v>
      </c>
      <c r="Y58">
        <v>0</v>
      </c>
      <c r="Z58" t="s">
        <v>2009</v>
      </c>
      <c r="AA58" t="s">
        <v>2014</v>
      </c>
      <c r="AC58" t="s">
        <v>2090</v>
      </c>
      <c r="AD58" t="s">
        <v>2516</v>
      </c>
      <c r="AE58">
        <v>0</v>
      </c>
      <c r="AH58">
        <v>0</v>
      </c>
      <c r="AJ58">
        <v>2</v>
      </c>
      <c r="AK58">
        <v>1</v>
      </c>
      <c r="AL58">
        <v>34.65</v>
      </c>
      <c r="AP58">
        <v>7200</v>
      </c>
      <c r="AV58">
        <v>53.45</v>
      </c>
      <c r="AW58" t="s">
        <v>3031</v>
      </c>
      <c r="AX58" t="s">
        <v>3063</v>
      </c>
    </row>
    <row r="59" spans="1:50">
      <c r="A59" s="1">
        <f>HYPERLINK("https://lsnyc.legalserver.org/matter/dynamic-profile/view/1890654","19-1890654")</f>
        <v>0</v>
      </c>
      <c r="B59" t="s">
        <v>50</v>
      </c>
      <c r="C59" t="s">
        <v>86</v>
      </c>
      <c r="D59" t="s">
        <v>164</v>
      </c>
      <c r="E59" t="s">
        <v>210</v>
      </c>
      <c r="F59" t="s">
        <v>191</v>
      </c>
      <c r="G59" t="s">
        <v>453</v>
      </c>
      <c r="H59" t="s">
        <v>812</v>
      </c>
      <c r="I59" t="s">
        <v>1149</v>
      </c>
      <c r="J59" t="s">
        <v>1509</v>
      </c>
      <c r="K59" t="s">
        <v>1641</v>
      </c>
      <c r="L59">
        <v>10467</v>
      </c>
      <c r="M59" t="s">
        <v>1670</v>
      </c>
      <c r="Q59" t="s">
        <v>1943</v>
      </c>
      <c r="R59" t="s">
        <v>1959</v>
      </c>
      <c r="S59" t="s">
        <v>1968</v>
      </c>
      <c r="T59" t="s">
        <v>1671</v>
      </c>
      <c r="V59" t="s">
        <v>1973</v>
      </c>
      <c r="W59" t="s">
        <v>1984</v>
      </c>
      <c r="X59" t="s">
        <v>210</v>
      </c>
      <c r="Y59">
        <v>1832</v>
      </c>
      <c r="Z59" t="s">
        <v>2006</v>
      </c>
      <c r="AA59" t="s">
        <v>2021</v>
      </c>
      <c r="AB59" t="s">
        <v>2030</v>
      </c>
      <c r="AC59" t="s">
        <v>2091</v>
      </c>
      <c r="AD59" t="s">
        <v>2517</v>
      </c>
      <c r="AE59">
        <v>2</v>
      </c>
      <c r="AF59" t="s">
        <v>2903</v>
      </c>
      <c r="AG59" t="s">
        <v>2915</v>
      </c>
      <c r="AH59">
        <v>9</v>
      </c>
      <c r="AJ59">
        <v>2</v>
      </c>
      <c r="AK59">
        <v>1</v>
      </c>
      <c r="AL59">
        <v>63.29</v>
      </c>
      <c r="AO59" t="s">
        <v>2926</v>
      </c>
      <c r="AP59">
        <v>13500</v>
      </c>
      <c r="AV59">
        <v>0.7</v>
      </c>
      <c r="AW59" t="s">
        <v>317</v>
      </c>
      <c r="AX59" t="s">
        <v>86</v>
      </c>
    </row>
    <row r="60" spans="1:50">
      <c r="A60" s="1">
        <f>HYPERLINK("https://lsnyc.legalserver.org/matter/dynamic-profile/view/1878790","18-1878790")</f>
        <v>0</v>
      </c>
      <c r="B60" t="s">
        <v>50</v>
      </c>
      <c r="C60" t="s">
        <v>87</v>
      </c>
      <c r="D60" t="s">
        <v>163</v>
      </c>
      <c r="E60" t="s">
        <v>211</v>
      </c>
      <c r="G60" t="s">
        <v>427</v>
      </c>
      <c r="H60" t="s">
        <v>813</v>
      </c>
      <c r="I60" t="s">
        <v>1150</v>
      </c>
      <c r="J60" t="s">
        <v>1510</v>
      </c>
      <c r="K60" t="s">
        <v>1641</v>
      </c>
      <c r="L60">
        <v>10468</v>
      </c>
      <c r="M60" t="s">
        <v>1670</v>
      </c>
      <c r="P60" t="s">
        <v>1706</v>
      </c>
      <c r="Q60" t="s">
        <v>1942</v>
      </c>
      <c r="R60" t="s">
        <v>1959</v>
      </c>
      <c r="T60" t="s">
        <v>1671</v>
      </c>
      <c r="V60" t="s">
        <v>1973</v>
      </c>
      <c r="W60" t="s">
        <v>1984</v>
      </c>
      <c r="X60" t="s">
        <v>211</v>
      </c>
      <c r="Y60">
        <v>1124.24</v>
      </c>
      <c r="Z60" t="s">
        <v>2006</v>
      </c>
      <c r="AA60" t="s">
        <v>2014</v>
      </c>
      <c r="AC60" t="s">
        <v>2092</v>
      </c>
      <c r="AD60" t="s">
        <v>2518</v>
      </c>
      <c r="AE60">
        <v>43</v>
      </c>
      <c r="AF60" t="s">
        <v>2902</v>
      </c>
      <c r="AG60" t="s">
        <v>2915</v>
      </c>
      <c r="AH60">
        <v>21</v>
      </c>
      <c r="AJ60">
        <v>1</v>
      </c>
      <c r="AK60">
        <v>2</v>
      </c>
      <c r="AL60">
        <v>133.58</v>
      </c>
      <c r="AO60" t="s">
        <v>2927</v>
      </c>
      <c r="AP60">
        <v>27757.08</v>
      </c>
      <c r="AV60">
        <v>9.5</v>
      </c>
      <c r="AW60" t="s">
        <v>406</v>
      </c>
      <c r="AX60" t="s">
        <v>3064</v>
      </c>
    </row>
    <row r="61" spans="1:50">
      <c r="A61" s="1">
        <f>HYPERLINK("https://lsnyc.legalserver.org/matter/dynamic-profile/view/1897014","19-1897014")</f>
        <v>0</v>
      </c>
      <c r="B61" t="s">
        <v>50</v>
      </c>
      <c r="C61" t="s">
        <v>88</v>
      </c>
      <c r="D61" t="s">
        <v>164</v>
      </c>
      <c r="E61" t="s">
        <v>212</v>
      </c>
      <c r="F61" t="s">
        <v>379</v>
      </c>
      <c r="G61" t="s">
        <v>454</v>
      </c>
      <c r="H61" t="s">
        <v>814</v>
      </c>
      <c r="I61" t="s">
        <v>1151</v>
      </c>
      <c r="J61" t="s">
        <v>1511</v>
      </c>
      <c r="K61" t="s">
        <v>1644</v>
      </c>
      <c r="L61">
        <v>11208</v>
      </c>
      <c r="M61" t="s">
        <v>1670</v>
      </c>
      <c r="P61" t="s">
        <v>1707</v>
      </c>
      <c r="Q61" t="s">
        <v>1936</v>
      </c>
      <c r="R61" t="s">
        <v>1958</v>
      </c>
      <c r="S61" t="s">
        <v>1965</v>
      </c>
      <c r="T61" t="s">
        <v>1671</v>
      </c>
      <c r="V61" t="s">
        <v>1972</v>
      </c>
      <c r="X61" t="s">
        <v>220</v>
      </c>
      <c r="Y61">
        <v>2400</v>
      </c>
      <c r="Z61" t="s">
        <v>2009</v>
      </c>
      <c r="AA61" t="s">
        <v>2019</v>
      </c>
      <c r="AB61" t="s">
        <v>2029</v>
      </c>
      <c r="AC61" t="s">
        <v>2093</v>
      </c>
      <c r="AD61" t="s">
        <v>2519</v>
      </c>
      <c r="AE61">
        <v>6</v>
      </c>
      <c r="AF61" t="s">
        <v>2902</v>
      </c>
      <c r="AG61" t="s">
        <v>2918</v>
      </c>
      <c r="AH61">
        <v>2</v>
      </c>
      <c r="AJ61">
        <v>1</v>
      </c>
      <c r="AK61">
        <v>5</v>
      </c>
      <c r="AL61">
        <v>41.73</v>
      </c>
      <c r="AO61" t="s">
        <v>2926</v>
      </c>
      <c r="AP61">
        <v>14435.04</v>
      </c>
      <c r="AT61" t="s">
        <v>2994</v>
      </c>
      <c r="AU61" t="s">
        <v>2999</v>
      </c>
      <c r="AV61">
        <v>1.9</v>
      </c>
      <c r="AW61" t="s">
        <v>230</v>
      </c>
      <c r="AX61" t="s">
        <v>3059</v>
      </c>
    </row>
    <row r="62" spans="1:50">
      <c r="A62" s="1">
        <f>HYPERLINK("https://lsnyc.legalserver.org/matter/dynamic-profile/view/1897714","19-1897714")</f>
        <v>0</v>
      </c>
      <c r="B62" t="s">
        <v>50</v>
      </c>
      <c r="C62" t="s">
        <v>89</v>
      </c>
      <c r="D62" t="s">
        <v>163</v>
      </c>
      <c r="E62" t="s">
        <v>213</v>
      </c>
      <c r="G62" t="s">
        <v>455</v>
      </c>
      <c r="H62" t="s">
        <v>815</v>
      </c>
      <c r="K62" t="s">
        <v>1647</v>
      </c>
      <c r="L62">
        <v>11434</v>
      </c>
      <c r="M62" t="s">
        <v>1670</v>
      </c>
      <c r="P62" t="s">
        <v>1708</v>
      </c>
      <c r="Q62" t="s">
        <v>1939</v>
      </c>
      <c r="R62" t="s">
        <v>1958</v>
      </c>
      <c r="T62" t="s">
        <v>1671</v>
      </c>
      <c r="V62" t="s">
        <v>1972</v>
      </c>
      <c r="X62" t="s">
        <v>213</v>
      </c>
      <c r="Y62">
        <v>2100</v>
      </c>
      <c r="Z62" t="s">
        <v>2007</v>
      </c>
      <c r="AA62" t="s">
        <v>2014</v>
      </c>
      <c r="AC62" t="s">
        <v>2094</v>
      </c>
      <c r="AD62" t="s">
        <v>2520</v>
      </c>
      <c r="AE62">
        <v>2</v>
      </c>
      <c r="AF62" t="s">
        <v>2904</v>
      </c>
      <c r="AG62" t="s">
        <v>1754</v>
      </c>
      <c r="AH62">
        <v>2</v>
      </c>
      <c r="AJ62">
        <v>2</v>
      </c>
      <c r="AK62">
        <v>1</v>
      </c>
      <c r="AL62">
        <v>15</v>
      </c>
      <c r="AO62" t="s">
        <v>2926</v>
      </c>
      <c r="AP62">
        <v>3200</v>
      </c>
      <c r="AQ62" t="s">
        <v>2941</v>
      </c>
      <c r="AV62">
        <v>0</v>
      </c>
      <c r="AX62" t="s">
        <v>89</v>
      </c>
    </row>
    <row r="63" spans="1:50">
      <c r="A63" s="1">
        <f>HYPERLINK("https://lsnyc.legalserver.org/matter/dynamic-profile/view/1877820","18-1877820")</f>
        <v>0</v>
      </c>
      <c r="B63" t="s">
        <v>50</v>
      </c>
      <c r="C63" t="s">
        <v>69</v>
      </c>
      <c r="D63" t="s">
        <v>164</v>
      </c>
      <c r="E63" t="s">
        <v>209</v>
      </c>
      <c r="F63" t="s">
        <v>171</v>
      </c>
      <c r="G63" t="s">
        <v>456</v>
      </c>
      <c r="H63" t="s">
        <v>816</v>
      </c>
      <c r="I63" t="s">
        <v>1152</v>
      </c>
      <c r="J63" t="s">
        <v>1512</v>
      </c>
      <c r="K63" t="s">
        <v>1644</v>
      </c>
      <c r="L63">
        <v>11226</v>
      </c>
      <c r="M63" t="s">
        <v>1670</v>
      </c>
      <c r="R63" t="s">
        <v>1959</v>
      </c>
      <c r="S63" t="s">
        <v>1968</v>
      </c>
      <c r="V63" t="s">
        <v>1972</v>
      </c>
      <c r="X63" t="s">
        <v>171</v>
      </c>
      <c r="Y63">
        <v>0</v>
      </c>
      <c r="Z63" t="s">
        <v>2009</v>
      </c>
      <c r="AB63" t="s">
        <v>2030</v>
      </c>
      <c r="AC63" t="s">
        <v>2095</v>
      </c>
      <c r="AD63" t="s">
        <v>2521</v>
      </c>
      <c r="AE63">
        <v>0</v>
      </c>
      <c r="AH63">
        <v>0</v>
      </c>
      <c r="AJ63">
        <v>2</v>
      </c>
      <c r="AK63">
        <v>1</v>
      </c>
      <c r="AL63">
        <v>138.59</v>
      </c>
      <c r="AO63" t="s">
        <v>2926</v>
      </c>
      <c r="AP63">
        <v>28800</v>
      </c>
      <c r="AV63">
        <v>2.4</v>
      </c>
      <c r="AW63" t="s">
        <v>171</v>
      </c>
      <c r="AX63" t="s">
        <v>69</v>
      </c>
    </row>
    <row r="64" spans="1:50">
      <c r="A64" s="1">
        <f>HYPERLINK("https://lsnyc.legalserver.org/matter/dynamic-profile/view/1885823","18-1885823")</f>
        <v>0</v>
      </c>
      <c r="B64" t="s">
        <v>50</v>
      </c>
      <c r="C64" t="s">
        <v>90</v>
      </c>
      <c r="D64" t="s">
        <v>164</v>
      </c>
      <c r="E64" t="s">
        <v>214</v>
      </c>
      <c r="F64" t="s">
        <v>230</v>
      </c>
      <c r="G64" t="s">
        <v>457</v>
      </c>
      <c r="H64" t="s">
        <v>817</v>
      </c>
      <c r="I64" t="s">
        <v>1153</v>
      </c>
      <c r="J64" t="s">
        <v>1513</v>
      </c>
      <c r="K64" t="s">
        <v>1646</v>
      </c>
      <c r="L64">
        <v>10304</v>
      </c>
      <c r="M64" t="s">
        <v>1670</v>
      </c>
      <c r="P64" t="s">
        <v>1709</v>
      </c>
      <c r="R64" t="s">
        <v>1960</v>
      </c>
      <c r="S64" t="s">
        <v>1969</v>
      </c>
      <c r="V64" t="s">
        <v>1972</v>
      </c>
      <c r="X64" t="s">
        <v>214</v>
      </c>
      <c r="Y64">
        <v>0</v>
      </c>
      <c r="Z64" t="s">
        <v>2010</v>
      </c>
      <c r="AB64" t="s">
        <v>2033</v>
      </c>
      <c r="AC64" t="s">
        <v>2096</v>
      </c>
      <c r="AD64" t="s">
        <v>2522</v>
      </c>
      <c r="AE64">
        <v>0</v>
      </c>
      <c r="AH64">
        <v>0</v>
      </c>
      <c r="AJ64">
        <v>4</v>
      </c>
      <c r="AK64">
        <v>1</v>
      </c>
      <c r="AL64">
        <v>54.38</v>
      </c>
      <c r="AO64" t="s">
        <v>2926</v>
      </c>
      <c r="AP64">
        <v>16000</v>
      </c>
      <c r="AV64">
        <v>2.6</v>
      </c>
      <c r="AW64" t="s">
        <v>191</v>
      </c>
      <c r="AX64" t="s">
        <v>3056</v>
      </c>
    </row>
    <row r="65" spans="1:50">
      <c r="A65" s="1">
        <f>HYPERLINK("https://lsnyc.legalserver.org/matter/dynamic-profile/view/1899088","19-1899088")</f>
        <v>0</v>
      </c>
      <c r="B65" t="s">
        <v>50</v>
      </c>
      <c r="C65" t="s">
        <v>91</v>
      </c>
      <c r="D65" t="s">
        <v>163</v>
      </c>
      <c r="E65" t="s">
        <v>171</v>
      </c>
      <c r="G65" t="s">
        <v>458</v>
      </c>
      <c r="H65" t="s">
        <v>818</v>
      </c>
      <c r="I65" t="s">
        <v>1154</v>
      </c>
      <c r="J65" t="s">
        <v>1514</v>
      </c>
      <c r="K65" t="s">
        <v>1643</v>
      </c>
      <c r="L65">
        <v>10040</v>
      </c>
      <c r="M65" t="s">
        <v>1670</v>
      </c>
      <c r="Q65" t="s">
        <v>1675</v>
      </c>
      <c r="R65" t="s">
        <v>1962</v>
      </c>
      <c r="T65" t="s">
        <v>1671</v>
      </c>
      <c r="V65" t="s">
        <v>1972</v>
      </c>
      <c r="W65" t="s">
        <v>1984</v>
      </c>
      <c r="X65" t="s">
        <v>171</v>
      </c>
      <c r="Y65">
        <v>2100</v>
      </c>
      <c r="Z65" t="s">
        <v>2008</v>
      </c>
      <c r="AA65" t="s">
        <v>2013</v>
      </c>
      <c r="AC65" t="s">
        <v>2097</v>
      </c>
      <c r="AD65" t="s">
        <v>2523</v>
      </c>
      <c r="AE65">
        <v>72</v>
      </c>
      <c r="AF65" t="s">
        <v>2902</v>
      </c>
      <c r="AG65" t="s">
        <v>1754</v>
      </c>
      <c r="AH65">
        <v>7</v>
      </c>
      <c r="AJ65">
        <v>3</v>
      </c>
      <c r="AK65">
        <v>1</v>
      </c>
      <c r="AL65">
        <v>194.17</v>
      </c>
      <c r="AO65" t="s">
        <v>2927</v>
      </c>
      <c r="AP65">
        <v>50000</v>
      </c>
      <c r="AV65">
        <v>2.5</v>
      </c>
      <c r="AW65" t="s">
        <v>1995</v>
      </c>
      <c r="AX65" t="s">
        <v>3042</v>
      </c>
    </row>
    <row r="66" spans="1:50">
      <c r="A66" s="1">
        <f>HYPERLINK("https://lsnyc.legalserver.org/matter/dynamic-profile/view/1873500","18-1873500")</f>
        <v>0</v>
      </c>
      <c r="B66" t="s">
        <v>50</v>
      </c>
      <c r="C66" t="s">
        <v>92</v>
      </c>
      <c r="D66" t="s">
        <v>164</v>
      </c>
      <c r="E66" t="s">
        <v>215</v>
      </c>
      <c r="F66" t="s">
        <v>228</v>
      </c>
      <c r="G66" t="s">
        <v>459</v>
      </c>
      <c r="H66" t="s">
        <v>819</v>
      </c>
      <c r="I66" t="s">
        <v>1155</v>
      </c>
      <c r="J66" t="s">
        <v>1515</v>
      </c>
      <c r="K66" t="s">
        <v>1643</v>
      </c>
      <c r="L66">
        <v>10031</v>
      </c>
      <c r="M66" t="s">
        <v>1670</v>
      </c>
      <c r="P66" t="s">
        <v>1710</v>
      </c>
      <c r="Q66" t="s">
        <v>1936</v>
      </c>
      <c r="R66" t="s">
        <v>1958</v>
      </c>
      <c r="S66" t="s">
        <v>1965</v>
      </c>
      <c r="T66" t="s">
        <v>1671</v>
      </c>
      <c r="V66" t="s">
        <v>1972</v>
      </c>
      <c r="X66" t="s">
        <v>352</v>
      </c>
      <c r="Y66">
        <v>1279.77</v>
      </c>
      <c r="Z66" t="s">
        <v>2008</v>
      </c>
      <c r="AA66" t="s">
        <v>2020</v>
      </c>
      <c r="AB66" t="s">
        <v>2029</v>
      </c>
      <c r="AC66" t="s">
        <v>2098</v>
      </c>
      <c r="AD66" t="s">
        <v>2524</v>
      </c>
      <c r="AE66">
        <v>74</v>
      </c>
      <c r="AF66" t="s">
        <v>2908</v>
      </c>
      <c r="AG66" t="s">
        <v>2919</v>
      </c>
      <c r="AH66">
        <v>40</v>
      </c>
      <c r="AJ66">
        <v>1</v>
      </c>
      <c r="AK66">
        <v>2</v>
      </c>
      <c r="AL66">
        <v>93.31999999999999</v>
      </c>
      <c r="AO66" t="s">
        <v>2926</v>
      </c>
      <c r="AP66">
        <v>19392</v>
      </c>
      <c r="AV66">
        <v>0.8</v>
      </c>
      <c r="AW66" t="s">
        <v>228</v>
      </c>
      <c r="AX66" t="s">
        <v>3048</v>
      </c>
    </row>
    <row r="67" spans="1:50">
      <c r="A67" s="1">
        <f>HYPERLINK("https://lsnyc.legalserver.org/matter/dynamic-profile/view/1873655","18-1873655")</f>
        <v>0</v>
      </c>
      <c r="B67" t="s">
        <v>50</v>
      </c>
      <c r="C67" t="s">
        <v>93</v>
      </c>
      <c r="D67" t="s">
        <v>163</v>
      </c>
      <c r="E67" t="s">
        <v>216</v>
      </c>
      <c r="G67" t="s">
        <v>460</v>
      </c>
      <c r="H67" t="s">
        <v>820</v>
      </c>
      <c r="I67" t="s">
        <v>1156</v>
      </c>
      <c r="J67" t="s">
        <v>1516</v>
      </c>
      <c r="K67" t="s">
        <v>1645</v>
      </c>
      <c r="L67">
        <v>11691</v>
      </c>
      <c r="M67" t="s">
        <v>1670</v>
      </c>
      <c r="P67" t="s">
        <v>1711</v>
      </c>
      <c r="Q67" t="s">
        <v>1940</v>
      </c>
      <c r="R67" t="s">
        <v>1958</v>
      </c>
      <c r="T67" t="s">
        <v>1671</v>
      </c>
      <c r="V67" t="s">
        <v>1972</v>
      </c>
      <c r="W67" t="s">
        <v>1987</v>
      </c>
      <c r="X67" t="s">
        <v>1990</v>
      </c>
      <c r="Y67">
        <v>1836</v>
      </c>
      <c r="Z67" t="s">
        <v>2007</v>
      </c>
      <c r="AA67" t="s">
        <v>2023</v>
      </c>
      <c r="AC67" t="s">
        <v>2099</v>
      </c>
      <c r="AD67" t="s">
        <v>2525</v>
      </c>
      <c r="AE67">
        <v>3</v>
      </c>
      <c r="AF67" t="s">
        <v>2903</v>
      </c>
      <c r="AG67" t="s">
        <v>2915</v>
      </c>
      <c r="AH67">
        <v>3</v>
      </c>
      <c r="AJ67">
        <v>3</v>
      </c>
      <c r="AK67">
        <v>1</v>
      </c>
      <c r="AL67">
        <v>62.15</v>
      </c>
      <c r="AO67" t="s">
        <v>2926</v>
      </c>
      <c r="AP67">
        <v>15600</v>
      </c>
      <c r="AV67">
        <v>2.6</v>
      </c>
      <c r="AW67" t="s">
        <v>261</v>
      </c>
      <c r="AX67" t="s">
        <v>93</v>
      </c>
    </row>
    <row r="68" spans="1:50">
      <c r="A68" s="1">
        <f>HYPERLINK("https://lsnyc.legalserver.org/matter/dynamic-profile/view/1896346","19-1896346")</f>
        <v>0</v>
      </c>
      <c r="B68" t="s">
        <v>51</v>
      </c>
      <c r="C68" t="s">
        <v>94</v>
      </c>
      <c r="D68" t="s">
        <v>164</v>
      </c>
      <c r="E68" t="s">
        <v>217</v>
      </c>
      <c r="F68" t="s">
        <v>217</v>
      </c>
      <c r="G68" t="s">
        <v>461</v>
      </c>
      <c r="H68" t="s">
        <v>821</v>
      </c>
      <c r="I68" t="s">
        <v>1157</v>
      </c>
      <c r="J68" t="s">
        <v>1517</v>
      </c>
      <c r="K68" t="s">
        <v>1643</v>
      </c>
      <c r="L68">
        <v>10026</v>
      </c>
      <c r="M68" t="s">
        <v>1670</v>
      </c>
      <c r="P68" t="s">
        <v>1712</v>
      </c>
      <c r="Q68" t="s">
        <v>1936</v>
      </c>
      <c r="R68" t="s">
        <v>1958</v>
      </c>
      <c r="S68" t="s">
        <v>1965</v>
      </c>
      <c r="T68" t="s">
        <v>1671</v>
      </c>
      <c r="U68" t="s">
        <v>51</v>
      </c>
      <c r="V68" t="s">
        <v>1972</v>
      </c>
      <c r="W68" t="s">
        <v>1985</v>
      </c>
      <c r="X68" t="s">
        <v>217</v>
      </c>
      <c r="Y68">
        <v>969</v>
      </c>
      <c r="Z68" t="s">
        <v>2008</v>
      </c>
      <c r="AA68" t="s">
        <v>2012</v>
      </c>
      <c r="AB68" t="s">
        <v>2029</v>
      </c>
      <c r="AC68" t="s">
        <v>2100</v>
      </c>
      <c r="AD68" t="s">
        <v>2526</v>
      </c>
      <c r="AE68">
        <v>18</v>
      </c>
      <c r="AF68" t="s">
        <v>2902</v>
      </c>
      <c r="AG68" t="s">
        <v>1754</v>
      </c>
      <c r="AH68">
        <v>10</v>
      </c>
      <c r="AJ68">
        <v>3</v>
      </c>
      <c r="AK68">
        <v>1</v>
      </c>
      <c r="AL68">
        <v>147.57</v>
      </c>
      <c r="AO68" t="s">
        <v>2926</v>
      </c>
      <c r="AP68">
        <v>38000</v>
      </c>
      <c r="AS68" t="s">
        <v>2017</v>
      </c>
      <c r="AT68" t="s">
        <v>2992</v>
      </c>
      <c r="AU68" t="s">
        <v>3000</v>
      </c>
      <c r="AV68">
        <v>1.5</v>
      </c>
      <c r="AW68" t="s">
        <v>217</v>
      </c>
      <c r="AX68" t="s">
        <v>3065</v>
      </c>
    </row>
    <row r="69" spans="1:50">
      <c r="A69" s="1">
        <f>HYPERLINK("https://lsnyc.legalserver.org/matter/dynamic-profile/view/1882003","18-1882003")</f>
        <v>0</v>
      </c>
      <c r="B69" t="s">
        <v>50</v>
      </c>
      <c r="C69" t="s">
        <v>95</v>
      </c>
      <c r="D69" t="s">
        <v>164</v>
      </c>
      <c r="E69" t="s">
        <v>218</v>
      </c>
      <c r="F69" t="s">
        <v>297</v>
      </c>
      <c r="G69" t="s">
        <v>462</v>
      </c>
      <c r="H69" t="s">
        <v>822</v>
      </c>
      <c r="I69" t="s">
        <v>1158</v>
      </c>
      <c r="J69" t="s">
        <v>1484</v>
      </c>
      <c r="K69" t="s">
        <v>1641</v>
      </c>
      <c r="L69">
        <v>10452</v>
      </c>
      <c r="M69" t="s">
        <v>1670</v>
      </c>
      <c r="Q69" t="s">
        <v>1941</v>
      </c>
      <c r="R69" t="s">
        <v>1958</v>
      </c>
      <c r="S69" t="s">
        <v>1965</v>
      </c>
      <c r="T69" t="s">
        <v>1671</v>
      </c>
      <c r="V69" t="s">
        <v>1972</v>
      </c>
      <c r="X69" t="s">
        <v>187</v>
      </c>
      <c r="Y69">
        <v>2000</v>
      </c>
      <c r="Z69" t="s">
        <v>2006</v>
      </c>
      <c r="AA69" t="s">
        <v>2019</v>
      </c>
      <c r="AB69" t="s">
        <v>2029</v>
      </c>
      <c r="AC69" t="s">
        <v>2101</v>
      </c>
      <c r="AD69" t="s">
        <v>2527</v>
      </c>
      <c r="AE69">
        <v>8</v>
      </c>
      <c r="AF69" t="s">
        <v>2902</v>
      </c>
      <c r="AG69" t="s">
        <v>1754</v>
      </c>
      <c r="AH69">
        <v>3</v>
      </c>
      <c r="AJ69">
        <v>1</v>
      </c>
      <c r="AK69">
        <v>1</v>
      </c>
      <c r="AL69">
        <v>99.15000000000001</v>
      </c>
      <c r="AO69" t="s">
        <v>2926</v>
      </c>
      <c r="AP69">
        <v>16320</v>
      </c>
      <c r="AQ69" t="s">
        <v>2942</v>
      </c>
      <c r="AV69">
        <v>2.25</v>
      </c>
      <c r="AW69" t="s">
        <v>297</v>
      </c>
      <c r="AX69" t="s">
        <v>3066</v>
      </c>
    </row>
    <row r="70" spans="1:50">
      <c r="A70" s="1">
        <f>HYPERLINK("https://lsnyc.legalserver.org/matter/dynamic-profile/view/1897578","19-1897578")</f>
        <v>0</v>
      </c>
      <c r="B70" t="s">
        <v>50</v>
      </c>
      <c r="C70" t="s">
        <v>63</v>
      </c>
      <c r="D70" t="s">
        <v>163</v>
      </c>
      <c r="E70" t="s">
        <v>219</v>
      </c>
      <c r="G70" t="s">
        <v>462</v>
      </c>
      <c r="H70" t="s">
        <v>822</v>
      </c>
      <c r="I70" t="s">
        <v>1158</v>
      </c>
      <c r="J70" t="s">
        <v>1484</v>
      </c>
      <c r="K70" t="s">
        <v>1641</v>
      </c>
      <c r="L70">
        <v>10452</v>
      </c>
      <c r="M70" t="s">
        <v>1670</v>
      </c>
      <c r="P70" t="s">
        <v>1713</v>
      </c>
      <c r="Q70" t="s">
        <v>1940</v>
      </c>
      <c r="R70" t="s">
        <v>1958</v>
      </c>
      <c r="T70" t="s">
        <v>1671</v>
      </c>
      <c r="V70" t="s">
        <v>1972</v>
      </c>
      <c r="X70" t="s">
        <v>1991</v>
      </c>
      <c r="Y70">
        <v>371.79</v>
      </c>
      <c r="Z70" t="s">
        <v>2006</v>
      </c>
      <c r="AA70" t="s">
        <v>2017</v>
      </c>
      <c r="AC70" t="s">
        <v>2101</v>
      </c>
      <c r="AD70" t="s">
        <v>2527</v>
      </c>
      <c r="AE70">
        <v>8</v>
      </c>
      <c r="AF70" t="s">
        <v>2902</v>
      </c>
      <c r="AG70" t="s">
        <v>1754</v>
      </c>
      <c r="AH70">
        <v>8</v>
      </c>
      <c r="AJ70">
        <v>1</v>
      </c>
      <c r="AK70">
        <v>1</v>
      </c>
      <c r="AL70">
        <v>113.07</v>
      </c>
      <c r="AO70" t="s">
        <v>2926</v>
      </c>
      <c r="AP70">
        <v>19120</v>
      </c>
      <c r="AQ70" t="s">
        <v>2943</v>
      </c>
      <c r="AV70">
        <v>2.04</v>
      </c>
      <c r="AW70" t="s">
        <v>396</v>
      </c>
      <c r="AX70" t="s">
        <v>3067</v>
      </c>
    </row>
    <row r="71" spans="1:50">
      <c r="A71" s="1">
        <f>HYPERLINK("https://lsnyc.legalserver.org/matter/dynamic-profile/view/1898212","19-1898212")</f>
        <v>0</v>
      </c>
      <c r="B71" t="s">
        <v>50</v>
      </c>
      <c r="C71" t="s">
        <v>96</v>
      </c>
      <c r="D71" t="s">
        <v>163</v>
      </c>
      <c r="E71" t="s">
        <v>220</v>
      </c>
      <c r="G71" t="s">
        <v>463</v>
      </c>
      <c r="H71" t="s">
        <v>823</v>
      </c>
      <c r="I71" t="s">
        <v>1159</v>
      </c>
      <c r="J71" t="s">
        <v>1518</v>
      </c>
      <c r="K71" t="s">
        <v>1644</v>
      </c>
      <c r="L71">
        <v>11226</v>
      </c>
      <c r="M71" t="s">
        <v>1670</v>
      </c>
      <c r="Q71" t="s">
        <v>1938</v>
      </c>
      <c r="R71" t="s">
        <v>1959</v>
      </c>
      <c r="T71" t="s">
        <v>1670</v>
      </c>
      <c r="V71" t="s">
        <v>1972</v>
      </c>
      <c r="W71" t="s">
        <v>1984</v>
      </c>
      <c r="X71" t="s">
        <v>213</v>
      </c>
      <c r="Y71">
        <v>1031.15</v>
      </c>
      <c r="Z71" t="s">
        <v>2009</v>
      </c>
      <c r="AA71" t="s">
        <v>2021</v>
      </c>
      <c r="AC71" t="s">
        <v>2102</v>
      </c>
      <c r="AD71" t="s">
        <v>2528</v>
      </c>
      <c r="AE71">
        <v>55</v>
      </c>
      <c r="AF71" t="s">
        <v>2902</v>
      </c>
      <c r="AG71" t="s">
        <v>2919</v>
      </c>
      <c r="AH71">
        <v>40</v>
      </c>
      <c r="AJ71">
        <v>2</v>
      </c>
      <c r="AK71">
        <v>2</v>
      </c>
      <c r="AL71">
        <v>49.82</v>
      </c>
      <c r="AO71" t="s">
        <v>2929</v>
      </c>
      <c r="AP71">
        <v>12828</v>
      </c>
      <c r="AV71">
        <v>0.85</v>
      </c>
      <c r="AW71" t="s">
        <v>291</v>
      </c>
      <c r="AX71" t="s">
        <v>96</v>
      </c>
    </row>
    <row r="72" spans="1:50">
      <c r="A72" s="1">
        <f>HYPERLINK("https://lsnyc.legalserver.org/matter/dynamic-profile/view/1891381","19-1891381")</f>
        <v>0</v>
      </c>
      <c r="B72" t="s">
        <v>50</v>
      </c>
      <c r="C72" t="s">
        <v>97</v>
      </c>
      <c r="D72" t="s">
        <v>163</v>
      </c>
      <c r="E72" t="s">
        <v>221</v>
      </c>
      <c r="G72" t="s">
        <v>464</v>
      </c>
      <c r="H72" t="s">
        <v>824</v>
      </c>
      <c r="I72" t="s">
        <v>1160</v>
      </c>
      <c r="J72" t="s">
        <v>1519</v>
      </c>
      <c r="K72" t="s">
        <v>1643</v>
      </c>
      <c r="L72">
        <v>10034</v>
      </c>
      <c r="M72" t="s">
        <v>1670</v>
      </c>
      <c r="Q72" t="s">
        <v>1945</v>
      </c>
      <c r="R72" t="s">
        <v>1962</v>
      </c>
      <c r="T72" t="s">
        <v>1671</v>
      </c>
      <c r="V72" t="s">
        <v>1972</v>
      </c>
      <c r="X72" t="s">
        <v>221</v>
      </c>
      <c r="Y72">
        <v>2300</v>
      </c>
      <c r="Z72" t="s">
        <v>2008</v>
      </c>
      <c r="AA72" t="s">
        <v>2020</v>
      </c>
      <c r="AC72" t="s">
        <v>2103</v>
      </c>
      <c r="AD72" t="s">
        <v>2529</v>
      </c>
      <c r="AE72">
        <v>22</v>
      </c>
      <c r="AF72" t="s">
        <v>2902</v>
      </c>
      <c r="AG72" t="s">
        <v>2919</v>
      </c>
      <c r="AH72">
        <v>11</v>
      </c>
      <c r="AJ72">
        <v>1</v>
      </c>
      <c r="AK72">
        <v>1</v>
      </c>
      <c r="AL72">
        <v>82.31999999999999</v>
      </c>
      <c r="AO72" t="s">
        <v>2926</v>
      </c>
      <c r="AP72">
        <v>13920</v>
      </c>
      <c r="AV72">
        <v>10</v>
      </c>
      <c r="AW72" t="s">
        <v>1995</v>
      </c>
      <c r="AX72" t="s">
        <v>3042</v>
      </c>
    </row>
    <row r="73" spans="1:50">
      <c r="A73" s="1">
        <f>HYPERLINK("https://lsnyc.legalserver.org/matter/dynamic-profile/view/1891601","19-1891601")</f>
        <v>0</v>
      </c>
      <c r="B73" t="s">
        <v>50</v>
      </c>
      <c r="C73" t="s">
        <v>64</v>
      </c>
      <c r="D73" t="s">
        <v>164</v>
      </c>
      <c r="E73" t="s">
        <v>181</v>
      </c>
      <c r="F73" t="s">
        <v>258</v>
      </c>
      <c r="G73" t="s">
        <v>465</v>
      </c>
      <c r="H73" t="s">
        <v>825</v>
      </c>
      <c r="I73" t="s">
        <v>1161</v>
      </c>
      <c r="J73" t="s">
        <v>1520</v>
      </c>
      <c r="K73" t="s">
        <v>1643</v>
      </c>
      <c r="L73">
        <v>10040</v>
      </c>
      <c r="M73" t="s">
        <v>1670</v>
      </c>
      <c r="Q73" t="s">
        <v>1675</v>
      </c>
      <c r="R73" t="s">
        <v>1958</v>
      </c>
      <c r="S73" t="s">
        <v>1965</v>
      </c>
      <c r="T73" t="s">
        <v>1671</v>
      </c>
      <c r="V73" t="s">
        <v>1972</v>
      </c>
      <c r="X73" t="s">
        <v>181</v>
      </c>
      <c r="Y73">
        <v>2300</v>
      </c>
      <c r="Z73" t="s">
        <v>2008</v>
      </c>
      <c r="AA73" t="s">
        <v>2013</v>
      </c>
      <c r="AB73" t="s">
        <v>2029</v>
      </c>
      <c r="AC73" t="s">
        <v>2104</v>
      </c>
      <c r="AD73" t="s">
        <v>2530</v>
      </c>
      <c r="AE73">
        <v>55</v>
      </c>
      <c r="AF73" t="s">
        <v>2902</v>
      </c>
      <c r="AG73" t="s">
        <v>1754</v>
      </c>
      <c r="AH73">
        <v>11</v>
      </c>
      <c r="AJ73">
        <v>2</v>
      </c>
      <c r="AK73">
        <v>2</v>
      </c>
      <c r="AL73">
        <v>184.85</v>
      </c>
      <c r="AO73" t="s">
        <v>2927</v>
      </c>
      <c r="AP73">
        <v>47600</v>
      </c>
      <c r="AV73">
        <v>2.43</v>
      </c>
      <c r="AW73" t="s">
        <v>384</v>
      </c>
      <c r="AX73" t="s">
        <v>3065</v>
      </c>
    </row>
    <row r="74" spans="1:50">
      <c r="A74" s="1">
        <f>HYPERLINK("https://lsnyc.legalserver.org/matter/dynamic-profile/view/1903357","19-1903357")</f>
        <v>0</v>
      </c>
      <c r="B74" t="s">
        <v>50</v>
      </c>
      <c r="C74" t="s">
        <v>73</v>
      </c>
      <c r="D74" t="s">
        <v>163</v>
      </c>
      <c r="E74" t="s">
        <v>222</v>
      </c>
      <c r="G74" t="s">
        <v>466</v>
      </c>
      <c r="H74" t="s">
        <v>826</v>
      </c>
      <c r="I74" t="s">
        <v>1162</v>
      </c>
      <c r="J74" t="s">
        <v>1521</v>
      </c>
      <c r="K74" t="s">
        <v>1648</v>
      </c>
      <c r="L74">
        <v>11420</v>
      </c>
      <c r="M74" t="s">
        <v>1670</v>
      </c>
      <c r="P74" t="s">
        <v>1714</v>
      </c>
      <c r="Q74" t="s">
        <v>1940</v>
      </c>
      <c r="R74" t="s">
        <v>1960</v>
      </c>
      <c r="T74" t="s">
        <v>1671</v>
      </c>
      <c r="V74" t="s">
        <v>1972</v>
      </c>
      <c r="X74" t="s">
        <v>222</v>
      </c>
      <c r="Y74">
        <v>1450</v>
      </c>
      <c r="Z74" t="s">
        <v>2007</v>
      </c>
      <c r="AA74" t="s">
        <v>2014</v>
      </c>
      <c r="AC74" t="s">
        <v>2105</v>
      </c>
      <c r="AD74" t="s">
        <v>2531</v>
      </c>
      <c r="AE74">
        <v>2</v>
      </c>
      <c r="AF74" t="s">
        <v>2904</v>
      </c>
      <c r="AG74" t="s">
        <v>1754</v>
      </c>
      <c r="AH74">
        <v>2</v>
      </c>
      <c r="AJ74">
        <v>1</v>
      </c>
      <c r="AK74">
        <v>2</v>
      </c>
      <c r="AL74">
        <v>22.5</v>
      </c>
      <c r="AO74" t="s">
        <v>2926</v>
      </c>
      <c r="AP74">
        <v>4800</v>
      </c>
      <c r="AV74">
        <v>1.7</v>
      </c>
      <c r="AW74" t="s">
        <v>325</v>
      </c>
      <c r="AX74" t="s">
        <v>3044</v>
      </c>
    </row>
    <row r="75" spans="1:50">
      <c r="A75" s="1">
        <f>HYPERLINK("https://lsnyc.legalserver.org/matter/dynamic-profile/view/1898128","19-1898128")</f>
        <v>0</v>
      </c>
      <c r="B75" t="s">
        <v>50</v>
      </c>
      <c r="C75" t="s">
        <v>98</v>
      </c>
      <c r="D75" t="s">
        <v>163</v>
      </c>
      <c r="E75" t="s">
        <v>193</v>
      </c>
      <c r="G75" t="s">
        <v>467</v>
      </c>
      <c r="H75" t="s">
        <v>827</v>
      </c>
      <c r="I75" t="s">
        <v>1163</v>
      </c>
      <c r="J75" t="s">
        <v>1519</v>
      </c>
      <c r="K75" t="s">
        <v>1641</v>
      </c>
      <c r="L75">
        <v>10467</v>
      </c>
      <c r="M75" t="s">
        <v>1670</v>
      </c>
      <c r="Q75" t="s">
        <v>1936</v>
      </c>
      <c r="R75" t="s">
        <v>1962</v>
      </c>
      <c r="T75" t="s">
        <v>1671</v>
      </c>
      <c r="V75" t="s">
        <v>1972</v>
      </c>
      <c r="X75" t="s">
        <v>193</v>
      </c>
      <c r="Y75">
        <v>914</v>
      </c>
      <c r="Z75" t="s">
        <v>2006</v>
      </c>
      <c r="AA75" t="s">
        <v>2015</v>
      </c>
      <c r="AC75" t="s">
        <v>2106</v>
      </c>
      <c r="AD75" t="s">
        <v>2532</v>
      </c>
      <c r="AE75">
        <v>49</v>
      </c>
      <c r="AF75" t="s">
        <v>2902</v>
      </c>
      <c r="AG75" t="s">
        <v>2017</v>
      </c>
      <c r="AH75">
        <v>7</v>
      </c>
      <c r="AJ75">
        <v>4</v>
      </c>
      <c r="AK75">
        <v>3</v>
      </c>
      <c r="AL75">
        <v>93.31</v>
      </c>
      <c r="AO75" t="s">
        <v>2926</v>
      </c>
      <c r="AP75">
        <v>36400</v>
      </c>
      <c r="AV75">
        <v>2.7</v>
      </c>
      <c r="AW75" t="s">
        <v>3031</v>
      </c>
      <c r="AX75" t="s">
        <v>98</v>
      </c>
    </row>
    <row r="76" spans="1:50">
      <c r="A76" s="1">
        <f>HYPERLINK("https://lsnyc.legalserver.org/matter/dynamic-profile/view/1885425","18-1885425")</f>
        <v>0</v>
      </c>
      <c r="B76" t="s">
        <v>51</v>
      </c>
      <c r="C76" t="s">
        <v>99</v>
      </c>
      <c r="D76" t="s">
        <v>164</v>
      </c>
      <c r="E76" t="s">
        <v>223</v>
      </c>
      <c r="F76" t="s">
        <v>277</v>
      </c>
      <c r="G76" t="s">
        <v>468</v>
      </c>
      <c r="H76" t="s">
        <v>828</v>
      </c>
      <c r="I76" t="s">
        <v>1164</v>
      </c>
      <c r="J76">
        <v>402</v>
      </c>
      <c r="K76" t="s">
        <v>1649</v>
      </c>
      <c r="L76">
        <v>11692</v>
      </c>
      <c r="M76" t="s">
        <v>1670</v>
      </c>
      <c r="P76" t="s">
        <v>1715</v>
      </c>
      <c r="Q76" t="s">
        <v>1936</v>
      </c>
      <c r="R76" t="s">
        <v>1960</v>
      </c>
      <c r="S76" t="s">
        <v>1969</v>
      </c>
      <c r="T76" t="s">
        <v>1671</v>
      </c>
      <c r="V76" t="s">
        <v>1972</v>
      </c>
      <c r="W76" t="s">
        <v>1985</v>
      </c>
      <c r="X76" t="s">
        <v>223</v>
      </c>
      <c r="Y76">
        <v>2181</v>
      </c>
      <c r="Z76" t="s">
        <v>2007</v>
      </c>
      <c r="AA76" t="s">
        <v>2012</v>
      </c>
      <c r="AB76" t="s">
        <v>2032</v>
      </c>
      <c r="AC76" t="s">
        <v>2107</v>
      </c>
      <c r="AD76" t="s">
        <v>2533</v>
      </c>
      <c r="AE76">
        <v>1091</v>
      </c>
      <c r="AF76" t="s">
        <v>2906</v>
      </c>
      <c r="AG76" t="s">
        <v>2915</v>
      </c>
      <c r="AH76">
        <v>5</v>
      </c>
      <c r="AJ76">
        <v>2</v>
      </c>
      <c r="AK76">
        <v>1</v>
      </c>
      <c r="AL76">
        <v>27.03</v>
      </c>
      <c r="AM76" t="s">
        <v>2923</v>
      </c>
      <c r="AN76" t="s">
        <v>2924</v>
      </c>
      <c r="AO76" t="s">
        <v>2926</v>
      </c>
      <c r="AP76">
        <v>5616</v>
      </c>
      <c r="AR76" t="s">
        <v>2977</v>
      </c>
      <c r="AS76" t="s">
        <v>2983</v>
      </c>
      <c r="AT76" t="s">
        <v>2992</v>
      </c>
      <c r="AU76" t="s">
        <v>3001</v>
      </c>
      <c r="AV76">
        <v>10.95</v>
      </c>
      <c r="AW76" t="s">
        <v>277</v>
      </c>
      <c r="AX76" t="s">
        <v>99</v>
      </c>
    </row>
    <row r="77" spans="1:50">
      <c r="A77" s="1">
        <f>HYPERLINK("https://lsnyc.legalserver.org/matter/dynamic-profile/view/1877740","18-1877740")</f>
        <v>0</v>
      </c>
      <c r="B77" t="s">
        <v>50</v>
      </c>
      <c r="C77" t="s">
        <v>57</v>
      </c>
      <c r="D77" t="s">
        <v>164</v>
      </c>
      <c r="E77" t="s">
        <v>209</v>
      </c>
      <c r="F77" t="s">
        <v>227</v>
      </c>
      <c r="G77" t="s">
        <v>469</v>
      </c>
      <c r="H77" t="s">
        <v>829</v>
      </c>
      <c r="I77" t="s">
        <v>1165</v>
      </c>
      <c r="J77" t="s">
        <v>1504</v>
      </c>
      <c r="K77" t="s">
        <v>1641</v>
      </c>
      <c r="L77">
        <v>10453</v>
      </c>
      <c r="M77" t="s">
        <v>1670</v>
      </c>
      <c r="P77" t="s">
        <v>1716</v>
      </c>
      <c r="Q77" t="s">
        <v>1936</v>
      </c>
      <c r="R77" t="s">
        <v>1958</v>
      </c>
      <c r="S77" t="s">
        <v>1965</v>
      </c>
      <c r="T77" t="s">
        <v>1671</v>
      </c>
      <c r="V77" t="s">
        <v>1972</v>
      </c>
      <c r="X77" t="s">
        <v>209</v>
      </c>
      <c r="Y77">
        <v>1109.22</v>
      </c>
      <c r="Z77" t="s">
        <v>2006</v>
      </c>
      <c r="AB77" t="s">
        <v>2029</v>
      </c>
      <c r="AC77" t="s">
        <v>2108</v>
      </c>
      <c r="AD77" t="s">
        <v>2534</v>
      </c>
      <c r="AE77">
        <v>48</v>
      </c>
      <c r="AF77" t="s">
        <v>2904</v>
      </c>
      <c r="AG77" t="s">
        <v>2917</v>
      </c>
      <c r="AH77">
        <v>19</v>
      </c>
      <c r="AJ77">
        <v>2</v>
      </c>
      <c r="AK77">
        <v>1</v>
      </c>
      <c r="AL77">
        <v>26.4</v>
      </c>
      <c r="AO77" t="s">
        <v>2926</v>
      </c>
      <c r="AP77">
        <v>5485.2</v>
      </c>
      <c r="AV77">
        <v>0.8</v>
      </c>
      <c r="AW77" t="s">
        <v>342</v>
      </c>
      <c r="AX77" t="s">
        <v>3068</v>
      </c>
    </row>
    <row r="78" spans="1:50">
      <c r="A78" s="1">
        <f>HYPERLINK("https://lsnyc.legalserver.org/matter/dynamic-profile/view/1897566","19-1897566")</f>
        <v>0</v>
      </c>
      <c r="B78" t="s">
        <v>50</v>
      </c>
      <c r="C78" t="s">
        <v>90</v>
      </c>
      <c r="D78" t="s">
        <v>163</v>
      </c>
      <c r="E78" t="s">
        <v>220</v>
      </c>
      <c r="G78" t="s">
        <v>470</v>
      </c>
      <c r="H78" t="s">
        <v>830</v>
      </c>
      <c r="I78" t="s">
        <v>1166</v>
      </c>
      <c r="J78" t="s">
        <v>1522</v>
      </c>
      <c r="K78" t="s">
        <v>1646</v>
      </c>
      <c r="L78">
        <v>10304</v>
      </c>
      <c r="M78" t="s">
        <v>1670</v>
      </c>
      <c r="P78" t="s">
        <v>1717</v>
      </c>
      <c r="Q78" t="s">
        <v>1936</v>
      </c>
      <c r="R78" t="s">
        <v>1960</v>
      </c>
      <c r="T78" t="s">
        <v>1671</v>
      </c>
      <c r="V78" t="s">
        <v>1972</v>
      </c>
      <c r="W78" t="s">
        <v>1984</v>
      </c>
      <c r="X78" t="s">
        <v>220</v>
      </c>
      <c r="Y78">
        <v>610</v>
      </c>
      <c r="Z78" t="s">
        <v>2010</v>
      </c>
      <c r="AC78" t="s">
        <v>2109</v>
      </c>
      <c r="AD78" t="s">
        <v>2535</v>
      </c>
      <c r="AE78">
        <v>0</v>
      </c>
      <c r="AF78" t="s">
        <v>2909</v>
      </c>
      <c r="AH78">
        <v>11</v>
      </c>
      <c r="AJ78">
        <v>1</v>
      </c>
      <c r="AK78">
        <v>4</v>
      </c>
      <c r="AL78">
        <v>103.41</v>
      </c>
      <c r="AO78" t="s">
        <v>2926</v>
      </c>
      <c r="AP78">
        <v>31200</v>
      </c>
      <c r="AV78">
        <v>8.35</v>
      </c>
      <c r="AW78" t="s">
        <v>3030</v>
      </c>
      <c r="AX78" t="s">
        <v>3050</v>
      </c>
    </row>
    <row r="79" spans="1:50">
      <c r="A79" s="1">
        <f>HYPERLINK("https://lsnyc.legalserver.org/matter/dynamic-profile/view/1884762","18-1884762")</f>
        <v>0</v>
      </c>
      <c r="B79" t="s">
        <v>50</v>
      </c>
      <c r="C79" t="s">
        <v>70</v>
      </c>
      <c r="D79" t="s">
        <v>164</v>
      </c>
      <c r="E79" t="s">
        <v>224</v>
      </c>
      <c r="F79" t="s">
        <v>273</v>
      </c>
      <c r="G79" t="s">
        <v>471</v>
      </c>
      <c r="H79" t="s">
        <v>780</v>
      </c>
      <c r="I79" t="s">
        <v>1167</v>
      </c>
      <c r="J79" t="s">
        <v>1523</v>
      </c>
      <c r="K79" t="s">
        <v>1641</v>
      </c>
      <c r="L79">
        <v>10452</v>
      </c>
      <c r="M79" t="s">
        <v>1670</v>
      </c>
      <c r="Q79" t="s">
        <v>1939</v>
      </c>
      <c r="R79" t="s">
        <v>1958</v>
      </c>
      <c r="S79" t="s">
        <v>1965</v>
      </c>
      <c r="T79" t="s">
        <v>1671</v>
      </c>
      <c r="V79" t="s">
        <v>1972</v>
      </c>
      <c r="X79" t="s">
        <v>273</v>
      </c>
      <c r="Y79">
        <v>1037</v>
      </c>
      <c r="Z79" t="s">
        <v>2006</v>
      </c>
      <c r="AA79" t="s">
        <v>2015</v>
      </c>
      <c r="AB79" t="s">
        <v>2029</v>
      </c>
      <c r="AC79" t="s">
        <v>2110</v>
      </c>
      <c r="AD79" t="s">
        <v>2536</v>
      </c>
      <c r="AE79">
        <v>0</v>
      </c>
      <c r="AF79" t="s">
        <v>2902</v>
      </c>
      <c r="AG79" t="s">
        <v>2917</v>
      </c>
      <c r="AH79">
        <v>5</v>
      </c>
      <c r="AJ79">
        <v>1</v>
      </c>
      <c r="AK79">
        <v>3</v>
      </c>
      <c r="AL79">
        <v>26.39</v>
      </c>
      <c r="AO79" t="s">
        <v>2926</v>
      </c>
      <c r="AP79">
        <v>6624</v>
      </c>
      <c r="AV79">
        <v>0.25</v>
      </c>
      <c r="AW79" t="s">
        <v>273</v>
      </c>
      <c r="AX79" t="s">
        <v>3047</v>
      </c>
    </row>
    <row r="80" spans="1:50">
      <c r="A80" s="1">
        <f>HYPERLINK("https://lsnyc.legalserver.org/matter/dynamic-profile/view/1875646","18-1875646")</f>
        <v>0</v>
      </c>
      <c r="B80" t="s">
        <v>50</v>
      </c>
      <c r="C80" t="s">
        <v>57</v>
      </c>
      <c r="D80" t="s">
        <v>163</v>
      </c>
      <c r="E80" t="s">
        <v>225</v>
      </c>
      <c r="G80" t="s">
        <v>438</v>
      </c>
      <c r="H80" t="s">
        <v>770</v>
      </c>
      <c r="I80" t="s">
        <v>1168</v>
      </c>
      <c r="J80" t="s">
        <v>1506</v>
      </c>
      <c r="K80" t="s">
        <v>1641</v>
      </c>
      <c r="L80">
        <v>10468</v>
      </c>
      <c r="M80" t="s">
        <v>1670</v>
      </c>
      <c r="Q80" t="s">
        <v>1938</v>
      </c>
      <c r="R80" t="s">
        <v>1961</v>
      </c>
      <c r="T80" t="s">
        <v>1670</v>
      </c>
      <c r="V80" t="s">
        <v>1972</v>
      </c>
      <c r="X80" t="s">
        <v>359</v>
      </c>
      <c r="Y80">
        <v>1757</v>
      </c>
      <c r="Z80" t="s">
        <v>2006</v>
      </c>
      <c r="AA80" t="s">
        <v>2015</v>
      </c>
      <c r="AC80" t="s">
        <v>2111</v>
      </c>
      <c r="AD80" t="s">
        <v>2537</v>
      </c>
      <c r="AE80">
        <v>58</v>
      </c>
      <c r="AF80" t="s">
        <v>2902</v>
      </c>
      <c r="AG80" t="s">
        <v>2915</v>
      </c>
      <c r="AH80">
        <v>9</v>
      </c>
      <c r="AJ80">
        <v>1</v>
      </c>
      <c r="AK80">
        <v>1</v>
      </c>
      <c r="AL80">
        <v>63.18</v>
      </c>
      <c r="AO80" t="s">
        <v>2927</v>
      </c>
      <c r="AP80">
        <v>10400</v>
      </c>
      <c r="AV80">
        <v>0.5</v>
      </c>
      <c r="AW80" t="s">
        <v>181</v>
      </c>
      <c r="AX80" t="s">
        <v>3046</v>
      </c>
    </row>
    <row r="81" spans="1:50">
      <c r="A81" s="1">
        <f>HYPERLINK("https://lsnyc.legalserver.org/matter/dynamic-profile/view/1875606","18-1875606")</f>
        <v>0</v>
      </c>
      <c r="B81" t="s">
        <v>50</v>
      </c>
      <c r="C81" t="s">
        <v>57</v>
      </c>
      <c r="D81" t="s">
        <v>163</v>
      </c>
      <c r="E81" t="s">
        <v>225</v>
      </c>
      <c r="G81" t="s">
        <v>438</v>
      </c>
      <c r="H81" t="s">
        <v>770</v>
      </c>
      <c r="I81" t="s">
        <v>1168</v>
      </c>
      <c r="J81" t="s">
        <v>1506</v>
      </c>
      <c r="K81" t="s">
        <v>1641</v>
      </c>
      <c r="L81">
        <v>10468</v>
      </c>
      <c r="M81" t="s">
        <v>1670</v>
      </c>
      <c r="P81" t="s">
        <v>1718</v>
      </c>
      <c r="Q81" t="s">
        <v>1939</v>
      </c>
      <c r="R81" t="s">
        <v>1960</v>
      </c>
      <c r="T81" t="s">
        <v>1670</v>
      </c>
      <c r="V81" t="s">
        <v>1972</v>
      </c>
      <c r="X81" t="s">
        <v>1992</v>
      </c>
      <c r="Y81">
        <v>1757</v>
      </c>
      <c r="Z81" t="s">
        <v>2006</v>
      </c>
      <c r="AA81" t="s">
        <v>2015</v>
      </c>
      <c r="AC81" t="s">
        <v>2111</v>
      </c>
      <c r="AD81" t="s">
        <v>2537</v>
      </c>
      <c r="AE81">
        <v>58</v>
      </c>
      <c r="AF81" t="s">
        <v>2902</v>
      </c>
      <c r="AG81" t="s">
        <v>2915</v>
      </c>
      <c r="AH81">
        <v>9</v>
      </c>
      <c r="AJ81">
        <v>1</v>
      </c>
      <c r="AK81">
        <v>1</v>
      </c>
      <c r="AL81">
        <v>63.18</v>
      </c>
      <c r="AO81" t="s">
        <v>2927</v>
      </c>
      <c r="AP81">
        <v>10400</v>
      </c>
      <c r="AV81">
        <v>0</v>
      </c>
      <c r="AX81" t="s">
        <v>3046</v>
      </c>
    </row>
    <row r="82" spans="1:50">
      <c r="A82" s="1">
        <f>HYPERLINK("https://lsnyc.legalserver.org/matter/dynamic-profile/view/1890003","19-1890003")</f>
        <v>0</v>
      </c>
      <c r="B82" t="s">
        <v>50</v>
      </c>
      <c r="C82" t="s">
        <v>100</v>
      </c>
      <c r="D82" t="s">
        <v>164</v>
      </c>
      <c r="E82" t="s">
        <v>170</v>
      </c>
      <c r="F82" t="s">
        <v>354</v>
      </c>
      <c r="G82" t="s">
        <v>472</v>
      </c>
      <c r="H82" t="s">
        <v>831</v>
      </c>
      <c r="I82" t="s">
        <v>1169</v>
      </c>
      <c r="J82">
        <v>53</v>
      </c>
      <c r="K82" t="s">
        <v>1643</v>
      </c>
      <c r="L82">
        <v>10034</v>
      </c>
      <c r="M82" t="s">
        <v>1670</v>
      </c>
      <c r="Q82" t="s">
        <v>1936</v>
      </c>
      <c r="R82" t="s">
        <v>1958</v>
      </c>
      <c r="S82" t="s">
        <v>1965</v>
      </c>
      <c r="T82" t="s">
        <v>1671</v>
      </c>
      <c r="V82" t="s">
        <v>1972</v>
      </c>
      <c r="X82" t="s">
        <v>170</v>
      </c>
      <c r="Y82">
        <v>930.27</v>
      </c>
      <c r="Z82" t="s">
        <v>2008</v>
      </c>
      <c r="AA82" t="s">
        <v>2020</v>
      </c>
      <c r="AB82" t="s">
        <v>2029</v>
      </c>
      <c r="AC82" t="s">
        <v>2112</v>
      </c>
      <c r="AD82" t="s">
        <v>2538</v>
      </c>
      <c r="AE82">
        <v>20</v>
      </c>
      <c r="AF82" t="s">
        <v>2902</v>
      </c>
      <c r="AG82" t="s">
        <v>1754</v>
      </c>
      <c r="AH82">
        <v>22</v>
      </c>
      <c r="AJ82">
        <v>4</v>
      </c>
      <c r="AK82">
        <v>1</v>
      </c>
      <c r="AL82">
        <v>198.59</v>
      </c>
      <c r="AO82" t="s">
        <v>2927</v>
      </c>
      <c r="AP82">
        <v>59916</v>
      </c>
      <c r="AV82">
        <v>0.1</v>
      </c>
      <c r="AW82" t="s">
        <v>221</v>
      </c>
      <c r="AX82" t="s">
        <v>3042</v>
      </c>
    </row>
    <row r="83" spans="1:50">
      <c r="A83" s="1">
        <f>HYPERLINK("https://lsnyc.legalserver.org/matter/dynamic-profile/view/1898906","19-1898906")</f>
        <v>0</v>
      </c>
      <c r="B83" t="s">
        <v>50</v>
      </c>
      <c r="C83" t="s">
        <v>82</v>
      </c>
      <c r="D83" t="s">
        <v>164</v>
      </c>
      <c r="E83" t="s">
        <v>226</v>
      </c>
      <c r="F83" t="s">
        <v>268</v>
      </c>
      <c r="G83" t="s">
        <v>453</v>
      </c>
      <c r="H83" t="s">
        <v>832</v>
      </c>
      <c r="I83" t="s">
        <v>1170</v>
      </c>
      <c r="J83" t="s">
        <v>1524</v>
      </c>
      <c r="K83" t="s">
        <v>1644</v>
      </c>
      <c r="L83">
        <v>11233</v>
      </c>
      <c r="M83" t="s">
        <v>1670</v>
      </c>
      <c r="P83" t="s">
        <v>1719</v>
      </c>
      <c r="Q83" t="s">
        <v>1940</v>
      </c>
      <c r="R83" t="s">
        <v>1962</v>
      </c>
      <c r="S83" t="s">
        <v>1968</v>
      </c>
      <c r="V83" t="s">
        <v>1972</v>
      </c>
      <c r="X83" t="s">
        <v>328</v>
      </c>
      <c r="Y83">
        <v>0</v>
      </c>
      <c r="Z83" t="s">
        <v>2009</v>
      </c>
      <c r="AA83" t="s">
        <v>2014</v>
      </c>
      <c r="AB83" t="s">
        <v>2034</v>
      </c>
      <c r="AC83" t="s">
        <v>2113</v>
      </c>
      <c r="AD83" t="s">
        <v>2539</v>
      </c>
      <c r="AE83">
        <v>0</v>
      </c>
      <c r="AH83">
        <v>0</v>
      </c>
      <c r="AJ83">
        <v>3</v>
      </c>
      <c r="AK83">
        <v>2</v>
      </c>
      <c r="AL83">
        <v>132.05</v>
      </c>
      <c r="AO83" t="s">
        <v>2926</v>
      </c>
      <c r="AP83">
        <v>39840</v>
      </c>
      <c r="AV83">
        <v>2.3</v>
      </c>
      <c r="AW83" t="s">
        <v>328</v>
      </c>
      <c r="AX83" t="s">
        <v>3069</v>
      </c>
    </row>
    <row r="84" spans="1:50">
      <c r="A84" s="1">
        <f>HYPERLINK("https://lsnyc.legalserver.org/matter/dynamic-profile/view/1883059","18-1883059")</f>
        <v>0</v>
      </c>
      <c r="B84" t="s">
        <v>50</v>
      </c>
      <c r="C84" t="s">
        <v>63</v>
      </c>
      <c r="D84" t="s">
        <v>163</v>
      </c>
      <c r="E84" t="s">
        <v>196</v>
      </c>
      <c r="G84" t="s">
        <v>473</v>
      </c>
      <c r="H84" t="s">
        <v>833</v>
      </c>
      <c r="I84" t="s">
        <v>1171</v>
      </c>
      <c r="J84">
        <v>2</v>
      </c>
      <c r="K84" t="s">
        <v>1641</v>
      </c>
      <c r="L84">
        <v>10462</v>
      </c>
      <c r="M84" t="s">
        <v>1670</v>
      </c>
      <c r="Q84" t="s">
        <v>1675</v>
      </c>
      <c r="R84" t="s">
        <v>1961</v>
      </c>
      <c r="T84" t="s">
        <v>1671</v>
      </c>
      <c r="V84" t="s">
        <v>1973</v>
      </c>
      <c r="X84" t="s">
        <v>1993</v>
      </c>
      <c r="Y84">
        <v>2000</v>
      </c>
      <c r="Z84" t="s">
        <v>2006</v>
      </c>
      <c r="AC84" t="s">
        <v>2114</v>
      </c>
      <c r="AD84" t="s">
        <v>2540</v>
      </c>
      <c r="AE84">
        <v>3</v>
      </c>
      <c r="AF84" t="s">
        <v>2903</v>
      </c>
      <c r="AG84" t="s">
        <v>2915</v>
      </c>
      <c r="AH84">
        <v>0</v>
      </c>
      <c r="AJ84">
        <v>1</v>
      </c>
      <c r="AK84">
        <v>3</v>
      </c>
      <c r="AL84">
        <v>49.4</v>
      </c>
      <c r="AO84" t="s">
        <v>2926</v>
      </c>
      <c r="AP84">
        <v>12400</v>
      </c>
      <c r="AV84">
        <v>10</v>
      </c>
      <c r="AW84" t="s">
        <v>193</v>
      </c>
      <c r="AX84" t="s">
        <v>3046</v>
      </c>
    </row>
    <row r="85" spans="1:50">
      <c r="A85" s="1">
        <f>HYPERLINK("https://lsnyc.legalserver.org/matter/dynamic-profile/view/1879067","18-1879067")</f>
        <v>0</v>
      </c>
      <c r="B85" t="s">
        <v>50</v>
      </c>
      <c r="C85" t="s">
        <v>54</v>
      </c>
      <c r="D85" t="s">
        <v>164</v>
      </c>
      <c r="E85" t="s">
        <v>227</v>
      </c>
      <c r="F85" t="s">
        <v>302</v>
      </c>
      <c r="G85" t="s">
        <v>474</v>
      </c>
      <c r="H85" t="s">
        <v>834</v>
      </c>
      <c r="I85" t="s">
        <v>1172</v>
      </c>
      <c r="J85" t="s">
        <v>1525</v>
      </c>
      <c r="K85" t="s">
        <v>1643</v>
      </c>
      <c r="L85">
        <v>10032</v>
      </c>
      <c r="M85" t="s">
        <v>1670</v>
      </c>
      <c r="P85" t="s">
        <v>1720</v>
      </c>
      <c r="Q85" t="s">
        <v>1936</v>
      </c>
      <c r="R85" t="s">
        <v>1962</v>
      </c>
      <c r="S85" t="s">
        <v>1968</v>
      </c>
      <c r="T85" t="s">
        <v>1671</v>
      </c>
      <c r="V85" t="s">
        <v>1972</v>
      </c>
      <c r="X85" t="s">
        <v>227</v>
      </c>
      <c r="Y85">
        <v>622.46</v>
      </c>
      <c r="Z85" t="s">
        <v>2008</v>
      </c>
      <c r="AA85" t="s">
        <v>2013</v>
      </c>
      <c r="AB85" t="s">
        <v>2029</v>
      </c>
      <c r="AC85" t="s">
        <v>2115</v>
      </c>
      <c r="AD85" t="s">
        <v>2541</v>
      </c>
      <c r="AE85">
        <v>15</v>
      </c>
      <c r="AF85" t="s">
        <v>2902</v>
      </c>
      <c r="AG85" t="s">
        <v>1754</v>
      </c>
      <c r="AH85">
        <v>40</v>
      </c>
      <c r="AJ85">
        <v>2</v>
      </c>
      <c r="AK85">
        <v>1</v>
      </c>
      <c r="AL85">
        <v>64.09999999999999</v>
      </c>
      <c r="AO85" t="s">
        <v>2927</v>
      </c>
      <c r="AP85">
        <v>13320</v>
      </c>
      <c r="AV85">
        <v>0.5</v>
      </c>
      <c r="AW85" t="s">
        <v>302</v>
      </c>
      <c r="AX85" t="s">
        <v>3065</v>
      </c>
    </row>
    <row r="86" spans="1:50">
      <c r="A86" s="1">
        <f>HYPERLINK("https://lsnyc.legalserver.org/matter/dynamic-profile/view/1897550","19-1897550")</f>
        <v>0</v>
      </c>
      <c r="B86" t="s">
        <v>50</v>
      </c>
      <c r="C86" t="s">
        <v>101</v>
      </c>
      <c r="D86" t="s">
        <v>163</v>
      </c>
      <c r="E86" t="s">
        <v>219</v>
      </c>
      <c r="G86" t="s">
        <v>475</v>
      </c>
      <c r="H86" t="s">
        <v>835</v>
      </c>
      <c r="I86" t="s">
        <v>1173</v>
      </c>
      <c r="J86" t="s">
        <v>1506</v>
      </c>
      <c r="K86" t="s">
        <v>1643</v>
      </c>
      <c r="L86">
        <v>10035</v>
      </c>
      <c r="M86" t="s">
        <v>1670</v>
      </c>
      <c r="Q86" t="s">
        <v>1675</v>
      </c>
      <c r="R86" t="s">
        <v>1962</v>
      </c>
      <c r="T86" t="s">
        <v>1670</v>
      </c>
      <c r="V86" t="s">
        <v>1972</v>
      </c>
      <c r="W86" t="s">
        <v>1984</v>
      </c>
      <c r="X86" t="s">
        <v>186</v>
      </c>
      <c r="Y86">
        <v>1051</v>
      </c>
      <c r="Z86" t="s">
        <v>2008</v>
      </c>
      <c r="AA86" t="s">
        <v>2019</v>
      </c>
      <c r="AC86" t="s">
        <v>2116</v>
      </c>
      <c r="AD86" t="s">
        <v>2542</v>
      </c>
      <c r="AE86">
        <v>60</v>
      </c>
      <c r="AF86" t="s">
        <v>2902</v>
      </c>
      <c r="AG86" t="s">
        <v>1754</v>
      </c>
      <c r="AH86">
        <v>14</v>
      </c>
      <c r="AJ86">
        <v>3</v>
      </c>
      <c r="AK86">
        <v>1</v>
      </c>
      <c r="AL86">
        <v>166.99</v>
      </c>
      <c r="AO86" t="s">
        <v>2926</v>
      </c>
      <c r="AP86">
        <v>43000</v>
      </c>
      <c r="AV86">
        <v>0</v>
      </c>
      <c r="AX86" t="s">
        <v>3051</v>
      </c>
    </row>
    <row r="87" spans="1:50">
      <c r="A87" s="1">
        <f>HYPERLINK("https://lsnyc.legalserver.org/matter/dynamic-profile/view/1874587","18-1874587")</f>
        <v>0</v>
      </c>
      <c r="B87" t="s">
        <v>50</v>
      </c>
      <c r="C87" t="s">
        <v>75</v>
      </c>
      <c r="D87" t="s">
        <v>164</v>
      </c>
      <c r="E87" t="s">
        <v>228</v>
      </c>
      <c r="F87" t="s">
        <v>266</v>
      </c>
      <c r="G87" t="s">
        <v>476</v>
      </c>
      <c r="H87" t="s">
        <v>836</v>
      </c>
      <c r="I87" t="s">
        <v>1174</v>
      </c>
      <c r="J87" t="s">
        <v>1526</v>
      </c>
      <c r="K87" t="s">
        <v>1643</v>
      </c>
      <c r="L87">
        <v>10029</v>
      </c>
      <c r="M87" t="s">
        <v>1670</v>
      </c>
      <c r="P87" t="s">
        <v>1721</v>
      </c>
      <c r="Q87" t="s">
        <v>1936</v>
      </c>
      <c r="R87" t="s">
        <v>1960</v>
      </c>
      <c r="S87" t="s">
        <v>1966</v>
      </c>
      <c r="T87" t="s">
        <v>1670</v>
      </c>
      <c r="V87" t="s">
        <v>1972</v>
      </c>
      <c r="W87" t="s">
        <v>1984</v>
      </c>
      <c r="X87" t="s">
        <v>305</v>
      </c>
      <c r="Y87">
        <v>2200</v>
      </c>
      <c r="Z87" t="s">
        <v>2008</v>
      </c>
      <c r="AA87" t="s">
        <v>2020</v>
      </c>
      <c r="AB87" t="s">
        <v>2029</v>
      </c>
      <c r="AC87" t="s">
        <v>2117</v>
      </c>
      <c r="AD87" t="s">
        <v>2543</v>
      </c>
      <c r="AE87">
        <v>323</v>
      </c>
      <c r="AF87" t="s">
        <v>2902</v>
      </c>
      <c r="AG87" t="s">
        <v>2915</v>
      </c>
      <c r="AH87">
        <v>18</v>
      </c>
      <c r="AJ87">
        <v>2</v>
      </c>
      <c r="AK87">
        <v>2</v>
      </c>
      <c r="AL87">
        <v>33.9</v>
      </c>
      <c r="AO87" t="s">
        <v>2926</v>
      </c>
      <c r="AP87">
        <v>8508</v>
      </c>
      <c r="AV87">
        <v>37.4</v>
      </c>
      <c r="AW87" t="s">
        <v>281</v>
      </c>
      <c r="AX87" t="s">
        <v>3051</v>
      </c>
    </row>
    <row r="88" spans="1:50">
      <c r="A88" s="1">
        <f>HYPERLINK("https://lsnyc.legalserver.org/matter/dynamic-profile/view/1877303","18-1877303")</f>
        <v>0</v>
      </c>
      <c r="B88" t="s">
        <v>50</v>
      </c>
      <c r="C88" t="s">
        <v>78</v>
      </c>
      <c r="D88" t="s">
        <v>164</v>
      </c>
      <c r="E88" t="s">
        <v>229</v>
      </c>
      <c r="F88" t="s">
        <v>386</v>
      </c>
      <c r="G88" t="s">
        <v>477</v>
      </c>
      <c r="H88" t="s">
        <v>837</v>
      </c>
      <c r="I88" t="s">
        <v>1175</v>
      </c>
      <c r="J88" t="s">
        <v>1527</v>
      </c>
      <c r="K88" t="s">
        <v>1646</v>
      </c>
      <c r="L88">
        <v>10304</v>
      </c>
      <c r="M88" t="s">
        <v>1670</v>
      </c>
      <c r="P88" t="s">
        <v>1722</v>
      </c>
      <c r="Q88" t="s">
        <v>1936</v>
      </c>
      <c r="R88" t="s">
        <v>1960</v>
      </c>
      <c r="S88" t="s">
        <v>1969</v>
      </c>
      <c r="T88" t="s">
        <v>1671</v>
      </c>
      <c r="V88" t="s">
        <v>1973</v>
      </c>
      <c r="X88" t="s">
        <v>394</v>
      </c>
      <c r="Y88">
        <v>739</v>
      </c>
      <c r="Z88" t="s">
        <v>2010</v>
      </c>
      <c r="AA88" t="s">
        <v>2013</v>
      </c>
      <c r="AB88" t="s">
        <v>2032</v>
      </c>
      <c r="AD88" t="s">
        <v>2544</v>
      </c>
      <c r="AE88">
        <v>150</v>
      </c>
      <c r="AF88" t="s">
        <v>2909</v>
      </c>
      <c r="AG88" t="s">
        <v>2915</v>
      </c>
      <c r="AH88">
        <v>10</v>
      </c>
      <c r="AJ88">
        <v>3</v>
      </c>
      <c r="AK88">
        <v>2</v>
      </c>
      <c r="AL88">
        <v>40.79</v>
      </c>
      <c r="AO88" t="s">
        <v>2926</v>
      </c>
      <c r="AP88">
        <v>12000</v>
      </c>
      <c r="AS88" t="s">
        <v>2982</v>
      </c>
      <c r="AT88" t="s">
        <v>2992</v>
      </c>
      <c r="AU88" t="s">
        <v>3002</v>
      </c>
      <c r="AV88">
        <v>5.45</v>
      </c>
      <c r="AW88" t="s">
        <v>386</v>
      </c>
      <c r="AX88" t="s">
        <v>3062</v>
      </c>
    </row>
    <row r="89" spans="1:50">
      <c r="A89" s="1">
        <f>HYPERLINK("https://lsnyc.legalserver.org/matter/dynamic-profile/view/1875480","18-1875480")</f>
        <v>0</v>
      </c>
      <c r="B89" t="s">
        <v>50</v>
      </c>
      <c r="C89" t="s">
        <v>102</v>
      </c>
      <c r="D89" t="s">
        <v>164</v>
      </c>
      <c r="E89" t="s">
        <v>197</v>
      </c>
      <c r="F89" t="s">
        <v>341</v>
      </c>
      <c r="G89" t="s">
        <v>478</v>
      </c>
      <c r="H89" t="s">
        <v>838</v>
      </c>
      <c r="I89" t="s">
        <v>1176</v>
      </c>
      <c r="J89" t="s">
        <v>1488</v>
      </c>
      <c r="K89" t="s">
        <v>1643</v>
      </c>
      <c r="L89">
        <v>10029</v>
      </c>
      <c r="M89" t="s">
        <v>1670</v>
      </c>
      <c r="Q89" t="s">
        <v>1941</v>
      </c>
      <c r="R89" t="s">
        <v>1958</v>
      </c>
      <c r="S89" t="s">
        <v>1965</v>
      </c>
      <c r="T89" t="s">
        <v>1671</v>
      </c>
      <c r="V89" t="s">
        <v>1972</v>
      </c>
      <c r="W89" t="s">
        <v>1984</v>
      </c>
      <c r="X89" t="s">
        <v>372</v>
      </c>
      <c r="Y89">
        <v>400</v>
      </c>
      <c r="Z89" t="s">
        <v>2008</v>
      </c>
      <c r="AA89" t="s">
        <v>2017</v>
      </c>
      <c r="AB89" t="s">
        <v>2029</v>
      </c>
      <c r="AC89" t="s">
        <v>2118</v>
      </c>
      <c r="AD89" t="s">
        <v>2545</v>
      </c>
      <c r="AE89">
        <v>300</v>
      </c>
      <c r="AF89" t="s">
        <v>2906</v>
      </c>
      <c r="AG89" t="s">
        <v>2017</v>
      </c>
      <c r="AH89">
        <v>14</v>
      </c>
      <c r="AJ89">
        <v>1</v>
      </c>
      <c r="AK89">
        <v>2</v>
      </c>
      <c r="AL89">
        <v>74.51000000000001</v>
      </c>
      <c r="AO89" t="s">
        <v>2927</v>
      </c>
      <c r="AP89">
        <v>15484</v>
      </c>
      <c r="AV89">
        <v>1.66</v>
      </c>
      <c r="AW89" t="s">
        <v>372</v>
      </c>
      <c r="AX89" t="s">
        <v>3067</v>
      </c>
    </row>
    <row r="90" spans="1:50">
      <c r="A90" s="1">
        <f>HYPERLINK("https://lsnyc.legalserver.org/matter/dynamic-profile/view/1899978","19-1899978")</f>
        <v>0</v>
      </c>
      <c r="B90" t="s">
        <v>50</v>
      </c>
      <c r="C90" t="s">
        <v>103</v>
      </c>
      <c r="D90" t="s">
        <v>163</v>
      </c>
      <c r="E90" t="s">
        <v>230</v>
      </c>
      <c r="G90" t="s">
        <v>479</v>
      </c>
      <c r="H90" t="s">
        <v>768</v>
      </c>
      <c r="I90" t="s">
        <v>1177</v>
      </c>
      <c r="J90" t="s">
        <v>1522</v>
      </c>
      <c r="K90" t="s">
        <v>1644</v>
      </c>
      <c r="L90">
        <v>11233</v>
      </c>
      <c r="M90" t="s">
        <v>1670</v>
      </c>
      <c r="P90" t="s">
        <v>1723</v>
      </c>
      <c r="Q90" t="s">
        <v>1936</v>
      </c>
      <c r="R90" t="s">
        <v>1960</v>
      </c>
      <c r="T90" t="s">
        <v>1671</v>
      </c>
      <c r="V90" t="s">
        <v>1972</v>
      </c>
      <c r="W90" t="s">
        <v>1986</v>
      </c>
      <c r="X90" t="s">
        <v>230</v>
      </c>
      <c r="Y90">
        <v>917</v>
      </c>
      <c r="Z90" t="s">
        <v>2009</v>
      </c>
      <c r="AA90" t="s">
        <v>2017</v>
      </c>
      <c r="AC90" t="s">
        <v>2119</v>
      </c>
      <c r="AD90" t="s">
        <v>2546</v>
      </c>
      <c r="AE90">
        <v>36</v>
      </c>
      <c r="AF90" t="s">
        <v>2910</v>
      </c>
      <c r="AG90" t="s">
        <v>2918</v>
      </c>
      <c r="AH90">
        <v>10</v>
      </c>
      <c r="AJ90">
        <v>1</v>
      </c>
      <c r="AK90">
        <v>1</v>
      </c>
      <c r="AL90">
        <v>92.25</v>
      </c>
      <c r="AO90" t="s">
        <v>2926</v>
      </c>
      <c r="AP90">
        <v>15600</v>
      </c>
      <c r="AV90">
        <v>12.35</v>
      </c>
      <c r="AW90" t="s">
        <v>249</v>
      </c>
      <c r="AX90" t="s">
        <v>69</v>
      </c>
    </row>
    <row r="91" spans="1:50">
      <c r="A91" s="1">
        <f>HYPERLINK("https://lsnyc.legalserver.org/matter/dynamic-profile/view/1885366","18-1885366")</f>
        <v>0</v>
      </c>
      <c r="B91" t="s">
        <v>50</v>
      </c>
      <c r="C91" t="s">
        <v>91</v>
      </c>
      <c r="D91" t="s">
        <v>164</v>
      </c>
      <c r="E91" t="s">
        <v>231</v>
      </c>
      <c r="F91" t="s">
        <v>285</v>
      </c>
      <c r="G91" t="s">
        <v>480</v>
      </c>
      <c r="H91" t="s">
        <v>839</v>
      </c>
      <c r="I91" t="s">
        <v>1178</v>
      </c>
      <c r="J91" t="s">
        <v>1522</v>
      </c>
      <c r="K91" t="s">
        <v>1643</v>
      </c>
      <c r="L91">
        <v>10033</v>
      </c>
      <c r="M91" t="s">
        <v>1670</v>
      </c>
      <c r="Q91" t="s">
        <v>1675</v>
      </c>
      <c r="R91" t="s">
        <v>1958</v>
      </c>
      <c r="S91" t="s">
        <v>1965</v>
      </c>
      <c r="T91" t="s">
        <v>1671</v>
      </c>
      <c r="V91" t="s">
        <v>1972</v>
      </c>
      <c r="X91" t="s">
        <v>231</v>
      </c>
      <c r="Y91">
        <v>390</v>
      </c>
      <c r="Z91" t="s">
        <v>2008</v>
      </c>
      <c r="AA91" t="s">
        <v>2013</v>
      </c>
      <c r="AB91" t="s">
        <v>2029</v>
      </c>
      <c r="AC91" t="s">
        <v>2120</v>
      </c>
      <c r="AD91" t="s">
        <v>2547</v>
      </c>
      <c r="AE91">
        <v>0</v>
      </c>
      <c r="AF91" t="s">
        <v>2902</v>
      </c>
      <c r="AG91" t="s">
        <v>1754</v>
      </c>
      <c r="AH91">
        <v>4</v>
      </c>
      <c r="AJ91">
        <v>1</v>
      </c>
      <c r="AK91">
        <v>2</v>
      </c>
      <c r="AL91">
        <v>112.49</v>
      </c>
      <c r="AO91" t="s">
        <v>2926</v>
      </c>
      <c r="AP91">
        <v>23376</v>
      </c>
      <c r="AV91">
        <v>1.3</v>
      </c>
      <c r="AW91" t="s">
        <v>306</v>
      </c>
      <c r="AX91" t="s">
        <v>3042</v>
      </c>
    </row>
    <row r="92" spans="1:50">
      <c r="A92" s="1">
        <f>HYPERLINK("https://lsnyc.legalserver.org/matter/dynamic-profile/view/1903154","19-1903154")</f>
        <v>0</v>
      </c>
      <c r="B92" t="s">
        <v>51</v>
      </c>
      <c r="C92" t="s">
        <v>104</v>
      </c>
      <c r="D92" t="s">
        <v>163</v>
      </c>
      <c r="E92" t="s">
        <v>222</v>
      </c>
      <c r="G92" t="s">
        <v>481</v>
      </c>
      <c r="H92" t="s">
        <v>840</v>
      </c>
      <c r="I92" t="s">
        <v>1179</v>
      </c>
      <c r="K92" t="s">
        <v>1646</v>
      </c>
      <c r="L92">
        <v>10310</v>
      </c>
      <c r="M92" t="s">
        <v>1672</v>
      </c>
      <c r="P92" t="s">
        <v>1693</v>
      </c>
      <c r="Q92" t="s">
        <v>1675</v>
      </c>
      <c r="R92" t="s">
        <v>1963</v>
      </c>
      <c r="T92" t="s">
        <v>1671</v>
      </c>
      <c r="V92" t="s">
        <v>1972</v>
      </c>
      <c r="X92" t="s">
        <v>1994</v>
      </c>
      <c r="Y92">
        <v>0</v>
      </c>
      <c r="Z92" t="s">
        <v>2010</v>
      </c>
      <c r="AA92" t="s">
        <v>2012</v>
      </c>
      <c r="AC92" t="s">
        <v>2121</v>
      </c>
      <c r="AD92" t="s">
        <v>2548</v>
      </c>
      <c r="AE92">
        <v>0</v>
      </c>
      <c r="AF92" t="s">
        <v>2903</v>
      </c>
      <c r="AH92">
        <v>0</v>
      </c>
      <c r="AJ92">
        <v>1</v>
      </c>
      <c r="AK92">
        <v>4</v>
      </c>
      <c r="AL92">
        <v>23.27</v>
      </c>
      <c r="AM92" t="s">
        <v>2923</v>
      </c>
      <c r="AN92" t="s">
        <v>2924</v>
      </c>
      <c r="AO92" t="s">
        <v>2927</v>
      </c>
      <c r="AP92">
        <v>7020</v>
      </c>
      <c r="AV92">
        <v>2</v>
      </c>
      <c r="AW92" t="s">
        <v>289</v>
      </c>
      <c r="AX92" t="s">
        <v>104</v>
      </c>
    </row>
    <row r="93" spans="1:50">
      <c r="A93" s="1">
        <f>HYPERLINK("https://lsnyc.legalserver.org/matter/dynamic-profile/view/1877206","18-1877206")</f>
        <v>0</v>
      </c>
      <c r="B93" t="s">
        <v>50</v>
      </c>
      <c r="C93" t="s">
        <v>105</v>
      </c>
      <c r="D93" t="s">
        <v>163</v>
      </c>
      <c r="E93" t="s">
        <v>232</v>
      </c>
      <c r="G93" t="s">
        <v>482</v>
      </c>
      <c r="H93" t="s">
        <v>841</v>
      </c>
      <c r="I93" t="s">
        <v>1180</v>
      </c>
      <c r="J93" t="s">
        <v>1528</v>
      </c>
      <c r="K93" t="s">
        <v>1641</v>
      </c>
      <c r="L93">
        <v>10451</v>
      </c>
      <c r="M93" t="s">
        <v>1670</v>
      </c>
      <c r="Q93" t="s">
        <v>1941</v>
      </c>
      <c r="R93" t="s">
        <v>1958</v>
      </c>
      <c r="V93" t="s">
        <v>1972</v>
      </c>
      <c r="X93" t="s">
        <v>1993</v>
      </c>
      <c r="Y93">
        <v>968</v>
      </c>
      <c r="Z93" t="s">
        <v>2006</v>
      </c>
      <c r="AA93" t="s">
        <v>2015</v>
      </c>
      <c r="AC93" t="s">
        <v>2122</v>
      </c>
      <c r="AD93" t="s">
        <v>2549</v>
      </c>
      <c r="AE93">
        <v>27</v>
      </c>
      <c r="AF93" t="s">
        <v>2904</v>
      </c>
      <c r="AG93" t="s">
        <v>2920</v>
      </c>
      <c r="AH93">
        <v>2</v>
      </c>
      <c r="AJ93">
        <v>1</v>
      </c>
      <c r="AK93">
        <v>2</v>
      </c>
      <c r="AL93">
        <v>0</v>
      </c>
      <c r="AO93" t="s">
        <v>2926</v>
      </c>
      <c r="AP93">
        <v>0</v>
      </c>
      <c r="AQ93" t="s">
        <v>2944</v>
      </c>
      <c r="AV93">
        <v>2.4</v>
      </c>
      <c r="AW93" t="s">
        <v>320</v>
      </c>
      <c r="AX93" t="s">
        <v>3047</v>
      </c>
    </row>
    <row r="94" spans="1:50">
      <c r="A94" s="1">
        <f>HYPERLINK("https://lsnyc.legalserver.org/matter/dynamic-profile/view/1838759","17-1838759")</f>
        <v>0</v>
      </c>
      <c r="B94" t="s">
        <v>50</v>
      </c>
      <c r="C94" t="s">
        <v>78</v>
      </c>
      <c r="D94" t="s">
        <v>164</v>
      </c>
      <c r="E94" t="s">
        <v>233</v>
      </c>
      <c r="F94" t="s">
        <v>387</v>
      </c>
      <c r="G94" t="s">
        <v>483</v>
      </c>
      <c r="H94" t="s">
        <v>842</v>
      </c>
      <c r="I94" t="s">
        <v>1181</v>
      </c>
      <c r="J94" t="s">
        <v>1477</v>
      </c>
      <c r="K94" t="s">
        <v>1646</v>
      </c>
      <c r="L94">
        <v>10304</v>
      </c>
      <c r="M94" t="s">
        <v>1670</v>
      </c>
      <c r="P94" t="s">
        <v>1724</v>
      </c>
      <c r="Q94" t="s">
        <v>1939</v>
      </c>
      <c r="R94" t="s">
        <v>1960</v>
      </c>
      <c r="S94" t="s">
        <v>1969</v>
      </c>
      <c r="T94" t="s">
        <v>1671</v>
      </c>
      <c r="V94" t="s">
        <v>1972</v>
      </c>
      <c r="W94" t="s">
        <v>1984</v>
      </c>
      <c r="X94" t="s">
        <v>387</v>
      </c>
      <c r="Y94">
        <v>950</v>
      </c>
      <c r="Z94" t="s">
        <v>2010</v>
      </c>
      <c r="AA94" t="s">
        <v>2020</v>
      </c>
      <c r="AB94" t="s">
        <v>2033</v>
      </c>
      <c r="AC94" t="s">
        <v>2123</v>
      </c>
      <c r="AD94" t="s">
        <v>2550</v>
      </c>
      <c r="AE94">
        <v>5</v>
      </c>
      <c r="AF94" t="s">
        <v>2902</v>
      </c>
      <c r="AG94" t="s">
        <v>1754</v>
      </c>
      <c r="AH94">
        <v>2</v>
      </c>
      <c r="AJ94">
        <v>2</v>
      </c>
      <c r="AK94">
        <v>1</v>
      </c>
      <c r="AL94">
        <v>43.08</v>
      </c>
      <c r="AO94" t="s">
        <v>2926</v>
      </c>
      <c r="AP94">
        <v>8796</v>
      </c>
      <c r="AR94" t="s">
        <v>2976</v>
      </c>
      <c r="AS94" t="s">
        <v>2017</v>
      </c>
      <c r="AT94" t="s">
        <v>2993</v>
      </c>
      <c r="AU94" t="s">
        <v>3003</v>
      </c>
      <c r="AV94">
        <v>12.3</v>
      </c>
      <c r="AW94" t="s">
        <v>3032</v>
      </c>
      <c r="AX94" t="s">
        <v>3056</v>
      </c>
    </row>
    <row r="95" spans="1:50">
      <c r="A95" s="1">
        <f>HYPERLINK("https://lsnyc.legalserver.org/matter/dynamic-profile/view/0830783","17-0830783")</f>
        <v>0</v>
      </c>
      <c r="B95" t="s">
        <v>50</v>
      </c>
      <c r="C95" t="s">
        <v>78</v>
      </c>
      <c r="D95" t="s">
        <v>164</v>
      </c>
      <c r="E95" t="s">
        <v>234</v>
      </c>
      <c r="F95" t="s">
        <v>387</v>
      </c>
      <c r="G95" t="s">
        <v>483</v>
      </c>
      <c r="H95" t="s">
        <v>842</v>
      </c>
      <c r="I95" t="s">
        <v>1181</v>
      </c>
      <c r="J95" t="s">
        <v>1477</v>
      </c>
      <c r="K95" t="s">
        <v>1646</v>
      </c>
      <c r="L95">
        <v>10304</v>
      </c>
      <c r="M95" t="s">
        <v>1670</v>
      </c>
      <c r="P95" t="s">
        <v>1725</v>
      </c>
      <c r="Q95" t="s">
        <v>1946</v>
      </c>
      <c r="R95" t="s">
        <v>1960</v>
      </c>
      <c r="S95" t="s">
        <v>1969</v>
      </c>
      <c r="T95" t="s">
        <v>1671</v>
      </c>
      <c r="V95" t="s">
        <v>1972</v>
      </c>
      <c r="W95" t="s">
        <v>1984</v>
      </c>
      <c r="X95" t="s">
        <v>387</v>
      </c>
      <c r="Y95">
        <v>950</v>
      </c>
      <c r="Z95" t="s">
        <v>2010</v>
      </c>
      <c r="AA95" t="s">
        <v>2020</v>
      </c>
      <c r="AB95" t="s">
        <v>2032</v>
      </c>
      <c r="AC95" t="s">
        <v>2123</v>
      </c>
      <c r="AD95" t="s">
        <v>2550</v>
      </c>
      <c r="AE95">
        <v>5</v>
      </c>
      <c r="AF95" t="s">
        <v>2902</v>
      </c>
      <c r="AG95" t="s">
        <v>1754</v>
      </c>
      <c r="AH95">
        <v>3</v>
      </c>
      <c r="AJ95">
        <v>2</v>
      </c>
      <c r="AK95">
        <v>1</v>
      </c>
      <c r="AL95">
        <v>43.08</v>
      </c>
      <c r="AO95" t="s">
        <v>2926</v>
      </c>
      <c r="AP95">
        <v>8796</v>
      </c>
      <c r="AR95" t="s">
        <v>2976</v>
      </c>
      <c r="AS95" t="s">
        <v>2984</v>
      </c>
      <c r="AT95" t="s">
        <v>2993</v>
      </c>
      <c r="AU95" t="s">
        <v>3004</v>
      </c>
      <c r="AV95">
        <v>22.61</v>
      </c>
      <c r="AW95" t="s">
        <v>3033</v>
      </c>
      <c r="AX95" t="s">
        <v>3056</v>
      </c>
    </row>
    <row r="96" spans="1:50">
      <c r="A96" s="1">
        <f>HYPERLINK("https://lsnyc.legalserver.org/matter/dynamic-profile/view/1878012","18-1878012")</f>
        <v>0</v>
      </c>
      <c r="B96" t="s">
        <v>50</v>
      </c>
      <c r="C96" t="s">
        <v>106</v>
      </c>
      <c r="D96" t="s">
        <v>164</v>
      </c>
      <c r="E96" t="s">
        <v>229</v>
      </c>
      <c r="F96" t="s">
        <v>191</v>
      </c>
      <c r="G96" t="s">
        <v>427</v>
      </c>
      <c r="H96" t="s">
        <v>843</v>
      </c>
      <c r="I96" t="s">
        <v>1182</v>
      </c>
      <c r="J96" t="s">
        <v>1484</v>
      </c>
      <c r="K96" t="s">
        <v>1641</v>
      </c>
      <c r="L96">
        <v>10468</v>
      </c>
      <c r="M96" t="s">
        <v>1670</v>
      </c>
      <c r="Q96" t="s">
        <v>1937</v>
      </c>
      <c r="R96" t="s">
        <v>1959</v>
      </c>
      <c r="S96" t="s">
        <v>1968</v>
      </c>
      <c r="T96" t="s">
        <v>1671</v>
      </c>
      <c r="V96" t="s">
        <v>1972</v>
      </c>
      <c r="X96" t="s">
        <v>1992</v>
      </c>
      <c r="Y96">
        <v>1495.76</v>
      </c>
      <c r="Z96" t="s">
        <v>2006</v>
      </c>
      <c r="AA96" t="s">
        <v>2017</v>
      </c>
      <c r="AB96" t="s">
        <v>2034</v>
      </c>
      <c r="AC96" t="s">
        <v>2124</v>
      </c>
      <c r="AD96" t="s">
        <v>2551</v>
      </c>
      <c r="AE96">
        <v>61</v>
      </c>
      <c r="AF96" t="s">
        <v>2902</v>
      </c>
      <c r="AG96" t="s">
        <v>1754</v>
      </c>
      <c r="AH96">
        <v>11</v>
      </c>
      <c r="AJ96">
        <v>3</v>
      </c>
      <c r="AK96">
        <v>1</v>
      </c>
      <c r="AL96">
        <v>129.08</v>
      </c>
      <c r="AO96" t="s">
        <v>2927</v>
      </c>
      <c r="AP96">
        <v>32400</v>
      </c>
      <c r="AV96">
        <v>2.3</v>
      </c>
      <c r="AW96" t="s">
        <v>191</v>
      </c>
      <c r="AX96" t="s">
        <v>3070</v>
      </c>
    </row>
    <row r="97" spans="1:50">
      <c r="A97" s="1">
        <f>HYPERLINK("https://lsnyc.legalserver.org/matter/dynamic-profile/view/1896217","19-1896217")</f>
        <v>0</v>
      </c>
      <c r="B97" t="s">
        <v>51</v>
      </c>
      <c r="C97" t="s">
        <v>90</v>
      </c>
      <c r="D97" t="s">
        <v>163</v>
      </c>
      <c r="E97" t="s">
        <v>235</v>
      </c>
      <c r="G97" t="s">
        <v>484</v>
      </c>
      <c r="H97" t="s">
        <v>844</v>
      </c>
      <c r="I97" t="s">
        <v>1183</v>
      </c>
      <c r="J97" t="s">
        <v>1529</v>
      </c>
      <c r="K97" t="s">
        <v>1646</v>
      </c>
      <c r="L97">
        <v>10301</v>
      </c>
      <c r="M97" t="s">
        <v>1670</v>
      </c>
      <c r="Q97" t="s">
        <v>1675</v>
      </c>
      <c r="R97" t="s">
        <v>1959</v>
      </c>
      <c r="T97" t="s">
        <v>1671</v>
      </c>
      <c r="V97" t="s">
        <v>1972</v>
      </c>
      <c r="X97" t="s">
        <v>235</v>
      </c>
      <c r="Y97">
        <v>2086</v>
      </c>
      <c r="Z97" t="s">
        <v>2010</v>
      </c>
      <c r="AA97" t="s">
        <v>2012</v>
      </c>
      <c r="AC97" t="s">
        <v>2125</v>
      </c>
      <c r="AD97" t="s">
        <v>2552</v>
      </c>
      <c r="AE97">
        <v>454</v>
      </c>
      <c r="AF97" t="s">
        <v>2902</v>
      </c>
      <c r="AG97" t="s">
        <v>1754</v>
      </c>
      <c r="AH97">
        <v>-1</v>
      </c>
      <c r="AJ97">
        <v>2</v>
      </c>
      <c r="AK97">
        <v>2</v>
      </c>
      <c r="AL97">
        <v>70.68000000000001</v>
      </c>
      <c r="AM97" t="s">
        <v>2923</v>
      </c>
      <c r="AN97" t="s">
        <v>2924</v>
      </c>
      <c r="AO97" t="s">
        <v>2926</v>
      </c>
      <c r="AP97">
        <v>18200</v>
      </c>
      <c r="AV97">
        <v>2.5</v>
      </c>
      <c r="AW97" t="s">
        <v>3034</v>
      </c>
      <c r="AX97" t="s">
        <v>3050</v>
      </c>
    </row>
    <row r="98" spans="1:50">
      <c r="A98" s="1">
        <f>HYPERLINK("https://lsnyc.legalserver.org/matter/dynamic-profile/view/1889007","19-1889007")</f>
        <v>0</v>
      </c>
      <c r="B98" t="s">
        <v>50</v>
      </c>
      <c r="C98" t="s">
        <v>107</v>
      </c>
      <c r="D98" t="s">
        <v>163</v>
      </c>
      <c r="E98" t="s">
        <v>236</v>
      </c>
      <c r="G98" t="s">
        <v>485</v>
      </c>
      <c r="H98" t="s">
        <v>845</v>
      </c>
      <c r="I98" t="s">
        <v>1184</v>
      </c>
      <c r="J98">
        <v>4</v>
      </c>
      <c r="K98" t="s">
        <v>1644</v>
      </c>
      <c r="L98">
        <v>11233</v>
      </c>
      <c r="M98" t="s">
        <v>1670</v>
      </c>
      <c r="P98" t="s">
        <v>1726</v>
      </c>
      <c r="Q98" t="s">
        <v>1940</v>
      </c>
      <c r="R98" t="s">
        <v>1963</v>
      </c>
      <c r="T98" t="s">
        <v>1671</v>
      </c>
      <c r="V98" t="s">
        <v>1972</v>
      </c>
      <c r="X98" t="s">
        <v>237</v>
      </c>
      <c r="Y98">
        <v>1823</v>
      </c>
      <c r="Z98" t="s">
        <v>2009</v>
      </c>
      <c r="AA98" t="s">
        <v>2011</v>
      </c>
      <c r="AC98" t="s">
        <v>2126</v>
      </c>
      <c r="AD98" t="s">
        <v>2553</v>
      </c>
      <c r="AE98">
        <v>8</v>
      </c>
      <c r="AF98" t="s">
        <v>2902</v>
      </c>
      <c r="AG98" t="s">
        <v>2915</v>
      </c>
      <c r="AH98">
        <v>10</v>
      </c>
      <c r="AJ98">
        <v>1</v>
      </c>
      <c r="AK98">
        <v>2</v>
      </c>
      <c r="AL98">
        <v>103.14</v>
      </c>
      <c r="AO98" t="s">
        <v>2926</v>
      </c>
      <c r="AP98">
        <v>22000</v>
      </c>
      <c r="AV98">
        <v>0</v>
      </c>
      <c r="AX98" t="s">
        <v>3059</v>
      </c>
    </row>
    <row r="99" spans="1:50">
      <c r="A99" s="1">
        <f>HYPERLINK("https://lsnyc.legalserver.org/matter/dynamic-profile/view/1888931","19-1888931")</f>
        <v>0</v>
      </c>
      <c r="B99" t="s">
        <v>50</v>
      </c>
      <c r="C99" t="s">
        <v>105</v>
      </c>
      <c r="D99" t="s">
        <v>163</v>
      </c>
      <c r="E99" t="s">
        <v>237</v>
      </c>
      <c r="G99" t="s">
        <v>486</v>
      </c>
      <c r="H99" t="s">
        <v>846</v>
      </c>
      <c r="I99" t="s">
        <v>1118</v>
      </c>
      <c r="J99" t="s">
        <v>1530</v>
      </c>
      <c r="K99" t="s">
        <v>1641</v>
      </c>
      <c r="L99">
        <v>10452</v>
      </c>
      <c r="M99" t="s">
        <v>1670</v>
      </c>
      <c r="P99" t="s">
        <v>1727</v>
      </c>
      <c r="Q99" t="s">
        <v>1936</v>
      </c>
      <c r="R99" t="s">
        <v>1960</v>
      </c>
      <c r="T99" t="s">
        <v>1671</v>
      </c>
      <c r="V99" t="s">
        <v>1972</v>
      </c>
      <c r="X99" t="s">
        <v>237</v>
      </c>
      <c r="Y99">
        <v>1078.15</v>
      </c>
      <c r="Z99" t="s">
        <v>2006</v>
      </c>
      <c r="AA99" t="s">
        <v>2015</v>
      </c>
      <c r="AC99" t="s">
        <v>2127</v>
      </c>
      <c r="AD99" t="s">
        <v>2554</v>
      </c>
      <c r="AE99">
        <v>59</v>
      </c>
      <c r="AF99" t="s">
        <v>2902</v>
      </c>
      <c r="AG99" t="s">
        <v>1754</v>
      </c>
      <c r="AH99">
        <v>30</v>
      </c>
      <c r="AJ99">
        <v>1</v>
      </c>
      <c r="AK99">
        <v>1</v>
      </c>
      <c r="AL99">
        <v>71.59999999999999</v>
      </c>
      <c r="AO99" t="s">
        <v>2926</v>
      </c>
      <c r="AP99">
        <v>12108</v>
      </c>
      <c r="AV99">
        <v>22.2</v>
      </c>
      <c r="AW99" t="s">
        <v>399</v>
      </c>
      <c r="AX99" t="s">
        <v>3047</v>
      </c>
    </row>
    <row r="100" spans="1:50">
      <c r="A100" s="1">
        <f>HYPERLINK("https://lsnyc.legalserver.org/matter/dynamic-profile/view/1900004","19-1900004")</f>
        <v>0</v>
      </c>
      <c r="B100" t="s">
        <v>50</v>
      </c>
      <c r="C100" t="s">
        <v>103</v>
      </c>
      <c r="D100" t="s">
        <v>164</v>
      </c>
      <c r="E100" t="s">
        <v>230</v>
      </c>
      <c r="F100" t="s">
        <v>268</v>
      </c>
      <c r="G100" t="s">
        <v>484</v>
      </c>
      <c r="H100" t="s">
        <v>847</v>
      </c>
      <c r="I100" t="s">
        <v>1185</v>
      </c>
      <c r="J100" t="s">
        <v>1531</v>
      </c>
      <c r="K100" t="s">
        <v>1644</v>
      </c>
      <c r="L100">
        <v>11208</v>
      </c>
      <c r="M100" t="s">
        <v>1670</v>
      </c>
      <c r="P100" t="s">
        <v>1728</v>
      </c>
      <c r="Q100" t="s">
        <v>1940</v>
      </c>
      <c r="R100" t="s">
        <v>1958</v>
      </c>
      <c r="S100" t="s">
        <v>1965</v>
      </c>
      <c r="T100" t="s">
        <v>1671</v>
      </c>
      <c r="V100" t="s">
        <v>1972</v>
      </c>
      <c r="W100" t="s">
        <v>1983</v>
      </c>
      <c r="X100" t="s">
        <v>1995</v>
      </c>
      <c r="Y100">
        <v>1557</v>
      </c>
      <c r="Z100" t="s">
        <v>2009</v>
      </c>
      <c r="AA100" t="s">
        <v>2017</v>
      </c>
      <c r="AB100" t="s">
        <v>2029</v>
      </c>
      <c r="AC100" t="s">
        <v>2128</v>
      </c>
      <c r="AD100" t="s">
        <v>2555</v>
      </c>
      <c r="AE100">
        <v>19</v>
      </c>
      <c r="AF100" t="s">
        <v>2902</v>
      </c>
      <c r="AG100" t="s">
        <v>2917</v>
      </c>
      <c r="AH100">
        <v>3</v>
      </c>
      <c r="AJ100">
        <v>1</v>
      </c>
      <c r="AK100">
        <v>3</v>
      </c>
      <c r="AL100">
        <v>18.64</v>
      </c>
      <c r="AO100" t="s">
        <v>2926</v>
      </c>
      <c r="AP100">
        <v>4800</v>
      </c>
      <c r="AV100">
        <v>2.25</v>
      </c>
      <c r="AW100" t="s">
        <v>1995</v>
      </c>
      <c r="AX100" t="s">
        <v>3071</v>
      </c>
    </row>
    <row r="101" spans="1:50">
      <c r="A101" s="1">
        <f>HYPERLINK("https://lsnyc.legalserver.org/matter/dynamic-profile/view/1872100","18-1872100")</f>
        <v>0</v>
      </c>
      <c r="B101" t="s">
        <v>50</v>
      </c>
      <c r="C101" t="s">
        <v>78</v>
      </c>
      <c r="D101" t="s">
        <v>164</v>
      </c>
      <c r="E101" t="s">
        <v>185</v>
      </c>
      <c r="F101" t="s">
        <v>386</v>
      </c>
      <c r="G101" t="s">
        <v>487</v>
      </c>
      <c r="H101" t="s">
        <v>848</v>
      </c>
      <c r="I101" t="s">
        <v>1186</v>
      </c>
      <c r="K101" t="s">
        <v>1646</v>
      </c>
      <c r="L101">
        <v>10304</v>
      </c>
      <c r="M101" t="s">
        <v>1670</v>
      </c>
      <c r="P101" t="s">
        <v>1729</v>
      </c>
      <c r="Q101" t="s">
        <v>1936</v>
      </c>
      <c r="R101" t="s">
        <v>1960</v>
      </c>
      <c r="S101" t="s">
        <v>1969</v>
      </c>
      <c r="T101" t="s">
        <v>1671</v>
      </c>
      <c r="V101" t="s">
        <v>1972</v>
      </c>
      <c r="W101" t="s">
        <v>1984</v>
      </c>
      <c r="X101" t="s">
        <v>185</v>
      </c>
      <c r="Y101">
        <v>1800</v>
      </c>
      <c r="Z101" t="s">
        <v>2010</v>
      </c>
      <c r="AA101" t="s">
        <v>2016</v>
      </c>
      <c r="AB101" t="s">
        <v>2033</v>
      </c>
      <c r="AC101" t="s">
        <v>2129</v>
      </c>
      <c r="AD101" t="s">
        <v>2556</v>
      </c>
      <c r="AE101">
        <v>2</v>
      </c>
      <c r="AF101" t="s">
        <v>2903</v>
      </c>
      <c r="AG101" t="s">
        <v>1754</v>
      </c>
      <c r="AH101">
        <v>3</v>
      </c>
      <c r="AJ101">
        <v>2</v>
      </c>
      <c r="AK101">
        <v>1</v>
      </c>
      <c r="AL101">
        <v>79.17</v>
      </c>
      <c r="AO101" t="s">
        <v>2926</v>
      </c>
      <c r="AP101">
        <v>16452</v>
      </c>
      <c r="AR101" t="s">
        <v>2978</v>
      </c>
      <c r="AS101" t="s">
        <v>2017</v>
      </c>
      <c r="AT101" t="s">
        <v>2993</v>
      </c>
      <c r="AU101" t="s">
        <v>3005</v>
      </c>
      <c r="AV101">
        <v>11.85</v>
      </c>
      <c r="AW101" t="s">
        <v>3029</v>
      </c>
      <c r="AX101" t="s">
        <v>3072</v>
      </c>
    </row>
    <row r="102" spans="1:50">
      <c r="A102" s="1">
        <f>HYPERLINK("https://lsnyc.legalserver.org/matter/dynamic-profile/view/1899976","19-1899976")</f>
        <v>0</v>
      </c>
      <c r="B102" t="s">
        <v>50</v>
      </c>
      <c r="C102" t="s">
        <v>74</v>
      </c>
      <c r="D102" t="s">
        <v>163</v>
      </c>
      <c r="E102" t="s">
        <v>230</v>
      </c>
      <c r="G102" t="s">
        <v>488</v>
      </c>
      <c r="H102" t="s">
        <v>849</v>
      </c>
      <c r="I102" t="s">
        <v>1131</v>
      </c>
      <c r="J102" t="s">
        <v>1532</v>
      </c>
      <c r="K102" t="s">
        <v>1641</v>
      </c>
      <c r="L102">
        <v>10460</v>
      </c>
      <c r="M102" t="s">
        <v>1670</v>
      </c>
      <c r="Q102" t="s">
        <v>1675</v>
      </c>
      <c r="R102" t="s">
        <v>1959</v>
      </c>
      <c r="T102" t="s">
        <v>1670</v>
      </c>
      <c r="V102" t="s">
        <v>1972</v>
      </c>
      <c r="X102" t="s">
        <v>1991</v>
      </c>
      <c r="Y102">
        <v>1018</v>
      </c>
      <c r="Z102" t="s">
        <v>2006</v>
      </c>
      <c r="AA102" t="s">
        <v>2015</v>
      </c>
      <c r="AC102" t="s">
        <v>2130</v>
      </c>
      <c r="AD102" t="s">
        <v>2557</v>
      </c>
      <c r="AE102">
        <v>168</v>
      </c>
      <c r="AF102" t="s">
        <v>2902</v>
      </c>
      <c r="AG102" t="s">
        <v>2915</v>
      </c>
      <c r="AH102">
        <v>14</v>
      </c>
      <c r="AJ102">
        <v>1</v>
      </c>
      <c r="AK102">
        <v>1</v>
      </c>
      <c r="AL102">
        <v>195.88</v>
      </c>
      <c r="AO102" t="s">
        <v>2926</v>
      </c>
      <c r="AP102">
        <v>33124</v>
      </c>
      <c r="AV102">
        <v>0</v>
      </c>
      <c r="AX102" t="s">
        <v>3054</v>
      </c>
    </row>
    <row r="103" spans="1:50">
      <c r="A103" s="1">
        <f>HYPERLINK("https://lsnyc.legalserver.org/matter/dynamic-profile/view/1881134","18-1881134")</f>
        <v>0</v>
      </c>
      <c r="B103" t="s">
        <v>50</v>
      </c>
      <c r="C103" t="s">
        <v>101</v>
      </c>
      <c r="D103" t="s">
        <v>164</v>
      </c>
      <c r="E103" t="s">
        <v>238</v>
      </c>
      <c r="F103" t="s">
        <v>224</v>
      </c>
      <c r="G103" t="s">
        <v>489</v>
      </c>
      <c r="H103" t="s">
        <v>850</v>
      </c>
      <c r="I103" t="s">
        <v>1187</v>
      </c>
      <c r="J103" t="s">
        <v>1533</v>
      </c>
      <c r="K103" t="s">
        <v>1643</v>
      </c>
      <c r="L103">
        <v>10029</v>
      </c>
      <c r="M103" t="s">
        <v>1670</v>
      </c>
      <c r="Q103" t="s">
        <v>1675</v>
      </c>
      <c r="R103" t="s">
        <v>1958</v>
      </c>
      <c r="S103" t="s">
        <v>1965</v>
      </c>
      <c r="T103" t="s">
        <v>1671</v>
      </c>
      <c r="V103" t="s">
        <v>1972</v>
      </c>
      <c r="W103" t="s">
        <v>1984</v>
      </c>
      <c r="X103" t="s">
        <v>238</v>
      </c>
      <c r="Y103">
        <v>600</v>
      </c>
      <c r="Z103" t="s">
        <v>2008</v>
      </c>
      <c r="AA103" t="s">
        <v>2013</v>
      </c>
      <c r="AB103" t="s">
        <v>2029</v>
      </c>
      <c r="AC103" t="s">
        <v>2131</v>
      </c>
      <c r="AD103" t="s">
        <v>2558</v>
      </c>
      <c r="AE103">
        <v>154</v>
      </c>
      <c r="AF103" t="s">
        <v>2902</v>
      </c>
      <c r="AG103" t="s">
        <v>1754</v>
      </c>
      <c r="AH103">
        <v>2</v>
      </c>
      <c r="AJ103">
        <v>2</v>
      </c>
      <c r="AK103">
        <v>1</v>
      </c>
      <c r="AL103">
        <v>134.84</v>
      </c>
      <c r="AO103" t="s">
        <v>2926</v>
      </c>
      <c r="AP103">
        <v>28020</v>
      </c>
      <c r="AV103">
        <v>1.8</v>
      </c>
      <c r="AW103" t="s">
        <v>279</v>
      </c>
      <c r="AX103" t="s">
        <v>3051</v>
      </c>
    </row>
    <row r="104" spans="1:50">
      <c r="A104" s="1">
        <f>HYPERLINK("https://lsnyc.legalserver.org/matter/dynamic-profile/view/1898056","19-1898056")</f>
        <v>0</v>
      </c>
      <c r="B104" t="s">
        <v>50</v>
      </c>
      <c r="C104" t="s">
        <v>108</v>
      </c>
      <c r="D104" t="s">
        <v>163</v>
      </c>
      <c r="E104" t="s">
        <v>239</v>
      </c>
      <c r="G104" t="s">
        <v>490</v>
      </c>
      <c r="H104" t="s">
        <v>851</v>
      </c>
      <c r="I104" t="s">
        <v>1188</v>
      </c>
      <c r="J104" t="s">
        <v>1534</v>
      </c>
      <c r="K104" t="s">
        <v>1650</v>
      </c>
      <c r="L104">
        <v>11418</v>
      </c>
      <c r="M104" t="s">
        <v>1670</v>
      </c>
      <c r="P104" t="s">
        <v>1730</v>
      </c>
      <c r="Q104" t="s">
        <v>1940</v>
      </c>
      <c r="R104" t="s">
        <v>1963</v>
      </c>
      <c r="T104" t="s">
        <v>1671</v>
      </c>
      <c r="V104" t="s">
        <v>1972</v>
      </c>
      <c r="X104" t="s">
        <v>239</v>
      </c>
      <c r="Y104">
        <v>2224</v>
      </c>
      <c r="Z104" t="s">
        <v>2007</v>
      </c>
      <c r="AC104" t="s">
        <v>2132</v>
      </c>
      <c r="AD104" t="s">
        <v>2559</v>
      </c>
      <c r="AE104">
        <v>0</v>
      </c>
      <c r="AH104">
        <v>1</v>
      </c>
      <c r="AJ104">
        <v>3</v>
      </c>
      <c r="AK104">
        <v>5</v>
      </c>
      <c r="AL104">
        <v>61.9</v>
      </c>
      <c r="AO104" t="s">
        <v>2926</v>
      </c>
      <c r="AP104">
        <v>26884</v>
      </c>
      <c r="AV104">
        <v>0.5</v>
      </c>
      <c r="AW104" t="s">
        <v>291</v>
      </c>
      <c r="AX104" t="s">
        <v>3073</v>
      </c>
    </row>
    <row r="105" spans="1:50">
      <c r="A105" s="1">
        <f>HYPERLINK("https://lsnyc.legalserver.org/matter/dynamic-profile/view/1893491","19-1893491")</f>
        <v>0</v>
      </c>
      <c r="B105" t="s">
        <v>50</v>
      </c>
      <c r="C105" t="s">
        <v>109</v>
      </c>
      <c r="D105" t="s">
        <v>164</v>
      </c>
      <c r="E105" t="s">
        <v>240</v>
      </c>
      <c r="F105" t="s">
        <v>388</v>
      </c>
      <c r="G105" t="s">
        <v>491</v>
      </c>
      <c r="H105" t="s">
        <v>852</v>
      </c>
      <c r="I105" t="s">
        <v>1189</v>
      </c>
      <c r="J105" t="s">
        <v>1535</v>
      </c>
      <c r="K105" t="s">
        <v>1646</v>
      </c>
      <c r="L105">
        <v>10301</v>
      </c>
      <c r="M105" t="s">
        <v>1670</v>
      </c>
      <c r="P105" t="s">
        <v>1731</v>
      </c>
      <c r="Q105" t="s">
        <v>1936</v>
      </c>
      <c r="R105" t="s">
        <v>1960</v>
      </c>
      <c r="S105" t="s">
        <v>1969</v>
      </c>
      <c r="T105" t="s">
        <v>1671</v>
      </c>
      <c r="V105" t="s">
        <v>1972</v>
      </c>
      <c r="W105" t="s">
        <v>1984</v>
      </c>
      <c r="X105" t="s">
        <v>240</v>
      </c>
      <c r="Y105">
        <v>1800</v>
      </c>
      <c r="Z105" t="s">
        <v>2010</v>
      </c>
      <c r="AA105" t="s">
        <v>2019</v>
      </c>
      <c r="AB105" t="s">
        <v>2032</v>
      </c>
      <c r="AC105" t="s">
        <v>2133</v>
      </c>
      <c r="AD105" t="s">
        <v>2560</v>
      </c>
      <c r="AE105">
        <v>3</v>
      </c>
      <c r="AG105" t="s">
        <v>2915</v>
      </c>
      <c r="AH105">
        <v>9</v>
      </c>
      <c r="AJ105">
        <v>2</v>
      </c>
      <c r="AK105">
        <v>1</v>
      </c>
      <c r="AL105">
        <v>198.78</v>
      </c>
      <c r="AO105" t="s">
        <v>2926</v>
      </c>
      <c r="AP105">
        <v>42400</v>
      </c>
      <c r="AR105" t="s">
        <v>2976</v>
      </c>
      <c r="AS105" t="s">
        <v>2982</v>
      </c>
      <c r="AT105" t="s">
        <v>2992</v>
      </c>
      <c r="AU105" t="s">
        <v>3006</v>
      </c>
      <c r="AV105">
        <v>9.699999999999999</v>
      </c>
      <c r="AW105" t="s">
        <v>333</v>
      </c>
      <c r="AX105" t="s">
        <v>3050</v>
      </c>
    </row>
    <row r="106" spans="1:50">
      <c r="A106" s="1">
        <f>HYPERLINK("https://lsnyc.legalserver.org/matter/dynamic-profile/view/1872017","18-1872017")</f>
        <v>0</v>
      </c>
      <c r="B106" t="s">
        <v>50</v>
      </c>
      <c r="C106" t="s">
        <v>60</v>
      </c>
      <c r="D106" t="s">
        <v>163</v>
      </c>
      <c r="E106" t="s">
        <v>241</v>
      </c>
      <c r="G106" t="s">
        <v>492</v>
      </c>
      <c r="H106" t="s">
        <v>853</v>
      </c>
      <c r="I106" t="s">
        <v>1190</v>
      </c>
      <c r="K106" t="s">
        <v>1645</v>
      </c>
      <c r="L106">
        <v>11691</v>
      </c>
      <c r="M106" t="s">
        <v>1670</v>
      </c>
      <c r="P106" t="s">
        <v>1732</v>
      </c>
      <c r="Q106" t="s">
        <v>1940</v>
      </c>
      <c r="R106" t="s">
        <v>1958</v>
      </c>
      <c r="T106" t="s">
        <v>1671</v>
      </c>
      <c r="V106" t="s">
        <v>1972</v>
      </c>
      <c r="W106" t="s">
        <v>1985</v>
      </c>
      <c r="X106" t="s">
        <v>241</v>
      </c>
      <c r="Y106">
        <v>2100</v>
      </c>
      <c r="Z106" t="s">
        <v>2007</v>
      </c>
      <c r="AA106" t="s">
        <v>2014</v>
      </c>
      <c r="AC106" t="s">
        <v>2134</v>
      </c>
      <c r="AD106" t="s">
        <v>2561</v>
      </c>
      <c r="AE106">
        <v>20</v>
      </c>
      <c r="AF106" t="s">
        <v>2903</v>
      </c>
      <c r="AG106" t="s">
        <v>2915</v>
      </c>
      <c r="AH106">
        <v>3</v>
      </c>
      <c r="AJ106">
        <v>1</v>
      </c>
      <c r="AK106">
        <v>3</v>
      </c>
      <c r="AL106">
        <v>138.65</v>
      </c>
      <c r="AN106" t="s">
        <v>2925</v>
      </c>
      <c r="AO106" t="s">
        <v>2926</v>
      </c>
      <c r="AP106">
        <v>34800</v>
      </c>
      <c r="AV106">
        <v>1.2</v>
      </c>
      <c r="AW106" t="s">
        <v>271</v>
      </c>
      <c r="AX106" t="s">
        <v>3044</v>
      </c>
    </row>
    <row r="107" spans="1:50">
      <c r="A107" s="1">
        <f>HYPERLINK("https://lsnyc.legalserver.org/matter/dynamic-profile/view/1878085","18-1878085")</f>
        <v>0</v>
      </c>
      <c r="B107" t="s">
        <v>50</v>
      </c>
      <c r="C107" t="s">
        <v>89</v>
      </c>
      <c r="D107" t="s">
        <v>163</v>
      </c>
      <c r="E107" t="s">
        <v>242</v>
      </c>
      <c r="G107" t="s">
        <v>493</v>
      </c>
      <c r="H107" t="s">
        <v>854</v>
      </c>
      <c r="I107" t="s">
        <v>1191</v>
      </c>
      <c r="J107" t="s">
        <v>1484</v>
      </c>
      <c r="K107" t="s">
        <v>1645</v>
      </c>
      <c r="L107">
        <v>11691</v>
      </c>
      <c r="M107" t="s">
        <v>1670</v>
      </c>
      <c r="P107" t="s">
        <v>1733</v>
      </c>
      <c r="Q107" t="s">
        <v>1936</v>
      </c>
      <c r="R107" t="s">
        <v>1958</v>
      </c>
      <c r="T107" t="s">
        <v>1671</v>
      </c>
      <c r="V107" t="s">
        <v>1972</v>
      </c>
      <c r="W107" t="s">
        <v>1984</v>
      </c>
      <c r="X107" t="s">
        <v>242</v>
      </c>
      <c r="Y107">
        <v>1287.85</v>
      </c>
      <c r="Z107" t="s">
        <v>2007</v>
      </c>
      <c r="AA107" t="s">
        <v>2014</v>
      </c>
      <c r="AC107" t="s">
        <v>2135</v>
      </c>
      <c r="AD107" t="s">
        <v>2562</v>
      </c>
      <c r="AE107">
        <v>40</v>
      </c>
      <c r="AF107" t="s">
        <v>2903</v>
      </c>
      <c r="AG107" t="s">
        <v>2917</v>
      </c>
      <c r="AH107">
        <v>5</v>
      </c>
      <c r="AJ107">
        <v>1</v>
      </c>
      <c r="AK107">
        <v>4</v>
      </c>
      <c r="AL107">
        <v>19</v>
      </c>
      <c r="AO107" t="s">
        <v>2926</v>
      </c>
      <c r="AP107">
        <v>5590</v>
      </c>
      <c r="AV107">
        <v>1.3</v>
      </c>
      <c r="AW107" t="s">
        <v>250</v>
      </c>
      <c r="AX107" t="s">
        <v>89</v>
      </c>
    </row>
    <row r="108" spans="1:50">
      <c r="A108" s="1">
        <f>HYPERLINK("https://lsnyc.legalserver.org/matter/dynamic-profile/view/1885982","18-1885982")</f>
        <v>0</v>
      </c>
      <c r="B108" t="s">
        <v>50</v>
      </c>
      <c r="C108" t="s">
        <v>53</v>
      </c>
      <c r="D108" t="s">
        <v>163</v>
      </c>
      <c r="E108" t="s">
        <v>243</v>
      </c>
      <c r="G108" t="s">
        <v>470</v>
      </c>
      <c r="H108" t="s">
        <v>855</v>
      </c>
      <c r="I108" t="s">
        <v>1192</v>
      </c>
      <c r="J108" t="s">
        <v>1536</v>
      </c>
      <c r="K108" t="s">
        <v>1645</v>
      </c>
      <c r="L108">
        <v>11691</v>
      </c>
      <c r="M108" t="s">
        <v>1670</v>
      </c>
      <c r="P108" t="s">
        <v>1734</v>
      </c>
      <c r="Q108" t="s">
        <v>1936</v>
      </c>
      <c r="R108" t="s">
        <v>1960</v>
      </c>
      <c r="T108" t="s">
        <v>1671</v>
      </c>
      <c r="V108" t="s">
        <v>1972</v>
      </c>
      <c r="W108" t="s">
        <v>1984</v>
      </c>
      <c r="X108" t="s">
        <v>243</v>
      </c>
      <c r="Y108">
        <v>780</v>
      </c>
      <c r="Z108" t="s">
        <v>2007</v>
      </c>
      <c r="AA108" t="s">
        <v>2014</v>
      </c>
      <c r="AC108" t="s">
        <v>2136</v>
      </c>
      <c r="AD108" t="s">
        <v>2563</v>
      </c>
      <c r="AE108">
        <v>72</v>
      </c>
      <c r="AF108" t="s">
        <v>2909</v>
      </c>
      <c r="AG108" t="s">
        <v>1754</v>
      </c>
      <c r="AH108">
        <v>2</v>
      </c>
      <c r="AJ108">
        <v>1</v>
      </c>
      <c r="AK108">
        <v>2</v>
      </c>
      <c r="AL108">
        <v>153.99</v>
      </c>
      <c r="AO108" t="s">
        <v>2926</v>
      </c>
      <c r="AP108">
        <v>32000</v>
      </c>
      <c r="AR108" t="s">
        <v>2979</v>
      </c>
      <c r="AS108" t="s">
        <v>2982</v>
      </c>
      <c r="AT108" t="s">
        <v>2992</v>
      </c>
      <c r="AU108" t="s">
        <v>3007</v>
      </c>
      <c r="AV108">
        <v>3.6</v>
      </c>
      <c r="AW108" t="s">
        <v>271</v>
      </c>
      <c r="AX108" t="s">
        <v>3044</v>
      </c>
    </row>
    <row r="109" spans="1:50">
      <c r="A109" s="1">
        <f>HYPERLINK("https://lsnyc.legalserver.org/matter/dynamic-profile/view/1875981","18-1875981")</f>
        <v>0</v>
      </c>
      <c r="B109" t="s">
        <v>50</v>
      </c>
      <c r="C109" t="s">
        <v>57</v>
      </c>
      <c r="D109" t="s">
        <v>163</v>
      </c>
      <c r="E109" t="s">
        <v>244</v>
      </c>
      <c r="G109" t="s">
        <v>458</v>
      </c>
      <c r="H109" t="s">
        <v>856</v>
      </c>
      <c r="I109" t="s">
        <v>1193</v>
      </c>
      <c r="J109" t="s">
        <v>1482</v>
      </c>
      <c r="K109" t="s">
        <v>1641</v>
      </c>
      <c r="L109">
        <v>10456</v>
      </c>
      <c r="M109" t="s">
        <v>1670</v>
      </c>
      <c r="P109" t="s">
        <v>1735</v>
      </c>
      <c r="Q109" t="s">
        <v>1938</v>
      </c>
      <c r="R109" t="s">
        <v>1961</v>
      </c>
      <c r="T109" t="s">
        <v>1670</v>
      </c>
      <c r="V109" t="s">
        <v>1972</v>
      </c>
      <c r="X109" t="s">
        <v>1992</v>
      </c>
      <c r="Y109">
        <v>1800</v>
      </c>
      <c r="Z109" t="s">
        <v>2006</v>
      </c>
      <c r="AA109" t="s">
        <v>2015</v>
      </c>
      <c r="AC109" t="s">
        <v>2137</v>
      </c>
      <c r="AD109" t="s">
        <v>2564</v>
      </c>
      <c r="AE109">
        <v>61</v>
      </c>
      <c r="AF109" t="s">
        <v>2902</v>
      </c>
      <c r="AG109" t="s">
        <v>1754</v>
      </c>
      <c r="AH109">
        <v>1</v>
      </c>
      <c r="AJ109">
        <v>2</v>
      </c>
      <c r="AK109">
        <v>3</v>
      </c>
      <c r="AL109">
        <v>142.76</v>
      </c>
      <c r="AO109" t="s">
        <v>2927</v>
      </c>
      <c r="AP109">
        <v>42000</v>
      </c>
      <c r="AV109">
        <v>0</v>
      </c>
      <c r="AX109" t="s">
        <v>3047</v>
      </c>
    </row>
    <row r="110" spans="1:50">
      <c r="A110" s="1">
        <f>HYPERLINK("https://lsnyc.legalserver.org/matter/dynamic-profile/view/1880612","18-1880612")</f>
        <v>0</v>
      </c>
      <c r="B110" t="s">
        <v>50</v>
      </c>
      <c r="C110" t="s">
        <v>57</v>
      </c>
      <c r="D110" t="s">
        <v>163</v>
      </c>
      <c r="E110" t="s">
        <v>245</v>
      </c>
      <c r="G110" t="s">
        <v>458</v>
      </c>
      <c r="H110" t="s">
        <v>856</v>
      </c>
      <c r="I110" t="s">
        <v>1193</v>
      </c>
      <c r="J110" t="s">
        <v>1482</v>
      </c>
      <c r="K110" t="s">
        <v>1641</v>
      </c>
      <c r="L110">
        <v>10456</v>
      </c>
      <c r="M110" t="s">
        <v>1670</v>
      </c>
      <c r="P110" t="s">
        <v>1736</v>
      </c>
      <c r="Q110" t="s">
        <v>1938</v>
      </c>
      <c r="R110" t="s">
        <v>1961</v>
      </c>
      <c r="T110" t="s">
        <v>1670</v>
      </c>
      <c r="V110" t="s">
        <v>1972</v>
      </c>
      <c r="X110" t="s">
        <v>219</v>
      </c>
      <c r="Y110">
        <v>1800</v>
      </c>
      <c r="Z110" t="s">
        <v>2006</v>
      </c>
      <c r="AA110" t="s">
        <v>2015</v>
      </c>
      <c r="AC110" t="s">
        <v>2137</v>
      </c>
      <c r="AD110" t="s">
        <v>2564</v>
      </c>
      <c r="AE110">
        <v>61</v>
      </c>
      <c r="AF110" t="s">
        <v>2902</v>
      </c>
      <c r="AG110" t="s">
        <v>1754</v>
      </c>
      <c r="AH110">
        <v>2</v>
      </c>
      <c r="AJ110">
        <v>2</v>
      </c>
      <c r="AK110">
        <v>3</v>
      </c>
      <c r="AL110">
        <v>142.76</v>
      </c>
      <c r="AO110" t="s">
        <v>2927</v>
      </c>
      <c r="AP110">
        <v>42000</v>
      </c>
      <c r="AV110">
        <v>0</v>
      </c>
      <c r="AX110" t="s">
        <v>3046</v>
      </c>
    </row>
    <row r="111" spans="1:50">
      <c r="A111" s="1">
        <f>HYPERLINK("https://lsnyc.legalserver.org/matter/dynamic-profile/view/1885212","18-1885212")</f>
        <v>0</v>
      </c>
      <c r="B111" t="s">
        <v>50</v>
      </c>
      <c r="C111" t="s">
        <v>52</v>
      </c>
      <c r="D111" t="s">
        <v>164</v>
      </c>
      <c r="E111" t="s">
        <v>246</v>
      </c>
      <c r="F111" t="s">
        <v>381</v>
      </c>
      <c r="G111" t="s">
        <v>494</v>
      </c>
      <c r="H111" t="s">
        <v>857</v>
      </c>
      <c r="I111" t="s">
        <v>1194</v>
      </c>
      <c r="J111" t="s">
        <v>1537</v>
      </c>
      <c r="K111" t="s">
        <v>1641</v>
      </c>
      <c r="L111">
        <v>10460</v>
      </c>
      <c r="M111" t="s">
        <v>1670</v>
      </c>
      <c r="Q111" t="s">
        <v>1942</v>
      </c>
      <c r="R111" t="s">
        <v>1959</v>
      </c>
      <c r="S111" t="s">
        <v>1968</v>
      </c>
      <c r="T111" t="s">
        <v>1671</v>
      </c>
      <c r="V111" t="s">
        <v>1972</v>
      </c>
      <c r="W111" t="s">
        <v>1984</v>
      </c>
      <c r="X111" t="s">
        <v>246</v>
      </c>
      <c r="Y111">
        <v>1231</v>
      </c>
      <c r="Z111" t="s">
        <v>2006</v>
      </c>
      <c r="AA111" t="s">
        <v>2019</v>
      </c>
      <c r="AB111" t="s">
        <v>2030</v>
      </c>
      <c r="AC111" t="s">
        <v>2138</v>
      </c>
      <c r="AD111" t="s">
        <v>2565</v>
      </c>
      <c r="AE111">
        <v>100</v>
      </c>
      <c r="AF111" t="s">
        <v>2907</v>
      </c>
      <c r="AG111" t="s">
        <v>2915</v>
      </c>
      <c r="AH111">
        <v>15</v>
      </c>
      <c r="AJ111">
        <v>1</v>
      </c>
      <c r="AK111">
        <v>4</v>
      </c>
      <c r="AL111">
        <v>135.96</v>
      </c>
      <c r="AO111" t="s">
        <v>2926</v>
      </c>
      <c r="AP111">
        <v>40000</v>
      </c>
      <c r="AV111">
        <v>3</v>
      </c>
      <c r="AW111" t="s">
        <v>304</v>
      </c>
      <c r="AX111" t="s">
        <v>3058</v>
      </c>
    </row>
    <row r="112" spans="1:50">
      <c r="A112" s="1">
        <f>HYPERLINK("https://lsnyc.legalserver.org/matter/dynamic-profile/view/1899145","19-1899145")</f>
        <v>0</v>
      </c>
      <c r="B112" t="s">
        <v>50</v>
      </c>
      <c r="C112" t="s">
        <v>58</v>
      </c>
      <c r="D112" t="s">
        <v>163</v>
      </c>
      <c r="E112" t="s">
        <v>171</v>
      </c>
      <c r="G112" t="s">
        <v>495</v>
      </c>
      <c r="H112" t="s">
        <v>858</v>
      </c>
      <c r="I112" t="s">
        <v>1113</v>
      </c>
      <c r="J112" t="s">
        <v>1538</v>
      </c>
      <c r="K112" t="s">
        <v>1641</v>
      </c>
      <c r="L112">
        <v>10452</v>
      </c>
      <c r="M112" t="s">
        <v>1670</v>
      </c>
      <c r="Q112" t="s">
        <v>1938</v>
      </c>
      <c r="R112" t="s">
        <v>1962</v>
      </c>
      <c r="T112" t="s">
        <v>1670</v>
      </c>
      <c r="V112" t="s">
        <v>1972</v>
      </c>
      <c r="X112" t="s">
        <v>293</v>
      </c>
      <c r="Y112">
        <v>1087.54</v>
      </c>
      <c r="Z112" t="s">
        <v>2006</v>
      </c>
      <c r="AA112" t="s">
        <v>2015</v>
      </c>
      <c r="AC112" t="s">
        <v>2139</v>
      </c>
      <c r="AD112" t="s">
        <v>2566</v>
      </c>
      <c r="AE112">
        <v>41</v>
      </c>
      <c r="AF112" t="s">
        <v>2902</v>
      </c>
      <c r="AG112" t="s">
        <v>1754</v>
      </c>
      <c r="AH112">
        <v>15</v>
      </c>
      <c r="AJ112">
        <v>1</v>
      </c>
      <c r="AK112">
        <v>2</v>
      </c>
      <c r="AL112">
        <v>140.65</v>
      </c>
      <c r="AO112" t="s">
        <v>2926</v>
      </c>
      <c r="AP112">
        <v>30000</v>
      </c>
      <c r="AV112">
        <v>0</v>
      </c>
      <c r="AX112" t="s">
        <v>3046</v>
      </c>
    </row>
    <row r="113" spans="1:50">
      <c r="A113" s="1">
        <f>HYPERLINK("https://lsnyc.legalserver.org/matter/dynamic-profile/view/1883429","18-1883429")</f>
        <v>0</v>
      </c>
      <c r="B113" t="s">
        <v>50</v>
      </c>
      <c r="C113" t="s">
        <v>58</v>
      </c>
      <c r="D113" t="s">
        <v>163</v>
      </c>
      <c r="E113" t="s">
        <v>172</v>
      </c>
      <c r="G113" t="s">
        <v>495</v>
      </c>
      <c r="H113" t="s">
        <v>858</v>
      </c>
      <c r="I113" t="s">
        <v>1113</v>
      </c>
      <c r="J113" t="s">
        <v>1538</v>
      </c>
      <c r="K113" t="s">
        <v>1641</v>
      </c>
      <c r="L113">
        <v>10452</v>
      </c>
      <c r="M113" t="s">
        <v>1670</v>
      </c>
      <c r="P113" t="s">
        <v>1678</v>
      </c>
      <c r="Q113" t="s">
        <v>1939</v>
      </c>
      <c r="R113" t="s">
        <v>1960</v>
      </c>
      <c r="T113" t="s">
        <v>1670</v>
      </c>
      <c r="V113" t="s">
        <v>1972</v>
      </c>
      <c r="X113" t="s">
        <v>359</v>
      </c>
      <c r="Y113">
        <v>1087.54</v>
      </c>
      <c r="Z113" t="s">
        <v>2006</v>
      </c>
      <c r="AA113" t="s">
        <v>2016</v>
      </c>
      <c r="AC113" t="s">
        <v>2139</v>
      </c>
      <c r="AD113" t="s">
        <v>2566</v>
      </c>
      <c r="AE113">
        <v>41</v>
      </c>
      <c r="AF113" t="s">
        <v>2902</v>
      </c>
      <c r="AG113" t="s">
        <v>1754</v>
      </c>
      <c r="AH113">
        <v>15</v>
      </c>
      <c r="AJ113">
        <v>1</v>
      </c>
      <c r="AK113">
        <v>2</v>
      </c>
      <c r="AL113">
        <v>144.37</v>
      </c>
      <c r="AO113" t="s">
        <v>2926</v>
      </c>
      <c r="AP113">
        <v>30000</v>
      </c>
      <c r="AV113">
        <v>1</v>
      </c>
      <c r="AW113" t="s">
        <v>256</v>
      </c>
      <c r="AX113" t="s">
        <v>3046</v>
      </c>
    </row>
    <row r="114" spans="1:50">
      <c r="A114" s="1">
        <f>HYPERLINK("https://lsnyc.legalserver.org/matter/dynamic-profile/view/1880921","18-1880921")</f>
        <v>0</v>
      </c>
      <c r="B114" t="s">
        <v>50</v>
      </c>
      <c r="C114" t="s">
        <v>98</v>
      </c>
      <c r="D114" t="s">
        <v>164</v>
      </c>
      <c r="E114" t="s">
        <v>247</v>
      </c>
      <c r="F114" t="s">
        <v>174</v>
      </c>
      <c r="G114" t="s">
        <v>496</v>
      </c>
      <c r="H114" t="s">
        <v>859</v>
      </c>
      <c r="I114" t="s">
        <v>1195</v>
      </c>
      <c r="J114" t="s">
        <v>1539</v>
      </c>
      <c r="K114" t="s">
        <v>1641</v>
      </c>
      <c r="L114">
        <v>10460</v>
      </c>
      <c r="M114" t="s">
        <v>1670</v>
      </c>
      <c r="Q114" t="s">
        <v>1675</v>
      </c>
      <c r="R114" t="s">
        <v>1962</v>
      </c>
      <c r="S114" t="s">
        <v>1968</v>
      </c>
      <c r="T114" t="s">
        <v>1671</v>
      </c>
      <c r="V114" t="s">
        <v>1975</v>
      </c>
      <c r="X114" t="s">
        <v>1990</v>
      </c>
      <c r="Y114">
        <v>0</v>
      </c>
      <c r="Z114" t="s">
        <v>2006</v>
      </c>
      <c r="AB114" t="s">
        <v>2035</v>
      </c>
      <c r="AC114" t="s">
        <v>2140</v>
      </c>
      <c r="AD114" t="s">
        <v>2567</v>
      </c>
      <c r="AE114">
        <v>0</v>
      </c>
      <c r="AF114" t="s">
        <v>2902</v>
      </c>
      <c r="AG114" t="s">
        <v>2917</v>
      </c>
      <c r="AH114">
        <v>0</v>
      </c>
      <c r="AJ114">
        <v>2</v>
      </c>
      <c r="AK114">
        <v>1</v>
      </c>
      <c r="AL114">
        <v>34.65</v>
      </c>
      <c r="AO114" t="s">
        <v>2927</v>
      </c>
      <c r="AP114">
        <v>7200</v>
      </c>
      <c r="AV114">
        <v>6.6</v>
      </c>
      <c r="AW114" t="s">
        <v>174</v>
      </c>
      <c r="AX114" t="s">
        <v>128</v>
      </c>
    </row>
    <row r="115" spans="1:50">
      <c r="A115" s="1">
        <f>HYPERLINK("https://lsnyc.legalserver.org/matter/dynamic-profile/view/1890391","19-1890391")</f>
        <v>0</v>
      </c>
      <c r="B115" t="s">
        <v>50</v>
      </c>
      <c r="C115" t="s">
        <v>110</v>
      </c>
      <c r="D115" t="s">
        <v>163</v>
      </c>
      <c r="E115" t="s">
        <v>248</v>
      </c>
      <c r="G115" t="s">
        <v>497</v>
      </c>
      <c r="H115" t="s">
        <v>860</v>
      </c>
      <c r="I115" t="s">
        <v>1196</v>
      </c>
      <c r="J115">
        <v>2</v>
      </c>
      <c r="K115" t="s">
        <v>1644</v>
      </c>
      <c r="L115">
        <v>11208</v>
      </c>
      <c r="M115" t="s">
        <v>1670</v>
      </c>
      <c r="P115" t="s">
        <v>1737</v>
      </c>
      <c r="Q115" t="s">
        <v>1936</v>
      </c>
      <c r="R115" t="s">
        <v>1960</v>
      </c>
      <c r="T115" t="s">
        <v>1671</v>
      </c>
      <c r="V115" t="s">
        <v>1972</v>
      </c>
      <c r="W115" t="s">
        <v>1984</v>
      </c>
      <c r="X115" t="s">
        <v>320</v>
      </c>
      <c r="Y115">
        <v>2500</v>
      </c>
      <c r="Z115" t="s">
        <v>2009</v>
      </c>
      <c r="AA115" t="s">
        <v>2011</v>
      </c>
      <c r="AC115" t="s">
        <v>2141</v>
      </c>
      <c r="AD115" t="s">
        <v>2568</v>
      </c>
      <c r="AE115">
        <v>2</v>
      </c>
      <c r="AF115" t="s">
        <v>2903</v>
      </c>
      <c r="AG115" t="s">
        <v>2916</v>
      </c>
      <c r="AH115">
        <v>4</v>
      </c>
      <c r="AJ115">
        <v>3</v>
      </c>
      <c r="AK115">
        <v>2</v>
      </c>
      <c r="AL115">
        <v>0</v>
      </c>
      <c r="AO115" t="s">
        <v>2926</v>
      </c>
      <c r="AP115">
        <v>0</v>
      </c>
      <c r="AV115">
        <v>34.4</v>
      </c>
      <c r="AW115" t="s">
        <v>397</v>
      </c>
      <c r="AX115" t="s">
        <v>3074</v>
      </c>
    </row>
    <row r="116" spans="1:50">
      <c r="A116" s="1">
        <f>HYPERLINK("https://lsnyc.legalserver.org/matter/dynamic-profile/view/1901604","19-1901604")</f>
        <v>0</v>
      </c>
      <c r="B116" t="s">
        <v>50</v>
      </c>
      <c r="C116" t="s">
        <v>111</v>
      </c>
      <c r="D116" t="s">
        <v>164</v>
      </c>
      <c r="E116" t="s">
        <v>249</v>
      </c>
      <c r="F116" t="s">
        <v>389</v>
      </c>
      <c r="G116" t="s">
        <v>498</v>
      </c>
      <c r="H116" t="s">
        <v>780</v>
      </c>
      <c r="I116" t="s">
        <v>1197</v>
      </c>
      <c r="J116" t="s">
        <v>1540</v>
      </c>
      <c r="K116" t="s">
        <v>1641</v>
      </c>
      <c r="L116">
        <v>10460</v>
      </c>
      <c r="M116" t="s">
        <v>1670</v>
      </c>
      <c r="P116" t="s">
        <v>1691</v>
      </c>
      <c r="R116" t="s">
        <v>1958</v>
      </c>
      <c r="S116" t="s">
        <v>1965</v>
      </c>
      <c r="T116" t="s">
        <v>1671</v>
      </c>
      <c r="V116" t="s">
        <v>1972</v>
      </c>
      <c r="X116" t="s">
        <v>1991</v>
      </c>
      <c r="Y116">
        <v>1060</v>
      </c>
      <c r="Z116" t="s">
        <v>2006</v>
      </c>
      <c r="AA116" t="s">
        <v>2015</v>
      </c>
      <c r="AB116" t="s">
        <v>2029</v>
      </c>
      <c r="AC116" t="s">
        <v>2142</v>
      </c>
      <c r="AD116" t="s">
        <v>2569</v>
      </c>
      <c r="AE116">
        <v>102</v>
      </c>
      <c r="AF116" t="s">
        <v>2902</v>
      </c>
      <c r="AG116" t="s">
        <v>2915</v>
      </c>
      <c r="AH116">
        <v>30</v>
      </c>
      <c r="AJ116">
        <v>3</v>
      </c>
      <c r="AK116">
        <v>1</v>
      </c>
      <c r="AL116">
        <v>153.93</v>
      </c>
      <c r="AO116" t="s">
        <v>2926</v>
      </c>
      <c r="AP116">
        <v>39636</v>
      </c>
      <c r="AV116">
        <v>0.5</v>
      </c>
      <c r="AW116" t="s">
        <v>389</v>
      </c>
      <c r="AX116" t="s">
        <v>3047</v>
      </c>
    </row>
    <row r="117" spans="1:50">
      <c r="A117" s="1">
        <f>HYPERLINK("https://lsnyc.legalserver.org/matter/dynamic-profile/view/1875759","18-1875759")</f>
        <v>0</v>
      </c>
      <c r="B117" t="s">
        <v>50</v>
      </c>
      <c r="C117" t="s">
        <v>112</v>
      </c>
      <c r="D117" t="s">
        <v>164</v>
      </c>
      <c r="E117" t="s">
        <v>250</v>
      </c>
      <c r="F117" t="s">
        <v>205</v>
      </c>
      <c r="G117" t="s">
        <v>499</v>
      </c>
      <c r="H117" t="s">
        <v>861</v>
      </c>
      <c r="I117" t="s">
        <v>1198</v>
      </c>
      <c r="J117" t="s">
        <v>1534</v>
      </c>
      <c r="K117" t="s">
        <v>1646</v>
      </c>
      <c r="L117">
        <v>10301</v>
      </c>
      <c r="M117" t="s">
        <v>1670</v>
      </c>
      <c r="P117" t="s">
        <v>1691</v>
      </c>
      <c r="Q117" t="s">
        <v>1938</v>
      </c>
      <c r="R117" t="s">
        <v>1961</v>
      </c>
      <c r="S117" t="s">
        <v>1970</v>
      </c>
      <c r="T117" t="s">
        <v>1671</v>
      </c>
      <c r="V117" t="s">
        <v>1972</v>
      </c>
      <c r="W117" t="s">
        <v>1984</v>
      </c>
      <c r="X117" t="s">
        <v>250</v>
      </c>
      <c r="Y117">
        <v>2259.62</v>
      </c>
      <c r="Z117" t="s">
        <v>2010</v>
      </c>
      <c r="AA117" t="s">
        <v>2020</v>
      </c>
      <c r="AB117" t="s">
        <v>2034</v>
      </c>
      <c r="AC117" t="s">
        <v>2143</v>
      </c>
      <c r="AD117" t="s">
        <v>2570</v>
      </c>
      <c r="AE117">
        <v>122</v>
      </c>
      <c r="AF117" t="s">
        <v>2902</v>
      </c>
      <c r="AG117" t="s">
        <v>2919</v>
      </c>
      <c r="AH117">
        <v>17</v>
      </c>
      <c r="AJ117">
        <v>1</v>
      </c>
      <c r="AK117">
        <v>1</v>
      </c>
      <c r="AL117">
        <v>66.93000000000001</v>
      </c>
      <c r="AO117" t="s">
        <v>2926</v>
      </c>
      <c r="AP117">
        <v>11016</v>
      </c>
      <c r="AS117" t="s">
        <v>2985</v>
      </c>
      <c r="AV117">
        <v>5.3</v>
      </c>
      <c r="AW117" t="s">
        <v>205</v>
      </c>
      <c r="AX117" t="s">
        <v>112</v>
      </c>
    </row>
    <row r="118" spans="1:50">
      <c r="A118" s="1">
        <f>HYPERLINK("https://lsnyc.legalserver.org/matter/dynamic-profile/view/1874345","18-1874345")</f>
        <v>0</v>
      </c>
      <c r="B118" t="s">
        <v>50</v>
      </c>
      <c r="C118" t="s">
        <v>113</v>
      </c>
      <c r="D118" t="s">
        <v>164</v>
      </c>
      <c r="E118" t="s">
        <v>251</v>
      </c>
      <c r="F118" t="s">
        <v>172</v>
      </c>
      <c r="G118" t="s">
        <v>500</v>
      </c>
      <c r="H118" t="s">
        <v>862</v>
      </c>
      <c r="I118" t="s">
        <v>1199</v>
      </c>
      <c r="J118">
        <v>511</v>
      </c>
      <c r="K118" t="s">
        <v>1643</v>
      </c>
      <c r="L118">
        <v>10029</v>
      </c>
      <c r="M118" t="s">
        <v>1670</v>
      </c>
      <c r="P118" t="s">
        <v>1738</v>
      </c>
      <c r="Q118" t="s">
        <v>1936</v>
      </c>
      <c r="R118" t="s">
        <v>1962</v>
      </c>
      <c r="S118" t="s">
        <v>1968</v>
      </c>
      <c r="T118" t="s">
        <v>1671</v>
      </c>
      <c r="V118" t="s">
        <v>1972</v>
      </c>
      <c r="X118" t="s">
        <v>251</v>
      </c>
      <c r="Y118">
        <v>0</v>
      </c>
      <c r="Z118" t="s">
        <v>2008</v>
      </c>
      <c r="AA118" t="s">
        <v>2013</v>
      </c>
      <c r="AB118" t="s">
        <v>2029</v>
      </c>
      <c r="AC118" t="s">
        <v>2144</v>
      </c>
      <c r="AD118" t="s">
        <v>2571</v>
      </c>
      <c r="AE118">
        <v>108</v>
      </c>
      <c r="AF118" t="s">
        <v>2909</v>
      </c>
      <c r="AG118" t="s">
        <v>2915</v>
      </c>
      <c r="AH118">
        <v>33</v>
      </c>
      <c r="AJ118">
        <v>2</v>
      </c>
      <c r="AK118">
        <v>1</v>
      </c>
      <c r="AL118">
        <v>81.81</v>
      </c>
      <c r="AO118" t="s">
        <v>2926</v>
      </c>
      <c r="AP118">
        <v>17000</v>
      </c>
      <c r="AV118">
        <v>3.2</v>
      </c>
      <c r="AW118" t="s">
        <v>356</v>
      </c>
      <c r="AX118" t="s">
        <v>3051</v>
      </c>
    </row>
    <row r="119" spans="1:50">
      <c r="A119" s="1">
        <f>HYPERLINK("https://lsnyc.legalserver.org/matter/dynamic-profile/view/1874606","18-1874606")</f>
        <v>0</v>
      </c>
      <c r="B119" t="s">
        <v>50</v>
      </c>
      <c r="C119" t="s">
        <v>108</v>
      </c>
      <c r="D119" t="s">
        <v>163</v>
      </c>
      <c r="E119" t="s">
        <v>228</v>
      </c>
      <c r="G119" t="s">
        <v>501</v>
      </c>
      <c r="H119" t="s">
        <v>863</v>
      </c>
      <c r="I119" t="s">
        <v>1200</v>
      </c>
      <c r="J119">
        <v>1001</v>
      </c>
      <c r="K119" t="s">
        <v>1649</v>
      </c>
      <c r="L119">
        <v>11692</v>
      </c>
      <c r="M119" t="s">
        <v>1670</v>
      </c>
      <c r="P119" t="s">
        <v>1739</v>
      </c>
      <c r="Q119" t="s">
        <v>1936</v>
      </c>
      <c r="R119" t="s">
        <v>1960</v>
      </c>
      <c r="T119" t="s">
        <v>1671</v>
      </c>
      <c r="V119" t="s">
        <v>1972</v>
      </c>
      <c r="W119" t="s">
        <v>1985</v>
      </c>
      <c r="X119" t="s">
        <v>228</v>
      </c>
      <c r="Y119">
        <v>1820</v>
      </c>
      <c r="Z119" t="s">
        <v>2007</v>
      </c>
      <c r="AA119" t="s">
        <v>2014</v>
      </c>
      <c r="AC119" t="s">
        <v>2145</v>
      </c>
      <c r="AD119" t="s">
        <v>2572</v>
      </c>
      <c r="AE119">
        <v>103</v>
      </c>
      <c r="AF119" t="s">
        <v>2909</v>
      </c>
      <c r="AG119" t="s">
        <v>2915</v>
      </c>
      <c r="AH119">
        <v>14</v>
      </c>
      <c r="AJ119">
        <v>1</v>
      </c>
      <c r="AK119">
        <v>2</v>
      </c>
      <c r="AL119">
        <v>82.58</v>
      </c>
      <c r="AO119" t="s">
        <v>2926</v>
      </c>
      <c r="AP119">
        <v>17160</v>
      </c>
      <c r="AR119" t="s">
        <v>2978</v>
      </c>
      <c r="AS119" t="s">
        <v>2017</v>
      </c>
      <c r="AT119" t="s">
        <v>2992</v>
      </c>
      <c r="AU119" t="s">
        <v>3002</v>
      </c>
      <c r="AV119">
        <v>29.8</v>
      </c>
      <c r="AW119" t="s">
        <v>220</v>
      </c>
      <c r="AX119" t="s">
        <v>85</v>
      </c>
    </row>
    <row r="120" spans="1:50">
      <c r="A120" s="1">
        <f>HYPERLINK("https://lsnyc.legalserver.org/matter/dynamic-profile/view/1885148","18-1885148")</f>
        <v>0</v>
      </c>
      <c r="B120" t="s">
        <v>50</v>
      </c>
      <c r="C120" t="s">
        <v>91</v>
      </c>
      <c r="D120" t="s">
        <v>164</v>
      </c>
      <c r="E120" t="s">
        <v>176</v>
      </c>
      <c r="F120" t="s">
        <v>208</v>
      </c>
      <c r="G120" t="s">
        <v>502</v>
      </c>
      <c r="H120" t="s">
        <v>864</v>
      </c>
      <c r="I120" t="s">
        <v>1201</v>
      </c>
      <c r="J120">
        <v>1</v>
      </c>
      <c r="K120" t="s">
        <v>1643</v>
      </c>
      <c r="L120">
        <v>10033</v>
      </c>
      <c r="M120" t="s">
        <v>1670</v>
      </c>
      <c r="Q120" t="s">
        <v>1675</v>
      </c>
      <c r="R120" t="s">
        <v>1958</v>
      </c>
      <c r="S120" t="s">
        <v>1965</v>
      </c>
      <c r="T120" t="s">
        <v>1671</v>
      </c>
      <c r="V120" t="s">
        <v>1972</v>
      </c>
      <c r="X120" t="s">
        <v>176</v>
      </c>
      <c r="Y120">
        <v>600</v>
      </c>
      <c r="Z120" t="s">
        <v>2008</v>
      </c>
      <c r="AA120" t="s">
        <v>2013</v>
      </c>
      <c r="AB120" t="s">
        <v>2029</v>
      </c>
      <c r="AC120" t="s">
        <v>2146</v>
      </c>
      <c r="AD120" t="s">
        <v>2573</v>
      </c>
      <c r="AE120">
        <v>0</v>
      </c>
      <c r="AF120" t="s">
        <v>2902</v>
      </c>
      <c r="AG120" t="s">
        <v>1754</v>
      </c>
      <c r="AH120">
        <v>10</v>
      </c>
      <c r="AJ120">
        <v>2</v>
      </c>
      <c r="AK120">
        <v>2</v>
      </c>
      <c r="AL120">
        <v>81.20999999999999</v>
      </c>
      <c r="AO120" t="s">
        <v>2926</v>
      </c>
      <c r="AP120">
        <v>20384</v>
      </c>
      <c r="AV120">
        <v>0.7</v>
      </c>
      <c r="AW120" t="s">
        <v>243</v>
      </c>
      <c r="AX120" t="s">
        <v>3042</v>
      </c>
    </row>
    <row r="121" spans="1:50">
      <c r="A121" s="1">
        <f>HYPERLINK("https://lsnyc.legalserver.org/matter/dynamic-profile/view/1882177","18-1882177")</f>
        <v>0</v>
      </c>
      <c r="B121" t="s">
        <v>50</v>
      </c>
      <c r="C121" t="s">
        <v>65</v>
      </c>
      <c r="D121" t="s">
        <v>163</v>
      </c>
      <c r="E121" t="s">
        <v>252</v>
      </c>
      <c r="G121" t="s">
        <v>503</v>
      </c>
      <c r="H121" t="s">
        <v>865</v>
      </c>
      <c r="I121" t="s">
        <v>1202</v>
      </c>
      <c r="J121">
        <v>2</v>
      </c>
      <c r="K121" t="s">
        <v>1644</v>
      </c>
      <c r="L121">
        <v>11206</v>
      </c>
      <c r="M121" t="s">
        <v>1670</v>
      </c>
      <c r="Q121" t="s">
        <v>1939</v>
      </c>
      <c r="R121" t="s">
        <v>1960</v>
      </c>
      <c r="V121" t="s">
        <v>1972</v>
      </c>
      <c r="X121" t="s">
        <v>252</v>
      </c>
      <c r="Y121">
        <v>0</v>
      </c>
      <c r="Z121" t="s">
        <v>2009</v>
      </c>
      <c r="AC121" t="s">
        <v>2147</v>
      </c>
      <c r="AD121" t="s">
        <v>2574</v>
      </c>
      <c r="AE121">
        <v>0</v>
      </c>
      <c r="AH121">
        <v>0</v>
      </c>
      <c r="AJ121">
        <v>2</v>
      </c>
      <c r="AK121">
        <v>1</v>
      </c>
      <c r="AL121">
        <v>75.06999999999999</v>
      </c>
      <c r="AO121" t="s">
        <v>2927</v>
      </c>
      <c r="AP121">
        <v>15600</v>
      </c>
      <c r="AV121">
        <v>101.6</v>
      </c>
      <c r="AW121" t="s">
        <v>1994</v>
      </c>
      <c r="AX121" t="s">
        <v>69</v>
      </c>
    </row>
    <row r="122" spans="1:50">
      <c r="A122" s="1">
        <f>HYPERLINK("https://lsnyc.legalserver.org/matter/dynamic-profile/view/1892617","19-1892617")</f>
        <v>0</v>
      </c>
      <c r="B122" t="s">
        <v>50</v>
      </c>
      <c r="C122" t="s">
        <v>65</v>
      </c>
      <c r="D122" t="s">
        <v>163</v>
      </c>
      <c r="E122" t="s">
        <v>253</v>
      </c>
      <c r="G122" t="s">
        <v>503</v>
      </c>
      <c r="H122" t="s">
        <v>865</v>
      </c>
      <c r="I122" t="s">
        <v>1202</v>
      </c>
      <c r="J122">
        <v>2</v>
      </c>
      <c r="K122" t="s">
        <v>1644</v>
      </c>
      <c r="L122">
        <v>11206</v>
      </c>
      <c r="M122" t="s">
        <v>1670</v>
      </c>
      <c r="Q122" t="s">
        <v>1939</v>
      </c>
      <c r="R122" t="s">
        <v>1960</v>
      </c>
      <c r="T122" t="s">
        <v>1671</v>
      </c>
      <c r="V122" t="s">
        <v>1972</v>
      </c>
      <c r="X122" t="s">
        <v>266</v>
      </c>
      <c r="Y122">
        <v>0</v>
      </c>
      <c r="Z122" t="s">
        <v>2009</v>
      </c>
      <c r="AC122" t="s">
        <v>2147</v>
      </c>
      <c r="AD122" t="s">
        <v>2574</v>
      </c>
      <c r="AE122">
        <v>0</v>
      </c>
      <c r="AH122">
        <v>0</v>
      </c>
      <c r="AJ122">
        <v>2</v>
      </c>
      <c r="AK122">
        <v>1</v>
      </c>
      <c r="AL122">
        <v>84.39</v>
      </c>
      <c r="AO122" t="s">
        <v>2927</v>
      </c>
      <c r="AP122">
        <v>18000</v>
      </c>
      <c r="AV122">
        <v>7.8</v>
      </c>
      <c r="AW122" t="s">
        <v>269</v>
      </c>
      <c r="AX122" t="s">
        <v>158</v>
      </c>
    </row>
    <row r="123" spans="1:50">
      <c r="A123" s="1">
        <f>HYPERLINK("https://lsnyc.legalserver.org/matter/dynamic-profile/view/1893253","19-1893253")</f>
        <v>0</v>
      </c>
      <c r="B123" t="s">
        <v>50</v>
      </c>
      <c r="C123" t="s">
        <v>90</v>
      </c>
      <c r="D123" t="s">
        <v>164</v>
      </c>
      <c r="E123" t="s">
        <v>254</v>
      </c>
      <c r="F123" t="s">
        <v>230</v>
      </c>
      <c r="G123" t="s">
        <v>504</v>
      </c>
      <c r="H123" t="s">
        <v>866</v>
      </c>
      <c r="I123" t="s">
        <v>1183</v>
      </c>
      <c r="J123" t="s">
        <v>1541</v>
      </c>
      <c r="K123" t="s">
        <v>1646</v>
      </c>
      <c r="L123">
        <v>10301</v>
      </c>
      <c r="M123" t="s">
        <v>1670</v>
      </c>
      <c r="P123" t="s">
        <v>1740</v>
      </c>
      <c r="Q123" t="s">
        <v>1940</v>
      </c>
      <c r="R123" t="s">
        <v>1960</v>
      </c>
      <c r="S123" t="s">
        <v>1969</v>
      </c>
      <c r="T123" t="s">
        <v>1671</v>
      </c>
      <c r="U123" t="s">
        <v>50</v>
      </c>
      <c r="V123" t="s">
        <v>1972</v>
      </c>
      <c r="W123" t="s">
        <v>1984</v>
      </c>
      <c r="X123" t="s">
        <v>254</v>
      </c>
      <c r="Y123">
        <v>1100</v>
      </c>
      <c r="Z123" t="s">
        <v>2010</v>
      </c>
      <c r="AA123" t="s">
        <v>2019</v>
      </c>
      <c r="AB123" t="s">
        <v>2036</v>
      </c>
      <c r="AC123" t="s">
        <v>2148</v>
      </c>
      <c r="AD123" t="s">
        <v>2575</v>
      </c>
      <c r="AE123">
        <v>0</v>
      </c>
      <c r="AH123">
        <v>1</v>
      </c>
      <c r="AJ123">
        <v>1</v>
      </c>
      <c r="AK123">
        <v>1</v>
      </c>
      <c r="AL123">
        <v>153.76</v>
      </c>
      <c r="AO123" t="s">
        <v>2926</v>
      </c>
      <c r="AP123">
        <v>26000</v>
      </c>
      <c r="AV123">
        <v>3.5</v>
      </c>
      <c r="AW123" t="s">
        <v>3035</v>
      </c>
      <c r="AX123" t="s">
        <v>112</v>
      </c>
    </row>
    <row r="124" spans="1:50">
      <c r="A124" s="1">
        <f>HYPERLINK("https://lsnyc.legalserver.org/matter/dynamic-profile/view/1900020","19-1900020")</f>
        <v>0</v>
      </c>
      <c r="B124" t="s">
        <v>50</v>
      </c>
      <c r="C124" t="s">
        <v>114</v>
      </c>
      <c r="D124" t="s">
        <v>164</v>
      </c>
      <c r="E124" t="s">
        <v>230</v>
      </c>
      <c r="F124" t="s">
        <v>289</v>
      </c>
      <c r="G124" t="s">
        <v>505</v>
      </c>
      <c r="H124" t="s">
        <v>867</v>
      </c>
      <c r="I124" t="s">
        <v>1203</v>
      </c>
      <c r="J124" t="s">
        <v>1542</v>
      </c>
      <c r="K124" t="s">
        <v>1641</v>
      </c>
      <c r="L124">
        <v>10470</v>
      </c>
      <c r="M124" t="s">
        <v>1670</v>
      </c>
      <c r="P124" t="s">
        <v>1741</v>
      </c>
      <c r="Q124" t="s">
        <v>1940</v>
      </c>
      <c r="R124" t="s">
        <v>1958</v>
      </c>
      <c r="S124" t="s">
        <v>1965</v>
      </c>
      <c r="T124" t="s">
        <v>1671</v>
      </c>
      <c r="V124" t="s">
        <v>1972</v>
      </c>
      <c r="W124" t="s">
        <v>1984</v>
      </c>
      <c r="X124" t="s">
        <v>1994</v>
      </c>
      <c r="Y124">
        <v>1622.55</v>
      </c>
      <c r="Z124" t="s">
        <v>2006</v>
      </c>
      <c r="AA124" t="s">
        <v>2013</v>
      </c>
      <c r="AB124" t="s">
        <v>2029</v>
      </c>
      <c r="AC124" t="s">
        <v>2149</v>
      </c>
      <c r="AD124" t="s">
        <v>2576</v>
      </c>
      <c r="AE124">
        <v>2</v>
      </c>
      <c r="AF124" t="s">
        <v>2903</v>
      </c>
      <c r="AG124" t="s">
        <v>2915</v>
      </c>
      <c r="AH124">
        <v>12</v>
      </c>
      <c r="AJ124">
        <v>1</v>
      </c>
      <c r="AK124">
        <v>2</v>
      </c>
      <c r="AL124">
        <v>23.28</v>
      </c>
      <c r="AO124" t="s">
        <v>2926</v>
      </c>
      <c r="AP124">
        <v>4966</v>
      </c>
      <c r="AV124">
        <v>0.8</v>
      </c>
      <c r="AW124" t="s">
        <v>230</v>
      </c>
      <c r="AX124" t="s">
        <v>114</v>
      </c>
    </row>
    <row r="125" spans="1:50">
      <c r="A125" s="1">
        <f>HYPERLINK("https://lsnyc.legalserver.org/matter/dynamic-profile/view/1893916","19-1893916")</f>
        <v>0</v>
      </c>
      <c r="B125" t="s">
        <v>50</v>
      </c>
      <c r="C125" t="s">
        <v>71</v>
      </c>
      <c r="D125" t="s">
        <v>163</v>
      </c>
      <c r="E125" t="s">
        <v>255</v>
      </c>
      <c r="G125" t="s">
        <v>506</v>
      </c>
      <c r="H125" t="s">
        <v>868</v>
      </c>
      <c r="I125" t="s">
        <v>1175</v>
      </c>
      <c r="J125" t="s">
        <v>1534</v>
      </c>
      <c r="K125" t="s">
        <v>1646</v>
      </c>
      <c r="L125">
        <v>10304</v>
      </c>
      <c r="M125" t="s">
        <v>1670</v>
      </c>
      <c r="P125" t="s">
        <v>1742</v>
      </c>
      <c r="Q125" t="s">
        <v>1936</v>
      </c>
      <c r="R125" t="s">
        <v>1960</v>
      </c>
      <c r="T125" t="s">
        <v>1671</v>
      </c>
      <c r="V125" t="s">
        <v>1973</v>
      </c>
      <c r="W125" t="s">
        <v>1984</v>
      </c>
      <c r="X125" t="s">
        <v>255</v>
      </c>
      <c r="Y125">
        <v>362</v>
      </c>
      <c r="Z125" t="s">
        <v>2010</v>
      </c>
      <c r="AA125" t="s">
        <v>2019</v>
      </c>
      <c r="AC125" t="s">
        <v>2150</v>
      </c>
      <c r="AD125" t="s">
        <v>2577</v>
      </c>
      <c r="AE125">
        <v>150</v>
      </c>
      <c r="AF125" t="s">
        <v>2909</v>
      </c>
      <c r="AG125" t="s">
        <v>2915</v>
      </c>
      <c r="AH125">
        <v>20</v>
      </c>
      <c r="AJ125">
        <v>1</v>
      </c>
      <c r="AK125">
        <v>2</v>
      </c>
      <c r="AL125">
        <v>73.14</v>
      </c>
      <c r="AO125" t="s">
        <v>2926</v>
      </c>
      <c r="AP125">
        <v>15600</v>
      </c>
      <c r="AV125">
        <v>12.25</v>
      </c>
      <c r="AW125" t="s">
        <v>405</v>
      </c>
      <c r="AX125" t="s">
        <v>112</v>
      </c>
    </row>
    <row r="126" spans="1:50">
      <c r="A126" s="1">
        <f>HYPERLINK("https://lsnyc.legalserver.org/matter/dynamic-profile/view/1877829","18-1877829")</f>
        <v>0</v>
      </c>
      <c r="B126" t="s">
        <v>50</v>
      </c>
      <c r="C126" t="s">
        <v>79</v>
      </c>
      <c r="D126" t="s">
        <v>164</v>
      </c>
      <c r="E126" t="s">
        <v>209</v>
      </c>
      <c r="F126" t="s">
        <v>330</v>
      </c>
      <c r="G126" t="s">
        <v>507</v>
      </c>
      <c r="H126" t="s">
        <v>869</v>
      </c>
      <c r="I126" t="s">
        <v>1140</v>
      </c>
      <c r="J126" t="s">
        <v>1543</v>
      </c>
      <c r="K126" t="s">
        <v>1644</v>
      </c>
      <c r="L126">
        <v>11233</v>
      </c>
      <c r="M126" t="s">
        <v>1670</v>
      </c>
      <c r="P126" t="s">
        <v>1743</v>
      </c>
      <c r="Q126" t="s">
        <v>1940</v>
      </c>
      <c r="R126" t="s">
        <v>1960</v>
      </c>
      <c r="S126" t="s">
        <v>1969</v>
      </c>
      <c r="T126" t="s">
        <v>1670</v>
      </c>
      <c r="V126" t="s">
        <v>1972</v>
      </c>
      <c r="W126" t="s">
        <v>1984</v>
      </c>
      <c r="X126" t="s">
        <v>209</v>
      </c>
      <c r="Y126">
        <v>1300</v>
      </c>
      <c r="Z126" t="s">
        <v>2009</v>
      </c>
      <c r="AA126" t="s">
        <v>2017</v>
      </c>
      <c r="AB126" t="s">
        <v>2032</v>
      </c>
      <c r="AC126" t="s">
        <v>2151</v>
      </c>
      <c r="AD126" t="s">
        <v>2578</v>
      </c>
      <c r="AE126">
        <v>6</v>
      </c>
      <c r="AF126" t="s">
        <v>2902</v>
      </c>
      <c r="AG126" t="s">
        <v>2918</v>
      </c>
      <c r="AH126">
        <v>1</v>
      </c>
      <c r="AJ126">
        <v>1</v>
      </c>
      <c r="AK126">
        <v>2</v>
      </c>
      <c r="AL126">
        <v>90.84</v>
      </c>
      <c r="AO126" t="s">
        <v>2017</v>
      </c>
      <c r="AP126">
        <v>18876</v>
      </c>
      <c r="AV126">
        <v>8.699999999999999</v>
      </c>
      <c r="AW126" t="s">
        <v>330</v>
      </c>
      <c r="AX126" t="s">
        <v>3060</v>
      </c>
    </row>
    <row r="127" spans="1:50">
      <c r="A127" s="1">
        <f>HYPERLINK("https://lsnyc.legalserver.org/matter/dynamic-profile/view/1884751","18-1884751")</f>
        <v>0</v>
      </c>
      <c r="B127" t="s">
        <v>50</v>
      </c>
      <c r="C127" t="s">
        <v>70</v>
      </c>
      <c r="D127" t="s">
        <v>164</v>
      </c>
      <c r="E127" t="s">
        <v>224</v>
      </c>
      <c r="F127" t="s">
        <v>273</v>
      </c>
      <c r="G127" t="s">
        <v>508</v>
      </c>
      <c r="H127" t="s">
        <v>852</v>
      </c>
      <c r="I127" t="s">
        <v>1204</v>
      </c>
      <c r="J127" t="s">
        <v>1544</v>
      </c>
      <c r="K127" t="s">
        <v>1641</v>
      </c>
      <c r="L127">
        <v>10452</v>
      </c>
      <c r="M127" t="s">
        <v>1670</v>
      </c>
      <c r="P127" t="s">
        <v>1744</v>
      </c>
      <c r="Q127" t="s">
        <v>1936</v>
      </c>
      <c r="R127" t="s">
        <v>1958</v>
      </c>
      <c r="S127" t="s">
        <v>1965</v>
      </c>
      <c r="T127" t="s">
        <v>1671</v>
      </c>
      <c r="V127" t="s">
        <v>1972</v>
      </c>
      <c r="X127" t="s">
        <v>359</v>
      </c>
      <c r="Y127">
        <v>925</v>
      </c>
      <c r="Z127" t="s">
        <v>2006</v>
      </c>
      <c r="AA127" t="s">
        <v>2015</v>
      </c>
      <c r="AB127" t="s">
        <v>2029</v>
      </c>
      <c r="AC127" t="s">
        <v>2152</v>
      </c>
      <c r="AD127" t="s">
        <v>2579</v>
      </c>
      <c r="AE127">
        <v>37</v>
      </c>
      <c r="AF127" t="s">
        <v>2902</v>
      </c>
      <c r="AG127" t="s">
        <v>1754</v>
      </c>
      <c r="AH127">
        <v>5</v>
      </c>
      <c r="AJ127">
        <v>2</v>
      </c>
      <c r="AK127">
        <v>1</v>
      </c>
      <c r="AL127">
        <v>125.12</v>
      </c>
      <c r="AO127" t="s">
        <v>2926</v>
      </c>
      <c r="AP127">
        <v>26000</v>
      </c>
      <c r="AV127">
        <v>1.25</v>
      </c>
      <c r="AW127" t="s">
        <v>273</v>
      </c>
      <c r="AX127" t="s">
        <v>3047</v>
      </c>
    </row>
    <row r="128" spans="1:50">
      <c r="A128" s="1">
        <f>HYPERLINK("https://lsnyc.legalserver.org/matter/dynamic-profile/view/1891487","19-1891487")</f>
        <v>0</v>
      </c>
      <c r="B128" t="s">
        <v>50</v>
      </c>
      <c r="C128" t="s">
        <v>104</v>
      </c>
      <c r="D128" t="s">
        <v>164</v>
      </c>
      <c r="E128" t="s">
        <v>256</v>
      </c>
      <c r="F128" t="s">
        <v>337</v>
      </c>
      <c r="G128" t="s">
        <v>454</v>
      </c>
      <c r="H128" t="s">
        <v>870</v>
      </c>
      <c r="I128" t="s">
        <v>1205</v>
      </c>
      <c r="J128" t="s">
        <v>1545</v>
      </c>
      <c r="K128" t="s">
        <v>1646</v>
      </c>
      <c r="L128">
        <v>10306</v>
      </c>
      <c r="M128" t="s">
        <v>1670</v>
      </c>
      <c r="P128" t="s">
        <v>1745</v>
      </c>
      <c r="Q128" t="s">
        <v>1936</v>
      </c>
      <c r="R128" t="s">
        <v>1960</v>
      </c>
      <c r="S128" t="s">
        <v>1969</v>
      </c>
      <c r="T128" t="s">
        <v>1671</v>
      </c>
      <c r="V128" t="s">
        <v>1972</v>
      </c>
      <c r="W128" t="s">
        <v>1984</v>
      </c>
      <c r="X128" t="s">
        <v>256</v>
      </c>
      <c r="Y128">
        <v>1499</v>
      </c>
      <c r="Z128" t="s">
        <v>2010</v>
      </c>
      <c r="AA128" t="s">
        <v>2020</v>
      </c>
      <c r="AB128" t="s">
        <v>2032</v>
      </c>
      <c r="AC128" t="s">
        <v>2153</v>
      </c>
      <c r="AD128" t="s">
        <v>2580</v>
      </c>
      <c r="AE128">
        <v>0</v>
      </c>
      <c r="AF128" t="s">
        <v>2902</v>
      </c>
      <c r="AG128" t="s">
        <v>1754</v>
      </c>
      <c r="AH128">
        <v>2</v>
      </c>
      <c r="AJ128">
        <v>1</v>
      </c>
      <c r="AK128">
        <v>1</v>
      </c>
      <c r="AL128">
        <v>21.68</v>
      </c>
      <c r="AO128" t="s">
        <v>2926</v>
      </c>
      <c r="AP128">
        <v>3666</v>
      </c>
      <c r="AS128" t="s">
        <v>2983</v>
      </c>
      <c r="AT128" t="s">
        <v>2992</v>
      </c>
      <c r="AU128" t="s">
        <v>3008</v>
      </c>
      <c r="AV128">
        <v>14.6</v>
      </c>
      <c r="AW128" t="s">
        <v>337</v>
      </c>
      <c r="AX128" t="s">
        <v>3056</v>
      </c>
    </row>
    <row r="129" spans="1:50">
      <c r="A129" s="1">
        <f>HYPERLINK("https://lsnyc.legalserver.org/matter/dynamic-profile/view/1890002","19-1890002")</f>
        <v>0</v>
      </c>
      <c r="B129" t="s">
        <v>50</v>
      </c>
      <c r="C129" t="s">
        <v>57</v>
      </c>
      <c r="D129" t="s">
        <v>163</v>
      </c>
      <c r="E129" t="s">
        <v>170</v>
      </c>
      <c r="G129" t="s">
        <v>509</v>
      </c>
      <c r="H129" t="s">
        <v>871</v>
      </c>
      <c r="I129" t="s">
        <v>1112</v>
      </c>
      <c r="J129" t="s">
        <v>1546</v>
      </c>
      <c r="K129" t="s">
        <v>1641</v>
      </c>
      <c r="L129">
        <v>10453</v>
      </c>
      <c r="M129" t="s">
        <v>1670</v>
      </c>
      <c r="Q129" t="s">
        <v>1938</v>
      </c>
      <c r="R129" t="s">
        <v>1961</v>
      </c>
      <c r="T129" t="s">
        <v>1670</v>
      </c>
      <c r="V129" t="s">
        <v>1972</v>
      </c>
      <c r="X129" t="s">
        <v>283</v>
      </c>
      <c r="Y129">
        <v>1172</v>
      </c>
      <c r="Z129" t="s">
        <v>2006</v>
      </c>
      <c r="AA129" t="s">
        <v>2015</v>
      </c>
      <c r="AC129" t="s">
        <v>2154</v>
      </c>
      <c r="AD129" t="s">
        <v>2581</v>
      </c>
      <c r="AE129">
        <v>167</v>
      </c>
      <c r="AF129" t="s">
        <v>2902</v>
      </c>
      <c r="AG129" t="s">
        <v>2917</v>
      </c>
      <c r="AH129">
        <v>16</v>
      </c>
      <c r="AJ129">
        <v>1</v>
      </c>
      <c r="AK129">
        <v>3</v>
      </c>
      <c r="AL129">
        <v>58.56</v>
      </c>
      <c r="AO129" t="s">
        <v>2927</v>
      </c>
      <c r="AP129">
        <v>15080</v>
      </c>
      <c r="AV129">
        <v>0</v>
      </c>
      <c r="AX129" t="s">
        <v>3046</v>
      </c>
    </row>
    <row r="130" spans="1:50">
      <c r="A130" s="1">
        <f>HYPERLINK("https://lsnyc.legalserver.org/matter/dynamic-profile/view/1889998","19-1889998")</f>
        <v>0</v>
      </c>
      <c r="B130" t="s">
        <v>50</v>
      </c>
      <c r="C130" t="s">
        <v>57</v>
      </c>
      <c r="D130" t="s">
        <v>163</v>
      </c>
      <c r="E130" t="s">
        <v>170</v>
      </c>
      <c r="G130" t="s">
        <v>509</v>
      </c>
      <c r="H130" t="s">
        <v>871</v>
      </c>
      <c r="I130" t="s">
        <v>1112</v>
      </c>
      <c r="J130" t="s">
        <v>1546</v>
      </c>
      <c r="K130" t="s">
        <v>1641</v>
      </c>
      <c r="L130">
        <v>10453</v>
      </c>
      <c r="M130" t="s">
        <v>1670</v>
      </c>
      <c r="P130" t="s">
        <v>1677</v>
      </c>
      <c r="Q130" t="s">
        <v>1939</v>
      </c>
      <c r="R130" t="s">
        <v>1960</v>
      </c>
      <c r="T130" t="s">
        <v>1670</v>
      </c>
      <c r="V130" t="s">
        <v>1972</v>
      </c>
      <c r="X130" t="s">
        <v>283</v>
      </c>
      <c r="Y130">
        <v>1172</v>
      </c>
      <c r="Z130" t="s">
        <v>2006</v>
      </c>
      <c r="AA130" t="s">
        <v>2015</v>
      </c>
      <c r="AC130" t="s">
        <v>2154</v>
      </c>
      <c r="AD130" t="s">
        <v>2581</v>
      </c>
      <c r="AE130">
        <v>167</v>
      </c>
      <c r="AF130" t="s">
        <v>2902</v>
      </c>
      <c r="AG130" t="s">
        <v>2918</v>
      </c>
      <c r="AH130">
        <v>15</v>
      </c>
      <c r="AJ130">
        <v>1</v>
      </c>
      <c r="AK130">
        <v>3</v>
      </c>
      <c r="AL130">
        <v>58.56</v>
      </c>
      <c r="AO130" t="s">
        <v>2927</v>
      </c>
      <c r="AP130">
        <v>15080</v>
      </c>
      <c r="AV130">
        <v>0</v>
      </c>
      <c r="AX130" t="s">
        <v>3046</v>
      </c>
    </row>
    <row r="131" spans="1:50">
      <c r="A131" s="1">
        <f>HYPERLINK("https://lsnyc.legalserver.org/matter/dynamic-profile/view/1878023","18-1878023")</f>
        <v>0</v>
      </c>
      <c r="B131" t="s">
        <v>51</v>
      </c>
      <c r="C131" t="s">
        <v>90</v>
      </c>
      <c r="D131" t="s">
        <v>164</v>
      </c>
      <c r="E131" t="s">
        <v>257</v>
      </c>
      <c r="F131" t="s">
        <v>269</v>
      </c>
      <c r="G131" t="s">
        <v>510</v>
      </c>
      <c r="H131" t="s">
        <v>872</v>
      </c>
      <c r="I131" t="s">
        <v>1206</v>
      </c>
      <c r="J131" t="s">
        <v>1547</v>
      </c>
      <c r="K131" t="s">
        <v>1646</v>
      </c>
      <c r="L131">
        <v>10312</v>
      </c>
      <c r="M131" t="s">
        <v>1670</v>
      </c>
      <c r="P131" t="s">
        <v>1746</v>
      </c>
      <c r="Q131" t="s">
        <v>1940</v>
      </c>
      <c r="R131" t="s">
        <v>1960</v>
      </c>
      <c r="S131" t="s">
        <v>1969</v>
      </c>
      <c r="T131" t="s">
        <v>1671</v>
      </c>
      <c r="V131" t="s">
        <v>1972</v>
      </c>
      <c r="W131" t="s">
        <v>1984</v>
      </c>
      <c r="X131" t="s">
        <v>229</v>
      </c>
      <c r="Y131">
        <v>975</v>
      </c>
      <c r="Z131" t="s">
        <v>2010</v>
      </c>
      <c r="AA131" t="s">
        <v>2012</v>
      </c>
      <c r="AB131" t="s">
        <v>2033</v>
      </c>
      <c r="AC131" t="s">
        <v>2155</v>
      </c>
      <c r="AD131" t="s">
        <v>2582</v>
      </c>
      <c r="AE131">
        <v>2</v>
      </c>
      <c r="AF131" t="s">
        <v>2903</v>
      </c>
      <c r="AG131" t="s">
        <v>1754</v>
      </c>
      <c r="AH131">
        <v>9</v>
      </c>
      <c r="AJ131">
        <v>2</v>
      </c>
      <c r="AK131">
        <v>1</v>
      </c>
      <c r="AL131">
        <v>106.79</v>
      </c>
      <c r="AM131" t="s">
        <v>2923</v>
      </c>
      <c r="AN131" t="s">
        <v>2924</v>
      </c>
      <c r="AO131" t="s">
        <v>2926</v>
      </c>
      <c r="AP131">
        <v>22192</v>
      </c>
      <c r="AV131">
        <v>14</v>
      </c>
      <c r="AW131" t="s">
        <v>316</v>
      </c>
      <c r="AX131" t="s">
        <v>3056</v>
      </c>
    </row>
    <row r="132" spans="1:50">
      <c r="A132" s="1">
        <f>HYPERLINK("https://lsnyc.legalserver.org/matter/dynamic-profile/view/1894924","19-1894924")</f>
        <v>0</v>
      </c>
      <c r="B132" t="s">
        <v>50</v>
      </c>
      <c r="C132" t="s">
        <v>64</v>
      </c>
      <c r="D132" t="s">
        <v>164</v>
      </c>
      <c r="E132" t="s">
        <v>258</v>
      </c>
      <c r="F132" t="s">
        <v>220</v>
      </c>
      <c r="G132" t="s">
        <v>511</v>
      </c>
      <c r="H132" t="s">
        <v>873</v>
      </c>
      <c r="I132" t="s">
        <v>1207</v>
      </c>
      <c r="J132" t="s">
        <v>1520</v>
      </c>
      <c r="K132" t="s">
        <v>1643</v>
      </c>
      <c r="L132">
        <v>10040</v>
      </c>
      <c r="M132" t="s">
        <v>1670</v>
      </c>
      <c r="Q132" t="s">
        <v>1940</v>
      </c>
      <c r="R132" t="s">
        <v>1958</v>
      </c>
      <c r="S132" t="s">
        <v>1965</v>
      </c>
      <c r="T132" t="s">
        <v>1671</v>
      </c>
      <c r="V132" t="s">
        <v>1972</v>
      </c>
      <c r="X132" t="s">
        <v>258</v>
      </c>
      <c r="Y132">
        <v>1016</v>
      </c>
      <c r="Z132" t="s">
        <v>2008</v>
      </c>
      <c r="AA132" t="s">
        <v>2013</v>
      </c>
      <c r="AB132" t="s">
        <v>2029</v>
      </c>
      <c r="AC132" t="s">
        <v>2156</v>
      </c>
      <c r="AD132" t="s">
        <v>2583</v>
      </c>
      <c r="AE132">
        <v>75</v>
      </c>
      <c r="AF132" t="s">
        <v>2908</v>
      </c>
      <c r="AG132" t="s">
        <v>1754</v>
      </c>
      <c r="AH132">
        <v>37</v>
      </c>
      <c r="AJ132">
        <v>2</v>
      </c>
      <c r="AK132">
        <v>1</v>
      </c>
      <c r="AL132">
        <v>122.76</v>
      </c>
      <c r="AO132" t="s">
        <v>2927</v>
      </c>
      <c r="AP132">
        <v>26184</v>
      </c>
      <c r="AV132">
        <v>2.05</v>
      </c>
      <c r="AW132" t="s">
        <v>186</v>
      </c>
      <c r="AX132" t="s">
        <v>3075</v>
      </c>
    </row>
    <row r="133" spans="1:50">
      <c r="A133" s="1">
        <f>HYPERLINK("https://lsnyc.legalserver.org/matter/dynamic-profile/view/1878306","18-1878306")</f>
        <v>0</v>
      </c>
      <c r="B133" t="s">
        <v>50</v>
      </c>
      <c r="C133" t="s">
        <v>115</v>
      </c>
      <c r="D133" t="s">
        <v>164</v>
      </c>
      <c r="E133" t="s">
        <v>204</v>
      </c>
      <c r="F133" t="s">
        <v>376</v>
      </c>
      <c r="G133" t="s">
        <v>512</v>
      </c>
      <c r="H133" t="s">
        <v>874</v>
      </c>
      <c r="I133" t="s">
        <v>1208</v>
      </c>
      <c r="J133" t="s">
        <v>1548</v>
      </c>
      <c r="K133" t="s">
        <v>1641</v>
      </c>
      <c r="L133">
        <v>10452</v>
      </c>
      <c r="M133" t="s">
        <v>1670</v>
      </c>
      <c r="Q133" t="s">
        <v>1675</v>
      </c>
      <c r="R133" t="s">
        <v>1962</v>
      </c>
      <c r="S133" t="s">
        <v>1968</v>
      </c>
      <c r="T133" t="s">
        <v>1671</v>
      </c>
      <c r="V133" t="s">
        <v>1972</v>
      </c>
      <c r="X133" t="s">
        <v>372</v>
      </c>
      <c r="Y133">
        <v>774.8200000000001</v>
      </c>
      <c r="Z133" t="s">
        <v>2006</v>
      </c>
      <c r="AA133" t="s">
        <v>2015</v>
      </c>
      <c r="AB133" t="s">
        <v>2030</v>
      </c>
      <c r="AC133" t="s">
        <v>2157</v>
      </c>
      <c r="AD133" t="s">
        <v>2584</v>
      </c>
      <c r="AE133">
        <v>45</v>
      </c>
      <c r="AF133" t="s">
        <v>2902</v>
      </c>
      <c r="AG133" t="s">
        <v>1754</v>
      </c>
      <c r="AH133">
        <v>30</v>
      </c>
      <c r="AJ133">
        <v>3</v>
      </c>
      <c r="AK133">
        <v>1</v>
      </c>
      <c r="AL133">
        <v>71.70999999999999</v>
      </c>
      <c r="AO133" t="s">
        <v>2926</v>
      </c>
      <c r="AP133">
        <v>18000</v>
      </c>
      <c r="AV133">
        <v>2.9</v>
      </c>
      <c r="AW133" t="s">
        <v>376</v>
      </c>
      <c r="AX133" t="s">
        <v>115</v>
      </c>
    </row>
    <row r="134" spans="1:50">
      <c r="A134" s="1">
        <f>HYPERLINK("https://lsnyc.legalserver.org/matter/dynamic-profile/view/1879591","18-1879591")</f>
        <v>0</v>
      </c>
      <c r="B134" t="s">
        <v>50</v>
      </c>
      <c r="C134" t="s">
        <v>85</v>
      </c>
      <c r="D134" t="s">
        <v>164</v>
      </c>
      <c r="E134" t="s">
        <v>200</v>
      </c>
      <c r="F134" t="s">
        <v>298</v>
      </c>
      <c r="G134" t="s">
        <v>513</v>
      </c>
      <c r="H134" t="s">
        <v>875</v>
      </c>
      <c r="I134" t="s">
        <v>1209</v>
      </c>
      <c r="J134" t="s">
        <v>1549</v>
      </c>
      <c r="K134" t="s">
        <v>1651</v>
      </c>
      <c r="L134">
        <v>11412</v>
      </c>
      <c r="M134" t="s">
        <v>1670</v>
      </c>
      <c r="P134" t="s">
        <v>1747</v>
      </c>
      <c r="Q134" t="s">
        <v>1939</v>
      </c>
      <c r="R134" t="s">
        <v>1958</v>
      </c>
      <c r="S134" t="s">
        <v>1965</v>
      </c>
      <c r="T134" t="s">
        <v>1671</v>
      </c>
      <c r="V134" t="s">
        <v>1972</v>
      </c>
      <c r="W134" t="s">
        <v>1984</v>
      </c>
      <c r="X134" t="s">
        <v>343</v>
      </c>
      <c r="Y134">
        <v>800</v>
      </c>
      <c r="Z134" t="s">
        <v>2007</v>
      </c>
      <c r="AA134" t="s">
        <v>2014</v>
      </c>
      <c r="AB134" t="s">
        <v>2029</v>
      </c>
      <c r="AC134" t="s">
        <v>2158</v>
      </c>
      <c r="AD134" t="s">
        <v>2585</v>
      </c>
      <c r="AE134">
        <v>2</v>
      </c>
      <c r="AF134" t="s">
        <v>2903</v>
      </c>
      <c r="AG134" t="s">
        <v>1754</v>
      </c>
      <c r="AH134">
        <v>1</v>
      </c>
      <c r="AJ134">
        <v>1</v>
      </c>
      <c r="AK134">
        <v>2</v>
      </c>
      <c r="AL134">
        <v>57.75</v>
      </c>
      <c r="AO134" t="s">
        <v>2926</v>
      </c>
      <c r="AP134">
        <v>12000</v>
      </c>
      <c r="AV134">
        <v>0.2</v>
      </c>
      <c r="AW134" t="s">
        <v>298</v>
      </c>
      <c r="AX134" t="s">
        <v>85</v>
      </c>
    </row>
    <row r="135" spans="1:50">
      <c r="A135" s="1">
        <f>HYPERLINK("https://lsnyc.legalserver.org/matter/dynamic-profile/view/1894125","19-1894125")</f>
        <v>0</v>
      </c>
      <c r="B135" t="s">
        <v>50</v>
      </c>
      <c r="C135" t="s">
        <v>109</v>
      </c>
      <c r="D135" t="s">
        <v>164</v>
      </c>
      <c r="E135" t="s">
        <v>203</v>
      </c>
      <c r="F135" t="s">
        <v>325</v>
      </c>
      <c r="G135" t="s">
        <v>514</v>
      </c>
      <c r="H135" t="s">
        <v>772</v>
      </c>
      <c r="I135" t="s">
        <v>1210</v>
      </c>
      <c r="J135">
        <v>522</v>
      </c>
      <c r="K135" t="s">
        <v>1646</v>
      </c>
      <c r="L135">
        <v>10304</v>
      </c>
      <c r="M135" t="s">
        <v>1670</v>
      </c>
      <c r="P135" t="s">
        <v>1748</v>
      </c>
      <c r="Q135" t="s">
        <v>1936</v>
      </c>
      <c r="R135" t="s">
        <v>1960</v>
      </c>
      <c r="S135" t="s">
        <v>1969</v>
      </c>
      <c r="T135" t="s">
        <v>1671</v>
      </c>
      <c r="V135" t="s">
        <v>1972</v>
      </c>
      <c r="W135" t="s">
        <v>1984</v>
      </c>
      <c r="X135" t="s">
        <v>203</v>
      </c>
      <c r="Y135">
        <v>1200</v>
      </c>
      <c r="Z135" t="s">
        <v>2010</v>
      </c>
      <c r="AA135" t="s">
        <v>2011</v>
      </c>
      <c r="AB135" t="s">
        <v>2037</v>
      </c>
      <c r="AC135" t="s">
        <v>2159</v>
      </c>
      <c r="AD135" t="s">
        <v>2586</v>
      </c>
      <c r="AE135">
        <v>156</v>
      </c>
      <c r="AF135" t="s">
        <v>2909</v>
      </c>
      <c r="AG135" t="s">
        <v>2915</v>
      </c>
      <c r="AH135">
        <v>1</v>
      </c>
      <c r="AJ135">
        <v>1</v>
      </c>
      <c r="AK135">
        <v>1</v>
      </c>
      <c r="AL135">
        <v>1.48</v>
      </c>
      <c r="AO135" t="s">
        <v>2926</v>
      </c>
      <c r="AP135">
        <v>250</v>
      </c>
      <c r="AS135" t="s">
        <v>2986</v>
      </c>
      <c r="AT135" t="s">
        <v>2992</v>
      </c>
      <c r="AU135" t="s">
        <v>2999</v>
      </c>
      <c r="AV135">
        <v>9.699999999999999</v>
      </c>
      <c r="AW135" t="s">
        <v>400</v>
      </c>
      <c r="AX135" t="s">
        <v>3050</v>
      </c>
    </row>
    <row r="136" spans="1:50">
      <c r="A136" s="1">
        <f>HYPERLINK("https://lsnyc.legalserver.org/matter/dynamic-profile/view/1897690","19-1897690")</f>
        <v>0</v>
      </c>
      <c r="B136" t="s">
        <v>50</v>
      </c>
      <c r="C136" t="s">
        <v>101</v>
      </c>
      <c r="D136" t="s">
        <v>163</v>
      </c>
      <c r="E136" t="s">
        <v>213</v>
      </c>
      <c r="G136" t="s">
        <v>515</v>
      </c>
      <c r="H136" t="s">
        <v>876</v>
      </c>
      <c r="I136" t="s">
        <v>1173</v>
      </c>
      <c r="J136" t="s">
        <v>1502</v>
      </c>
      <c r="K136" t="s">
        <v>1643</v>
      </c>
      <c r="L136">
        <v>10035</v>
      </c>
      <c r="M136" t="s">
        <v>1670</v>
      </c>
      <c r="Q136" t="s">
        <v>1675</v>
      </c>
      <c r="R136" t="s">
        <v>1962</v>
      </c>
      <c r="T136" t="s">
        <v>1670</v>
      </c>
      <c r="V136" t="s">
        <v>1972</v>
      </c>
      <c r="W136" t="s">
        <v>1984</v>
      </c>
      <c r="X136" t="s">
        <v>186</v>
      </c>
      <c r="Y136">
        <v>892</v>
      </c>
      <c r="Z136" t="s">
        <v>2008</v>
      </c>
      <c r="AA136" t="s">
        <v>2019</v>
      </c>
      <c r="AC136" t="s">
        <v>2160</v>
      </c>
      <c r="AD136" t="s">
        <v>2587</v>
      </c>
      <c r="AE136">
        <v>60</v>
      </c>
      <c r="AF136" t="s">
        <v>2902</v>
      </c>
      <c r="AG136" t="s">
        <v>2915</v>
      </c>
      <c r="AH136">
        <v>5</v>
      </c>
      <c r="AJ136">
        <v>2</v>
      </c>
      <c r="AK136">
        <v>3</v>
      </c>
      <c r="AL136">
        <v>145.84</v>
      </c>
      <c r="AO136" t="s">
        <v>2926</v>
      </c>
      <c r="AP136">
        <v>44000</v>
      </c>
      <c r="AV136">
        <v>0</v>
      </c>
      <c r="AX136" t="s">
        <v>3051</v>
      </c>
    </row>
    <row r="137" spans="1:50">
      <c r="A137" s="1">
        <f>HYPERLINK("https://lsnyc.legalserver.org/matter/dynamic-profile/view/1889465","19-1889465")</f>
        <v>0</v>
      </c>
      <c r="B137" t="s">
        <v>50</v>
      </c>
      <c r="C137" t="s">
        <v>99</v>
      </c>
      <c r="D137" t="s">
        <v>164</v>
      </c>
      <c r="E137" t="s">
        <v>182</v>
      </c>
      <c r="F137" t="s">
        <v>265</v>
      </c>
      <c r="G137" t="s">
        <v>493</v>
      </c>
      <c r="H137" t="s">
        <v>877</v>
      </c>
      <c r="I137" t="s">
        <v>1211</v>
      </c>
      <c r="J137" t="s">
        <v>1550</v>
      </c>
      <c r="K137" t="s">
        <v>1645</v>
      </c>
      <c r="L137">
        <v>11691</v>
      </c>
      <c r="M137" t="s">
        <v>1670</v>
      </c>
      <c r="P137" t="s">
        <v>1749</v>
      </c>
      <c r="Q137" t="s">
        <v>1936</v>
      </c>
      <c r="R137" t="s">
        <v>1958</v>
      </c>
      <c r="S137" t="s">
        <v>1965</v>
      </c>
      <c r="T137" t="s">
        <v>1671</v>
      </c>
      <c r="V137" t="s">
        <v>1972</v>
      </c>
      <c r="W137" t="s">
        <v>1985</v>
      </c>
      <c r="X137" t="s">
        <v>182</v>
      </c>
      <c r="Y137">
        <v>1800</v>
      </c>
      <c r="Z137" t="s">
        <v>2007</v>
      </c>
      <c r="AA137" t="s">
        <v>2013</v>
      </c>
      <c r="AB137" t="s">
        <v>2029</v>
      </c>
      <c r="AC137" t="s">
        <v>2161</v>
      </c>
      <c r="AD137" t="s">
        <v>2588</v>
      </c>
      <c r="AE137">
        <v>65</v>
      </c>
      <c r="AF137" t="s">
        <v>2904</v>
      </c>
      <c r="AG137" t="s">
        <v>1754</v>
      </c>
      <c r="AH137">
        <v>2</v>
      </c>
      <c r="AJ137">
        <v>1</v>
      </c>
      <c r="AK137">
        <v>4</v>
      </c>
      <c r="AL137">
        <v>157.02</v>
      </c>
      <c r="AO137" t="s">
        <v>2926</v>
      </c>
      <c r="AP137">
        <v>47371.65</v>
      </c>
      <c r="AV137">
        <v>1.08</v>
      </c>
      <c r="AW137" t="s">
        <v>338</v>
      </c>
      <c r="AX137" t="s">
        <v>85</v>
      </c>
    </row>
    <row r="138" spans="1:50">
      <c r="A138" s="1">
        <f>HYPERLINK("https://lsnyc.legalserver.org/matter/dynamic-profile/view/1870088","18-1870088")</f>
        <v>0</v>
      </c>
      <c r="B138" t="s">
        <v>50</v>
      </c>
      <c r="C138" t="s">
        <v>116</v>
      </c>
      <c r="D138" t="s">
        <v>163</v>
      </c>
      <c r="E138" t="s">
        <v>259</v>
      </c>
      <c r="G138" t="s">
        <v>516</v>
      </c>
      <c r="H138" t="s">
        <v>878</v>
      </c>
      <c r="I138" t="s">
        <v>1212</v>
      </c>
      <c r="J138" t="s">
        <v>1522</v>
      </c>
      <c r="K138" t="s">
        <v>1643</v>
      </c>
      <c r="L138">
        <v>10035</v>
      </c>
      <c r="M138" t="s">
        <v>1670</v>
      </c>
      <c r="P138" t="s">
        <v>1750</v>
      </c>
      <c r="Q138" t="s">
        <v>1940</v>
      </c>
      <c r="R138" t="s">
        <v>1960</v>
      </c>
      <c r="T138" t="s">
        <v>1671</v>
      </c>
      <c r="V138" t="s">
        <v>1972</v>
      </c>
      <c r="W138" t="s">
        <v>1984</v>
      </c>
      <c r="X138" t="s">
        <v>287</v>
      </c>
      <c r="Y138">
        <v>650</v>
      </c>
      <c r="Z138" t="s">
        <v>2008</v>
      </c>
      <c r="AA138" t="s">
        <v>2023</v>
      </c>
      <c r="AC138" t="s">
        <v>2162</v>
      </c>
      <c r="AD138" t="s">
        <v>2589</v>
      </c>
      <c r="AE138">
        <v>30</v>
      </c>
      <c r="AF138" t="s">
        <v>2904</v>
      </c>
      <c r="AG138" t="s">
        <v>1754</v>
      </c>
      <c r="AH138">
        <v>22</v>
      </c>
      <c r="AJ138">
        <v>3</v>
      </c>
      <c r="AK138">
        <v>1</v>
      </c>
      <c r="AL138">
        <v>117.77</v>
      </c>
      <c r="AO138" t="s">
        <v>2926</v>
      </c>
      <c r="AP138">
        <v>29560</v>
      </c>
      <c r="AV138">
        <v>43.1</v>
      </c>
      <c r="AW138" t="s">
        <v>393</v>
      </c>
      <c r="AX138" t="s">
        <v>3071</v>
      </c>
    </row>
    <row r="139" spans="1:50">
      <c r="A139" s="1">
        <f>HYPERLINK("https://lsnyc.legalserver.org/matter/dynamic-profile/view/1872538","18-1872538")</f>
        <v>0</v>
      </c>
      <c r="B139" t="s">
        <v>50</v>
      </c>
      <c r="C139" t="s">
        <v>117</v>
      </c>
      <c r="D139" t="s">
        <v>164</v>
      </c>
      <c r="E139" t="s">
        <v>260</v>
      </c>
      <c r="F139" t="s">
        <v>390</v>
      </c>
      <c r="G139" t="s">
        <v>517</v>
      </c>
      <c r="H139" t="s">
        <v>879</v>
      </c>
      <c r="I139" t="s">
        <v>1213</v>
      </c>
      <c r="J139" t="s">
        <v>1539</v>
      </c>
      <c r="K139" t="s">
        <v>1649</v>
      </c>
      <c r="L139">
        <v>11692</v>
      </c>
      <c r="M139" t="s">
        <v>1670</v>
      </c>
      <c r="P139" t="s">
        <v>1751</v>
      </c>
      <c r="Q139" t="s">
        <v>1939</v>
      </c>
      <c r="R139" t="s">
        <v>1958</v>
      </c>
      <c r="S139" t="s">
        <v>1965</v>
      </c>
      <c r="T139" t="s">
        <v>1671</v>
      </c>
      <c r="V139" t="s">
        <v>1972</v>
      </c>
      <c r="W139" t="s">
        <v>1984</v>
      </c>
      <c r="X139" t="s">
        <v>185</v>
      </c>
      <c r="Y139">
        <v>1141.84</v>
      </c>
      <c r="Z139" t="s">
        <v>2007</v>
      </c>
      <c r="AA139" t="s">
        <v>2014</v>
      </c>
      <c r="AB139" t="s">
        <v>2029</v>
      </c>
      <c r="AC139" t="s">
        <v>2163</v>
      </c>
      <c r="AD139" t="s">
        <v>2590</v>
      </c>
      <c r="AE139">
        <v>53</v>
      </c>
      <c r="AF139" t="s">
        <v>2909</v>
      </c>
      <c r="AG139" t="s">
        <v>2915</v>
      </c>
      <c r="AH139">
        <v>5</v>
      </c>
      <c r="AJ139">
        <v>1</v>
      </c>
      <c r="AK139">
        <v>1</v>
      </c>
      <c r="AL139">
        <v>186.69</v>
      </c>
      <c r="AO139" t="s">
        <v>2926</v>
      </c>
      <c r="AP139">
        <v>30729</v>
      </c>
      <c r="AV139">
        <v>1</v>
      </c>
      <c r="AW139" t="s">
        <v>327</v>
      </c>
      <c r="AX139" t="s">
        <v>85</v>
      </c>
    </row>
    <row r="140" spans="1:50">
      <c r="A140" s="1">
        <f>HYPERLINK("https://lsnyc.legalserver.org/matter/dynamic-profile/view/1880450","18-1880450")</f>
        <v>0</v>
      </c>
      <c r="B140" t="s">
        <v>50</v>
      </c>
      <c r="C140" t="s">
        <v>118</v>
      </c>
      <c r="D140" t="s">
        <v>163</v>
      </c>
      <c r="E140" t="s">
        <v>261</v>
      </c>
      <c r="G140" t="s">
        <v>518</v>
      </c>
      <c r="H140" t="s">
        <v>880</v>
      </c>
      <c r="I140" t="s">
        <v>1214</v>
      </c>
      <c r="J140" t="s">
        <v>1551</v>
      </c>
      <c r="K140" t="s">
        <v>1641</v>
      </c>
      <c r="L140">
        <v>10452</v>
      </c>
      <c r="M140" t="s">
        <v>1670</v>
      </c>
      <c r="Q140" t="s">
        <v>1941</v>
      </c>
      <c r="R140" t="s">
        <v>1958</v>
      </c>
      <c r="T140" t="s">
        <v>1670</v>
      </c>
      <c r="V140" t="s">
        <v>1972</v>
      </c>
      <c r="X140" t="s">
        <v>359</v>
      </c>
      <c r="Y140">
        <v>1268</v>
      </c>
      <c r="Z140" t="s">
        <v>2006</v>
      </c>
      <c r="AA140" t="s">
        <v>2015</v>
      </c>
      <c r="AC140" t="s">
        <v>2164</v>
      </c>
      <c r="AD140" t="s">
        <v>2591</v>
      </c>
      <c r="AE140">
        <v>53</v>
      </c>
      <c r="AF140" t="s">
        <v>2902</v>
      </c>
      <c r="AG140" t="s">
        <v>2917</v>
      </c>
      <c r="AH140">
        <v>3</v>
      </c>
      <c r="AJ140">
        <v>1</v>
      </c>
      <c r="AK140">
        <v>1</v>
      </c>
      <c r="AL140">
        <v>43.74</v>
      </c>
      <c r="AO140" t="s">
        <v>2926</v>
      </c>
      <c r="AP140">
        <v>7200</v>
      </c>
      <c r="AV140">
        <v>0</v>
      </c>
      <c r="AX140" t="s">
        <v>3054</v>
      </c>
    </row>
    <row r="141" spans="1:50">
      <c r="A141" s="1">
        <f>HYPERLINK("https://lsnyc.legalserver.org/matter/dynamic-profile/view/1885515","18-1885515")</f>
        <v>0</v>
      </c>
      <c r="B141" t="s">
        <v>50</v>
      </c>
      <c r="C141" t="s">
        <v>107</v>
      </c>
      <c r="D141" t="s">
        <v>164</v>
      </c>
      <c r="E141" t="s">
        <v>223</v>
      </c>
      <c r="F141" t="s">
        <v>359</v>
      </c>
      <c r="G141" t="s">
        <v>519</v>
      </c>
      <c r="H141" t="s">
        <v>881</v>
      </c>
      <c r="I141" t="s">
        <v>1215</v>
      </c>
      <c r="J141" t="s">
        <v>1552</v>
      </c>
      <c r="K141" t="s">
        <v>1644</v>
      </c>
      <c r="L141">
        <v>11212</v>
      </c>
      <c r="M141" t="s">
        <v>1670</v>
      </c>
      <c r="P141" t="s">
        <v>1752</v>
      </c>
      <c r="Q141" t="s">
        <v>1936</v>
      </c>
      <c r="R141" t="s">
        <v>1958</v>
      </c>
      <c r="S141" t="s">
        <v>1965</v>
      </c>
      <c r="V141" t="s">
        <v>1972</v>
      </c>
      <c r="X141" t="s">
        <v>373</v>
      </c>
      <c r="Y141">
        <v>1600</v>
      </c>
      <c r="Z141" t="s">
        <v>2009</v>
      </c>
      <c r="AA141" t="s">
        <v>2014</v>
      </c>
      <c r="AB141" t="s">
        <v>2029</v>
      </c>
      <c r="AC141" t="s">
        <v>2165</v>
      </c>
      <c r="AD141" t="s">
        <v>2592</v>
      </c>
      <c r="AE141">
        <v>0</v>
      </c>
      <c r="AG141" t="s">
        <v>2017</v>
      </c>
      <c r="AH141">
        <v>8</v>
      </c>
      <c r="AJ141">
        <v>1</v>
      </c>
      <c r="AK141">
        <v>1</v>
      </c>
      <c r="AL141">
        <v>79.01000000000001</v>
      </c>
      <c r="AO141" t="s">
        <v>2926</v>
      </c>
      <c r="AP141">
        <v>13005</v>
      </c>
      <c r="AV141">
        <v>1</v>
      </c>
      <c r="AW141" t="s">
        <v>376</v>
      </c>
      <c r="AX141" t="s">
        <v>3069</v>
      </c>
    </row>
    <row r="142" spans="1:50">
      <c r="A142" s="1">
        <f>HYPERLINK("https://lsnyc.legalserver.org/matter/dynamic-profile/view/1877924","18-1877924")</f>
        <v>0</v>
      </c>
      <c r="B142" t="s">
        <v>50</v>
      </c>
      <c r="C142" t="s">
        <v>97</v>
      </c>
      <c r="D142" t="s">
        <v>164</v>
      </c>
      <c r="E142" t="s">
        <v>262</v>
      </c>
      <c r="F142" t="s">
        <v>306</v>
      </c>
      <c r="G142" t="s">
        <v>520</v>
      </c>
      <c r="H142" t="s">
        <v>882</v>
      </c>
      <c r="I142" t="s">
        <v>1216</v>
      </c>
      <c r="J142" t="s">
        <v>1548</v>
      </c>
      <c r="K142" t="s">
        <v>1643</v>
      </c>
      <c r="L142">
        <v>10034</v>
      </c>
      <c r="M142" t="s">
        <v>1670</v>
      </c>
      <c r="Q142" t="s">
        <v>1945</v>
      </c>
      <c r="R142" t="s">
        <v>1962</v>
      </c>
      <c r="S142" t="s">
        <v>1968</v>
      </c>
      <c r="T142" t="s">
        <v>1671</v>
      </c>
      <c r="V142" t="s">
        <v>1972</v>
      </c>
      <c r="X142" t="s">
        <v>262</v>
      </c>
      <c r="Y142">
        <v>774.26</v>
      </c>
      <c r="Z142" t="s">
        <v>2008</v>
      </c>
      <c r="AA142" t="s">
        <v>2020</v>
      </c>
      <c r="AB142" t="s">
        <v>2030</v>
      </c>
      <c r="AC142" t="s">
        <v>2166</v>
      </c>
      <c r="AD142" t="s">
        <v>2593</v>
      </c>
      <c r="AE142">
        <v>67</v>
      </c>
      <c r="AF142" t="s">
        <v>2902</v>
      </c>
      <c r="AG142" t="s">
        <v>2919</v>
      </c>
      <c r="AH142">
        <v>39</v>
      </c>
      <c r="AJ142">
        <v>3</v>
      </c>
      <c r="AK142">
        <v>1</v>
      </c>
      <c r="AL142">
        <v>147.58</v>
      </c>
      <c r="AO142" t="s">
        <v>2927</v>
      </c>
      <c r="AP142">
        <v>37042</v>
      </c>
      <c r="AV142">
        <v>1.9</v>
      </c>
      <c r="AW142" t="s">
        <v>209</v>
      </c>
      <c r="AX142" t="s">
        <v>3042</v>
      </c>
    </row>
    <row r="143" spans="1:50">
      <c r="A143" s="1">
        <f>HYPERLINK("https://lsnyc.legalserver.org/matter/dynamic-profile/view/1894768","19-1894768")</f>
        <v>0</v>
      </c>
      <c r="B143" t="s">
        <v>50</v>
      </c>
      <c r="C143" t="s">
        <v>119</v>
      </c>
      <c r="D143" t="s">
        <v>164</v>
      </c>
      <c r="E143" t="s">
        <v>177</v>
      </c>
      <c r="F143" t="s">
        <v>191</v>
      </c>
      <c r="G143" t="s">
        <v>521</v>
      </c>
      <c r="H143" t="s">
        <v>883</v>
      </c>
      <c r="I143" t="s">
        <v>1217</v>
      </c>
      <c r="J143" t="s">
        <v>1553</v>
      </c>
      <c r="K143" t="s">
        <v>1644</v>
      </c>
      <c r="L143">
        <v>11208</v>
      </c>
      <c r="M143" t="s">
        <v>1670</v>
      </c>
      <c r="P143" t="s">
        <v>1753</v>
      </c>
      <c r="Q143" t="s">
        <v>1936</v>
      </c>
      <c r="R143" t="s">
        <v>1960</v>
      </c>
      <c r="S143" t="s">
        <v>1967</v>
      </c>
      <c r="T143" t="s">
        <v>1671</v>
      </c>
      <c r="V143" t="s">
        <v>1972</v>
      </c>
      <c r="W143" t="s">
        <v>1984</v>
      </c>
      <c r="X143" t="s">
        <v>235</v>
      </c>
      <c r="Y143">
        <v>1980</v>
      </c>
      <c r="Z143" t="s">
        <v>2009</v>
      </c>
      <c r="AA143" t="s">
        <v>2020</v>
      </c>
      <c r="AB143" t="s">
        <v>2032</v>
      </c>
      <c r="AC143" t="s">
        <v>2167</v>
      </c>
      <c r="AD143" t="s">
        <v>2594</v>
      </c>
      <c r="AE143">
        <v>2</v>
      </c>
      <c r="AF143" t="s">
        <v>2903</v>
      </c>
      <c r="AG143" t="s">
        <v>2917</v>
      </c>
      <c r="AH143">
        <v>0</v>
      </c>
      <c r="AJ143">
        <v>2</v>
      </c>
      <c r="AK143">
        <v>5</v>
      </c>
      <c r="AL143">
        <v>0.77</v>
      </c>
      <c r="AO143" t="s">
        <v>2926</v>
      </c>
      <c r="AP143">
        <v>300</v>
      </c>
      <c r="AV143">
        <v>6.8</v>
      </c>
      <c r="AW143" t="s">
        <v>191</v>
      </c>
      <c r="AX143" t="s">
        <v>3059</v>
      </c>
    </row>
    <row r="144" spans="1:50">
      <c r="A144" s="1">
        <f>HYPERLINK("https://lsnyc.legalserver.org/matter/dynamic-profile/view/1891270","19-1891270")</f>
        <v>0</v>
      </c>
      <c r="B144" t="s">
        <v>50</v>
      </c>
      <c r="C144" t="s">
        <v>120</v>
      </c>
      <c r="D144" t="s">
        <v>163</v>
      </c>
      <c r="E144" t="s">
        <v>263</v>
      </c>
      <c r="G144" t="s">
        <v>521</v>
      </c>
      <c r="H144" t="s">
        <v>883</v>
      </c>
      <c r="I144" t="s">
        <v>1217</v>
      </c>
      <c r="J144" t="s">
        <v>1553</v>
      </c>
      <c r="K144" t="s">
        <v>1644</v>
      </c>
      <c r="L144">
        <v>11208</v>
      </c>
      <c r="M144" t="s">
        <v>1670</v>
      </c>
      <c r="Q144" t="s">
        <v>1947</v>
      </c>
      <c r="R144" t="s">
        <v>1961</v>
      </c>
      <c r="T144" t="s">
        <v>1671</v>
      </c>
      <c r="V144" t="s">
        <v>1974</v>
      </c>
      <c r="X144" t="s">
        <v>198</v>
      </c>
      <c r="Y144">
        <v>1980</v>
      </c>
      <c r="Z144" t="s">
        <v>2009</v>
      </c>
      <c r="AC144" t="s">
        <v>2167</v>
      </c>
      <c r="AD144" t="s">
        <v>2594</v>
      </c>
      <c r="AE144">
        <v>0</v>
      </c>
      <c r="AF144" t="s">
        <v>2903</v>
      </c>
      <c r="AG144" t="s">
        <v>2917</v>
      </c>
      <c r="AH144">
        <v>0</v>
      </c>
      <c r="AJ144">
        <v>2</v>
      </c>
      <c r="AK144">
        <v>5</v>
      </c>
      <c r="AL144">
        <v>9.23</v>
      </c>
      <c r="AO144" t="s">
        <v>2926</v>
      </c>
      <c r="AP144">
        <v>3600</v>
      </c>
      <c r="AV144">
        <v>14.5</v>
      </c>
      <c r="AW144" t="s">
        <v>293</v>
      </c>
      <c r="AX144" t="s">
        <v>3059</v>
      </c>
    </row>
    <row r="145" spans="1:50">
      <c r="A145" s="1">
        <f>HYPERLINK("https://lsnyc.legalserver.org/matter/dynamic-profile/view/1876865","18-1876865")</f>
        <v>0</v>
      </c>
      <c r="B145" t="s">
        <v>50</v>
      </c>
      <c r="C145" t="s">
        <v>59</v>
      </c>
      <c r="D145" t="s">
        <v>164</v>
      </c>
      <c r="E145" t="s">
        <v>264</v>
      </c>
      <c r="F145" t="s">
        <v>391</v>
      </c>
      <c r="G145" t="s">
        <v>522</v>
      </c>
      <c r="H145" t="s">
        <v>884</v>
      </c>
      <c r="I145" t="s">
        <v>1218</v>
      </c>
      <c r="J145" t="s">
        <v>1484</v>
      </c>
      <c r="K145" t="s">
        <v>1641</v>
      </c>
      <c r="L145">
        <v>10452</v>
      </c>
      <c r="M145" t="s">
        <v>1670</v>
      </c>
      <c r="Q145" t="s">
        <v>1675</v>
      </c>
      <c r="R145" t="s">
        <v>1962</v>
      </c>
      <c r="S145" t="s">
        <v>1968</v>
      </c>
      <c r="T145" t="s">
        <v>1671</v>
      </c>
      <c r="V145" t="s">
        <v>1972</v>
      </c>
      <c r="X145" t="s">
        <v>1992</v>
      </c>
      <c r="Y145">
        <v>937</v>
      </c>
      <c r="Z145" t="s">
        <v>2006</v>
      </c>
      <c r="AA145" t="s">
        <v>2015</v>
      </c>
      <c r="AB145" t="s">
        <v>2034</v>
      </c>
      <c r="AC145" t="s">
        <v>2168</v>
      </c>
      <c r="AD145" t="s">
        <v>2595</v>
      </c>
      <c r="AE145">
        <v>63</v>
      </c>
      <c r="AF145" t="s">
        <v>2902</v>
      </c>
      <c r="AG145" t="s">
        <v>1754</v>
      </c>
      <c r="AH145">
        <v>23</v>
      </c>
      <c r="AJ145">
        <v>2</v>
      </c>
      <c r="AK145">
        <v>1</v>
      </c>
      <c r="AL145">
        <v>125.12</v>
      </c>
      <c r="AO145" t="s">
        <v>2927</v>
      </c>
      <c r="AP145">
        <v>26000</v>
      </c>
      <c r="AV145">
        <v>1.5</v>
      </c>
      <c r="AW145" t="s">
        <v>218</v>
      </c>
      <c r="AX145" t="s">
        <v>3047</v>
      </c>
    </row>
    <row r="146" spans="1:50">
      <c r="A146" s="1">
        <f>HYPERLINK("https://lsnyc.legalserver.org/matter/dynamic-profile/view/1890801","19-1890801")</f>
        <v>0</v>
      </c>
      <c r="B146" t="s">
        <v>50</v>
      </c>
      <c r="C146" t="s">
        <v>57</v>
      </c>
      <c r="D146" t="s">
        <v>163</v>
      </c>
      <c r="E146" t="s">
        <v>265</v>
      </c>
      <c r="G146" t="s">
        <v>438</v>
      </c>
      <c r="H146" t="s">
        <v>885</v>
      </c>
      <c r="I146" t="s">
        <v>1112</v>
      </c>
      <c r="J146" t="s">
        <v>1503</v>
      </c>
      <c r="K146" t="s">
        <v>1641</v>
      </c>
      <c r="L146">
        <v>10453</v>
      </c>
      <c r="M146" t="s">
        <v>1670</v>
      </c>
      <c r="Q146" t="s">
        <v>1938</v>
      </c>
      <c r="R146" t="s">
        <v>1961</v>
      </c>
      <c r="T146" t="s">
        <v>1670</v>
      </c>
      <c r="V146" t="s">
        <v>1972</v>
      </c>
      <c r="X146" t="s">
        <v>283</v>
      </c>
      <c r="Y146">
        <v>1145</v>
      </c>
      <c r="Z146" t="s">
        <v>2006</v>
      </c>
      <c r="AA146" t="s">
        <v>2015</v>
      </c>
      <c r="AC146" t="s">
        <v>2169</v>
      </c>
      <c r="AD146" t="s">
        <v>2596</v>
      </c>
      <c r="AE146">
        <v>170</v>
      </c>
      <c r="AF146" t="s">
        <v>2902</v>
      </c>
      <c r="AG146" t="s">
        <v>1754</v>
      </c>
      <c r="AH146">
        <v>7</v>
      </c>
      <c r="AJ146">
        <v>4</v>
      </c>
      <c r="AK146">
        <v>1</v>
      </c>
      <c r="AL146">
        <v>39.77</v>
      </c>
      <c r="AO146" t="s">
        <v>2927</v>
      </c>
      <c r="AP146">
        <v>12000</v>
      </c>
      <c r="AV146">
        <v>0</v>
      </c>
      <c r="AX146" t="s">
        <v>3054</v>
      </c>
    </row>
    <row r="147" spans="1:50">
      <c r="A147" s="1">
        <f>HYPERLINK("https://lsnyc.legalserver.org/matter/dynamic-profile/view/1892345","19-1892345")</f>
        <v>0</v>
      </c>
      <c r="B147" t="s">
        <v>50</v>
      </c>
      <c r="C147" t="s">
        <v>121</v>
      </c>
      <c r="D147" t="s">
        <v>163</v>
      </c>
      <c r="E147" t="s">
        <v>266</v>
      </c>
      <c r="G147" t="s">
        <v>523</v>
      </c>
      <c r="H147" t="s">
        <v>886</v>
      </c>
      <c r="I147" t="s">
        <v>1219</v>
      </c>
      <c r="J147" t="s">
        <v>1506</v>
      </c>
      <c r="K147" t="s">
        <v>1644</v>
      </c>
      <c r="L147">
        <v>11233</v>
      </c>
      <c r="M147" t="s">
        <v>1670</v>
      </c>
      <c r="P147" t="s">
        <v>1754</v>
      </c>
      <c r="Q147" t="s">
        <v>1937</v>
      </c>
      <c r="R147" t="s">
        <v>1962</v>
      </c>
      <c r="T147" t="s">
        <v>1670</v>
      </c>
      <c r="V147" t="s">
        <v>1972</v>
      </c>
      <c r="W147" t="s">
        <v>1984</v>
      </c>
      <c r="X147" t="s">
        <v>367</v>
      </c>
      <c r="Y147">
        <v>733.64</v>
      </c>
      <c r="Z147" t="s">
        <v>2009</v>
      </c>
      <c r="AA147" t="s">
        <v>2013</v>
      </c>
      <c r="AC147" t="s">
        <v>2170</v>
      </c>
      <c r="AD147" t="s">
        <v>2597</v>
      </c>
      <c r="AE147">
        <v>32</v>
      </c>
      <c r="AF147" t="s">
        <v>2902</v>
      </c>
      <c r="AG147" t="s">
        <v>1754</v>
      </c>
      <c r="AH147">
        <v>5</v>
      </c>
      <c r="AJ147">
        <v>1</v>
      </c>
      <c r="AK147">
        <v>1</v>
      </c>
      <c r="AL147">
        <v>149.76</v>
      </c>
      <c r="AO147" t="s">
        <v>2926</v>
      </c>
      <c r="AP147">
        <v>25324</v>
      </c>
      <c r="AQ147" t="s">
        <v>2945</v>
      </c>
      <c r="AV147">
        <v>0</v>
      </c>
      <c r="AX147" t="s">
        <v>3060</v>
      </c>
    </row>
    <row r="148" spans="1:50">
      <c r="A148" s="1">
        <f>HYPERLINK("https://lsnyc.legalserver.org/matter/dynamic-profile/view/1892349","19-1892349")</f>
        <v>0</v>
      </c>
      <c r="B148" t="s">
        <v>50</v>
      </c>
      <c r="C148" t="s">
        <v>121</v>
      </c>
      <c r="D148" t="s">
        <v>163</v>
      </c>
      <c r="E148" t="s">
        <v>266</v>
      </c>
      <c r="G148" t="s">
        <v>523</v>
      </c>
      <c r="H148" t="s">
        <v>886</v>
      </c>
      <c r="I148" t="s">
        <v>1219</v>
      </c>
      <c r="J148" t="s">
        <v>1506</v>
      </c>
      <c r="K148" t="s">
        <v>1644</v>
      </c>
      <c r="L148">
        <v>11233</v>
      </c>
      <c r="M148" t="s">
        <v>1670</v>
      </c>
      <c r="P148" t="s">
        <v>1755</v>
      </c>
      <c r="Q148" t="s">
        <v>1940</v>
      </c>
      <c r="R148" t="s">
        <v>1960</v>
      </c>
      <c r="T148" t="s">
        <v>1670</v>
      </c>
      <c r="V148" t="s">
        <v>1972</v>
      </c>
      <c r="W148" t="s">
        <v>1984</v>
      </c>
      <c r="X148" t="s">
        <v>1996</v>
      </c>
      <c r="Y148">
        <v>733.64</v>
      </c>
      <c r="Z148" t="s">
        <v>2009</v>
      </c>
      <c r="AA148" t="s">
        <v>2013</v>
      </c>
      <c r="AC148" t="s">
        <v>2170</v>
      </c>
      <c r="AD148" t="s">
        <v>2597</v>
      </c>
      <c r="AE148">
        <v>32</v>
      </c>
      <c r="AF148" t="s">
        <v>2902</v>
      </c>
      <c r="AG148" t="s">
        <v>1754</v>
      </c>
      <c r="AH148">
        <v>5</v>
      </c>
      <c r="AJ148">
        <v>1</v>
      </c>
      <c r="AK148">
        <v>1</v>
      </c>
      <c r="AL148">
        <v>149.76</v>
      </c>
      <c r="AO148" t="s">
        <v>2926</v>
      </c>
      <c r="AP148">
        <v>25324</v>
      </c>
      <c r="AQ148" t="s">
        <v>2945</v>
      </c>
      <c r="AV148">
        <v>0</v>
      </c>
      <c r="AX148" t="s">
        <v>3060</v>
      </c>
    </row>
    <row r="149" spans="1:50">
      <c r="A149" s="1">
        <f>HYPERLINK("https://lsnyc.legalserver.org/matter/dynamic-profile/view/1892341","19-1892341")</f>
        <v>0</v>
      </c>
      <c r="B149" t="s">
        <v>50</v>
      </c>
      <c r="C149" t="s">
        <v>121</v>
      </c>
      <c r="D149" t="s">
        <v>163</v>
      </c>
      <c r="E149" t="s">
        <v>266</v>
      </c>
      <c r="G149" t="s">
        <v>523</v>
      </c>
      <c r="H149" t="s">
        <v>886</v>
      </c>
      <c r="I149" t="s">
        <v>1219</v>
      </c>
      <c r="J149" t="s">
        <v>1506</v>
      </c>
      <c r="K149" t="s">
        <v>1644</v>
      </c>
      <c r="L149">
        <v>11233</v>
      </c>
      <c r="M149" t="s">
        <v>1670</v>
      </c>
      <c r="P149" t="s">
        <v>1756</v>
      </c>
      <c r="Q149" t="s">
        <v>1936</v>
      </c>
      <c r="R149" t="s">
        <v>1960</v>
      </c>
      <c r="T149" t="s">
        <v>1671</v>
      </c>
      <c r="V149" t="s">
        <v>1972</v>
      </c>
      <c r="W149" t="s">
        <v>1984</v>
      </c>
      <c r="X149" t="s">
        <v>252</v>
      </c>
      <c r="Y149">
        <v>733.64</v>
      </c>
      <c r="Z149" t="s">
        <v>2009</v>
      </c>
      <c r="AA149" t="s">
        <v>2013</v>
      </c>
      <c r="AC149" t="s">
        <v>2170</v>
      </c>
      <c r="AD149" t="s">
        <v>2597</v>
      </c>
      <c r="AE149">
        <v>32</v>
      </c>
      <c r="AF149" t="s">
        <v>2902</v>
      </c>
      <c r="AG149" t="s">
        <v>1754</v>
      </c>
      <c r="AH149">
        <v>5</v>
      </c>
      <c r="AJ149">
        <v>1</v>
      </c>
      <c r="AK149">
        <v>1</v>
      </c>
      <c r="AL149">
        <v>149.76</v>
      </c>
      <c r="AO149" t="s">
        <v>2926</v>
      </c>
      <c r="AP149">
        <v>25324</v>
      </c>
      <c r="AV149">
        <v>0</v>
      </c>
      <c r="AX149" t="s">
        <v>3060</v>
      </c>
    </row>
    <row r="150" spans="1:50">
      <c r="A150" s="1">
        <f>HYPERLINK("https://lsnyc.legalserver.org/matter/dynamic-profile/view/1880462","18-1880462")</f>
        <v>0</v>
      </c>
      <c r="B150" t="s">
        <v>50</v>
      </c>
      <c r="C150" t="s">
        <v>65</v>
      </c>
      <c r="D150" t="s">
        <v>163</v>
      </c>
      <c r="E150" t="s">
        <v>261</v>
      </c>
      <c r="G150" t="s">
        <v>483</v>
      </c>
      <c r="H150" t="s">
        <v>887</v>
      </c>
      <c r="I150" t="s">
        <v>1220</v>
      </c>
      <c r="J150" t="s">
        <v>1506</v>
      </c>
      <c r="K150" t="s">
        <v>1644</v>
      </c>
      <c r="L150">
        <v>11206</v>
      </c>
      <c r="M150" t="s">
        <v>1670</v>
      </c>
      <c r="P150" t="s">
        <v>1757</v>
      </c>
      <c r="Q150" t="s">
        <v>1936</v>
      </c>
      <c r="R150" t="s">
        <v>1960</v>
      </c>
      <c r="V150" t="s">
        <v>1972</v>
      </c>
      <c r="X150" t="s">
        <v>252</v>
      </c>
      <c r="Y150">
        <v>0</v>
      </c>
      <c r="Z150" t="s">
        <v>2009</v>
      </c>
      <c r="AC150" t="s">
        <v>2171</v>
      </c>
      <c r="AD150" t="s">
        <v>2598</v>
      </c>
      <c r="AE150">
        <v>0</v>
      </c>
      <c r="AH150">
        <v>11</v>
      </c>
      <c r="AJ150">
        <v>2</v>
      </c>
      <c r="AK150">
        <v>2</v>
      </c>
      <c r="AL150">
        <v>157.29</v>
      </c>
      <c r="AO150" t="s">
        <v>2926</v>
      </c>
      <c r="AP150">
        <v>39480</v>
      </c>
      <c r="AV150">
        <v>12.1</v>
      </c>
      <c r="AW150" t="s">
        <v>297</v>
      </c>
      <c r="AX150" t="s">
        <v>69</v>
      </c>
    </row>
    <row r="151" spans="1:50">
      <c r="A151" s="1">
        <f>HYPERLINK("https://lsnyc.legalserver.org/matter/dynamic-profile/view/1888455","19-1888455")</f>
        <v>0</v>
      </c>
      <c r="B151" t="s">
        <v>50</v>
      </c>
      <c r="C151" t="s">
        <v>122</v>
      </c>
      <c r="D151" t="s">
        <v>163</v>
      </c>
      <c r="E151" t="s">
        <v>267</v>
      </c>
      <c r="G151" t="s">
        <v>460</v>
      </c>
      <c r="H151" t="s">
        <v>888</v>
      </c>
      <c r="I151" t="s">
        <v>1221</v>
      </c>
      <c r="J151" t="s">
        <v>1554</v>
      </c>
      <c r="K151" t="s">
        <v>1641</v>
      </c>
      <c r="L151">
        <v>10452</v>
      </c>
      <c r="M151" t="s">
        <v>1670</v>
      </c>
      <c r="Q151" t="s">
        <v>1675</v>
      </c>
      <c r="R151" t="s">
        <v>1958</v>
      </c>
      <c r="T151" t="s">
        <v>1671</v>
      </c>
      <c r="V151" t="s">
        <v>1972</v>
      </c>
      <c r="X151" t="s">
        <v>267</v>
      </c>
      <c r="Y151">
        <v>219</v>
      </c>
      <c r="Z151" t="s">
        <v>2006</v>
      </c>
      <c r="AA151" t="s">
        <v>2015</v>
      </c>
      <c r="AC151" t="s">
        <v>2172</v>
      </c>
      <c r="AD151" t="s">
        <v>2599</v>
      </c>
      <c r="AE151">
        <v>77</v>
      </c>
      <c r="AF151" t="s">
        <v>2902</v>
      </c>
      <c r="AG151" t="s">
        <v>2915</v>
      </c>
      <c r="AH151">
        <v>11</v>
      </c>
      <c r="AJ151">
        <v>2</v>
      </c>
      <c r="AK151">
        <v>1</v>
      </c>
      <c r="AL151">
        <v>24.2</v>
      </c>
      <c r="AO151" t="s">
        <v>2926</v>
      </c>
      <c r="AP151">
        <v>5028</v>
      </c>
      <c r="AV151">
        <v>1</v>
      </c>
      <c r="AW151" t="s">
        <v>295</v>
      </c>
      <c r="AX151" t="s">
        <v>3047</v>
      </c>
    </row>
    <row r="152" spans="1:50">
      <c r="A152" s="1">
        <f>HYPERLINK("https://lsnyc.legalserver.org/matter/dynamic-profile/view/1875677","18-1875677")</f>
        <v>0</v>
      </c>
      <c r="B152" t="s">
        <v>50</v>
      </c>
      <c r="C152" t="s">
        <v>53</v>
      </c>
      <c r="D152" t="s">
        <v>164</v>
      </c>
      <c r="E152" t="s">
        <v>225</v>
      </c>
      <c r="F152" t="s">
        <v>349</v>
      </c>
      <c r="G152" t="s">
        <v>524</v>
      </c>
      <c r="H152" t="s">
        <v>889</v>
      </c>
      <c r="I152" t="s">
        <v>1222</v>
      </c>
      <c r="J152" t="s">
        <v>1521</v>
      </c>
      <c r="K152" t="s">
        <v>1652</v>
      </c>
      <c r="L152">
        <v>11361</v>
      </c>
      <c r="M152" t="s">
        <v>1670</v>
      </c>
      <c r="P152" t="s">
        <v>1758</v>
      </c>
      <c r="Q152" t="s">
        <v>1936</v>
      </c>
      <c r="R152" t="s">
        <v>1958</v>
      </c>
      <c r="S152" t="s">
        <v>1965</v>
      </c>
      <c r="T152" t="s">
        <v>1671</v>
      </c>
      <c r="V152" t="s">
        <v>1972</v>
      </c>
      <c r="W152" t="s">
        <v>1985</v>
      </c>
      <c r="X152" t="s">
        <v>225</v>
      </c>
      <c r="Y152">
        <v>2200</v>
      </c>
      <c r="Z152" t="s">
        <v>2007</v>
      </c>
      <c r="AA152" t="s">
        <v>2014</v>
      </c>
      <c r="AB152" t="s">
        <v>2029</v>
      </c>
      <c r="AC152" t="s">
        <v>2173</v>
      </c>
      <c r="AD152" t="s">
        <v>2600</v>
      </c>
      <c r="AE152">
        <v>2</v>
      </c>
      <c r="AF152" t="s">
        <v>2903</v>
      </c>
      <c r="AG152" t="s">
        <v>1754</v>
      </c>
      <c r="AH152">
        <v>2</v>
      </c>
      <c r="AJ152">
        <v>3</v>
      </c>
      <c r="AK152">
        <v>2</v>
      </c>
      <c r="AL152">
        <v>0</v>
      </c>
      <c r="AO152" t="s">
        <v>2926</v>
      </c>
      <c r="AP152">
        <v>0</v>
      </c>
      <c r="AV152">
        <v>0.9</v>
      </c>
      <c r="AW152" t="s">
        <v>349</v>
      </c>
      <c r="AX152" t="s">
        <v>3044</v>
      </c>
    </row>
    <row r="153" spans="1:50">
      <c r="A153" s="1">
        <f>HYPERLINK("https://lsnyc.legalserver.org/matter/dynamic-profile/view/1902364","19-1902364")</f>
        <v>0</v>
      </c>
      <c r="B153" t="s">
        <v>50</v>
      </c>
      <c r="C153" t="s">
        <v>123</v>
      </c>
      <c r="D153" t="s">
        <v>163</v>
      </c>
      <c r="E153" t="s">
        <v>268</v>
      </c>
      <c r="G153" t="s">
        <v>525</v>
      </c>
      <c r="H153" t="s">
        <v>890</v>
      </c>
      <c r="I153" t="s">
        <v>1223</v>
      </c>
      <c r="J153">
        <v>11</v>
      </c>
      <c r="K153" t="s">
        <v>1641</v>
      </c>
      <c r="L153">
        <v>10467</v>
      </c>
      <c r="M153" t="s">
        <v>1670</v>
      </c>
      <c r="P153" t="s">
        <v>1759</v>
      </c>
      <c r="Q153" t="s">
        <v>1675</v>
      </c>
      <c r="R153" t="s">
        <v>1958</v>
      </c>
      <c r="T153" t="s">
        <v>1671</v>
      </c>
      <c r="V153" t="s">
        <v>1972</v>
      </c>
      <c r="X153" t="s">
        <v>1991</v>
      </c>
      <c r="Y153">
        <v>500</v>
      </c>
      <c r="Z153" t="s">
        <v>2006</v>
      </c>
      <c r="AA153" t="s">
        <v>2013</v>
      </c>
      <c r="AC153" t="s">
        <v>2174</v>
      </c>
      <c r="AD153" t="s">
        <v>2601</v>
      </c>
      <c r="AE153">
        <v>1</v>
      </c>
      <c r="AF153" t="s">
        <v>2903</v>
      </c>
      <c r="AG153" t="s">
        <v>1754</v>
      </c>
      <c r="AH153">
        <v>35</v>
      </c>
      <c r="AJ153">
        <v>4</v>
      </c>
      <c r="AK153">
        <v>1</v>
      </c>
      <c r="AL153">
        <v>74.62</v>
      </c>
      <c r="AO153" t="s">
        <v>2926</v>
      </c>
      <c r="AP153">
        <v>22512</v>
      </c>
      <c r="AV153">
        <v>0.1</v>
      </c>
      <c r="AW153" t="s">
        <v>222</v>
      </c>
      <c r="AX153" t="s">
        <v>123</v>
      </c>
    </row>
    <row r="154" spans="1:50">
      <c r="A154" s="1">
        <f>HYPERLINK("https://lsnyc.legalserver.org/matter/dynamic-profile/view/1871508","18-1871508")</f>
        <v>0</v>
      </c>
      <c r="B154" t="s">
        <v>50</v>
      </c>
      <c r="C154" t="s">
        <v>108</v>
      </c>
      <c r="D154" t="s">
        <v>163</v>
      </c>
      <c r="E154" t="s">
        <v>201</v>
      </c>
      <c r="G154" t="s">
        <v>526</v>
      </c>
      <c r="H154" t="s">
        <v>810</v>
      </c>
      <c r="I154" t="s">
        <v>1224</v>
      </c>
      <c r="J154" t="s">
        <v>1555</v>
      </c>
      <c r="K154" t="s">
        <v>1645</v>
      </c>
      <c r="L154">
        <v>11691</v>
      </c>
      <c r="M154" t="s">
        <v>1670</v>
      </c>
      <c r="P154" t="s">
        <v>1760</v>
      </c>
      <c r="Q154" t="s">
        <v>1936</v>
      </c>
      <c r="R154" t="s">
        <v>1960</v>
      </c>
      <c r="T154" t="s">
        <v>1671</v>
      </c>
      <c r="V154" t="s">
        <v>1972</v>
      </c>
      <c r="W154" t="s">
        <v>1984</v>
      </c>
      <c r="X154" t="s">
        <v>201</v>
      </c>
      <c r="Y154">
        <v>443</v>
      </c>
      <c r="Z154" t="s">
        <v>2007</v>
      </c>
      <c r="AA154" t="s">
        <v>2014</v>
      </c>
      <c r="AC154" t="s">
        <v>2175</v>
      </c>
      <c r="AD154" t="s">
        <v>2602</v>
      </c>
      <c r="AE154">
        <v>144</v>
      </c>
      <c r="AF154" t="s">
        <v>2909</v>
      </c>
      <c r="AG154" t="s">
        <v>2017</v>
      </c>
      <c r="AH154">
        <v>10</v>
      </c>
      <c r="AJ154">
        <v>2</v>
      </c>
      <c r="AK154">
        <v>1</v>
      </c>
      <c r="AL154">
        <v>105.4</v>
      </c>
      <c r="AO154" t="s">
        <v>2926</v>
      </c>
      <c r="AP154">
        <v>21902.4</v>
      </c>
      <c r="AR154" t="s">
        <v>2978</v>
      </c>
      <c r="AS154" t="s">
        <v>2017</v>
      </c>
      <c r="AT154" t="s">
        <v>2992</v>
      </c>
      <c r="AU154" t="s">
        <v>3009</v>
      </c>
      <c r="AV154">
        <v>5.8</v>
      </c>
      <c r="AW154" t="s">
        <v>257</v>
      </c>
      <c r="AX154" t="s">
        <v>3044</v>
      </c>
    </row>
    <row r="155" spans="1:50">
      <c r="A155" s="1">
        <f>HYPERLINK("https://lsnyc.legalserver.org/matter/dynamic-profile/view/1896190","19-1896190")</f>
        <v>0</v>
      </c>
      <c r="B155" t="s">
        <v>50</v>
      </c>
      <c r="C155" t="s">
        <v>103</v>
      </c>
      <c r="D155" t="s">
        <v>163</v>
      </c>
      <c r="E155" t="s">
        <v>183</v>
      </c>
      <c r="G155" t="s">
        <v>527</v>
      </c>
      <c r="H155" t="s">
        <v>891</v>
      </c>
      <c r="I155" t="s">
        <v>1225</v>
      </c>
      <c r="J155">
        <v>1</v>
      </c>
      <c r="K155" t="s">
        <v>1644</v>
      </c>
      <c r="L155">
        <v>11233</v>
      </c>
      <c r="M155" t="s">
        <v>1670</v>
      </c>
      <c r="P155" t="s">
        <v>1761</v>
      </c>
      <c r="Q155" t="s">
        <v>1936</v>
      </c>
      <c r="R155" t="s">
        <v>1960</v>
      </c>
      <c r="T155" t="s">
        <v>1671</v>
      </c>
      <c r="V155" t="s">
        <v>1972</v>
      </c>
      <c r="W155" t="s">
        <v>1984</v>
      </c>
      <c r="X155" t="s">
        <v>364</v>
      </c>
      <c r="Y155">
        <v>1640</v>
      </c>
      <c r="Z155" t="s">
        <v>2009</v>
      </c>
      <c r="AC155" t="s">
        <v>2176</v>
      </c>
      <c r="AD155" t="s">
        <v>2603</v>
      </c>
      <c r="AE155">
        <v>8</v>
      </c>
      <c r="AF155" t="s">
        <v>2902</v>
      </c>
      <c r="AG155" t="s">
        <v>2915</v>
      </c>
      <c r="AH155">
        <v>11</v>
      </c>
      <c r="AJ155">
        <v>1</v>
      </c>
      <c r="AK155">
        <v>1</v>
      </c>
      <c r="AL155">
        <v>57.04</v>
      </c>
      <c r="AO155" t="s">
        <v>2926</v>
      </c>
      <c r="AP155">
        <v>9646</v>
      </c>
      <c r="AV155">
        <v>7.75</v>
      </c>
      <c r="AW155" t="s">
        <v>289</v>
      </c>
      <c r="AX155" t="s">
        <v>3059</v>
      </c>
    </row>
    <row r="156" spans="1:50">
      <c r="A156" s="1">
        <f>HYPERLINK("https://lsnyc.legalserver.org/matter/dynamic-profile/view/1897450","19-1897450")</f>
        <v>0</v>
      </c>
      <c r="B156" t="s">
        <v>50</v>
      </c>
      <c r="C156" t="s">
        <v>88</v>
      </c>
      <c r="D156" t="s">
        <v>163</v>
      </c>
      <c r="E156" t="s">
        <v>269</v>
      </c>
      <c r="G156" t="s">
        <v>429</v>
      </c>
      <c r="H156" t="s">
        <v>892</v>
      </c>
      <c r="I156" t="s">
        <v>1226</v>
      </c>
      <c r="J156" t="s">
        <v>1556</v>
      </c>
      <c r="K156" t="s">
        <v>1644</v>
      </c>
      <c r="L156">
        <v>11208</v>
      </c>
      <c r="M156" t="s">
        <v>1670</v>
      </c>
      <c r="P156" t="s">
        <v>1762</v>
      </c>
      <c r="Q156" t="s">
        <v>1940</v>
      </c>
      <c r="R156" t="s">
        <v>1960</v>
      </c>
      <c r="T156" t="s">
        <v>1671</v>
      </c>
      <c r="V156" t="s">
        <v>1972</v>
      </c>
      <c r="W156" t="s">
        <v>1984</v>
      </c>
      <c r="X156" t="s">
        <v>409</v>
      </c>
      <c r="Y156">
        <v>1956</v>
      </c>
      <c r="Z156" t="s">
        <v>2009</v>
      </c>
      <c r="AA156" t="s">
        <v>2017</v>
      </c>
      <c r="AC156" t="s">
        <v>2177</v>
      </c>
      <c r="AD156" t="s">
        <v>2604</v>
      </c>
      <c r="AE156">
        <v>3</v>
      </c>
      <c r="AF156" t="s">
        <v>2903</v>
      </c>
      <c r="AG156" t="s">
        <v>2916</v>
      </c>
      <c r="AH156">
        <v>4</v>
      </c>
      <c r="AJ156">
        <v>1</v>
      </c>
      <c r="AK156">
        <v>3</v>
      </c>
      <c r="AL156">
        <v>133.28</v>
      </c>
      <c r="AO156" t="s">
        <v>2926</v>
      </c>
      <c r="AP156">
        <v>34320</v>
      </c>
      <c r="AV156">
        <v>21.15</v>
      </c>
      <c r="AW156" t="s">
        <v>397</v>
      </c>
      <c r="AX156" t="s">
        <v>3043</v>
      </c>
    </row>
    <row r="157" spans="1:50">
      <c r="A157" s="1">
        <f>HYPERLINK("https://lsnyc.legalserver.org/matter/dynamic-profile/view/1885656","18-1885656")</f>
        <v>0</v>
      </c>
      <c r="B157" t="s">
        <v>50</v>
      </c>
      <c r="C157" t="s">
        <v>63</v>
      </c>
      <c r="D157" t="s">
        <v>163</v>
      </c>
      <c r="E157" t="s">
        <v>270</v>
      </c>
      <c r="G157" t="s">
        <v>528</v>
      </c>
      <c r="H157" t="s">
        <v>893</v>
      </c>
      <c r="I157" t="s">
        <v>1227</v>
      </c>
      <c r="J157" t="s">
        <v>1522</v>
      </c>
      <c r="K157" t="s">
        <v>1641</v>
      </c>
      <c r="L157">
        <v>10463</v>
      </c>
      <c r="M157" t="s">
        <v>1670</v>
      </c>
      <c r="P157" t="s">
        <v>1763</v>
      </c>
      <c r="Q157" t="s">
        <v>1939</v>
      </c>
      <c r="R157" t="s">
        <v>1960</v>
      </c>
      <c r="T157" t="s">
        <v>1670</v>
      </c>
      <c r="V157" t="s">
        <v>1972</v>
      </c>
      <c r="X157" t="s">
        <v>359</v>
      </c>
      <c r="Y157">
        <v>1250</v>
      </c>
      <c r="Z157" t="s">
        <v>2006</v>
      </c>
      <c r="AA157" t="s">
        <v>2015</v>
      </c>
      <c r="AC157" t="s">
        <v>2178</v>
      </c>
      <c r="AD157" t="s">
        <v>2605</v>
      </c>
      <c r="AE157">
        <v>55</v>
      </c>
      <c r="AF157" t="s">
        <v>2902</v>
      </c>
      <c r="AG157" t="s">
        <v>1754</v>
      </c>
      <c r="AH157">
        <v>1</v>
      </c>
      <c r="AJ157">
        <v>1</v>
      </c>
      <c r="AK157">
        <v>1</v>
      </c>
      <c r="AL157">
        <v>110.57</v>
      </c>
      <c r="AO157" t="s">
        <v>2927</v>
      </c>
      <c r="AP157">
        <v>18200</v>
      </c>
      <c r="AV157">
        <v>0</v>
      </c>
      <c r="AX157" t="s">
        <v>3054</v>
      </c>
    </row>
    <row r="158" spans="1:50">
      <c r="A158" s="1">
        <f>HYPERLINK("https://lsnyc.legalserver.org/matter/dynamic-profile/view/1887689","19-1887689")</f>
        <v>0</v>
      </c>
      <c r="B158" t="s">
        <v>50</v>
      </c>
      <c r="C158" t="s">
        <v>95</v>
      </c>
      <c r="D158" t="s">
        <v>164</v>
      </c>
      <c r="E158" t="s">
        <v>271</v>
      </c>
      <c r="F158" t="s">
        <v>258</v>
      </c>
      <c r="G158" t="s">
        <v>529</v>
      </c>
      <c r="H158" t="s">
        <v>892</v>
      </c>
      <c r="I158" t="s">
        <v>1228</v>
      </c>
      <c r="J158">
        <v>23</v>
      </c>
      <c r="K158" t="s">
        <v>1641</v>
      </c>
      <c r="L158">
        <v>10452</v>
      </c>
      <c r="M158" t="s">
        <v>1670</v>
      </c>
      <c r="Q158" t="s">
        <v>1675</v>
      </c>
      <c r="R158" t="s">
        <v>1962</v>
      </c>
      <c r="S158" t="s">
        <v>1968</v>
      </c>
      <c r="T158" t="s">
        <v>1671</v>
      </c>
      <c r="V158" t="s">
        <v>1972</v>
      </c>
      <c r="X158" t="s">
        <v>1993</v>
      </c>
      <c r="Y158">
        <v>499.31</v>
      </c>
      <c r="Z158" t="s">
        <v>2006</v>
      </c>
      <c r="AA158" t="s">
        <v>2015</v>
      </c>
      <c r="AB158" t="s">
        <v>2029</v>
      </c>
      <c r="AC158" t="s">
        <v>2179</v>
      </c>
      <c r="AD158" t="s">
        <v>2606</v>
      </c>
      <c r="AE158">
        <v>60</v>
      </c>
      <c r="AF158" t="s">
        <v>2902</v>
      </c>
      <c r="AG158" t="s">
        <v>2919</v>
      </c>
      <c r="AH158">
        <v>52</v>
      </c>
      <c r="AJ158">
        <v>2</v>
      </c>
      <c r="AK158">
        <v>1</v>
      </c>
      <c r="AL158">
        <v>90.34</v>
      </c>
      <c r="AO158" t="s">
        <v>2926</v>
      </c>
      <c r="AP158">
        <v>18772.56</v>
      </c>
      <c r="AV158">
        <v>1.35</v>
      </c>
      <c r="AW158" t="s">
        <v>258</v>
      </c>
      <c r="AX158" t="s">
        <v>95</v>
      </c>
    </row>
    <row r="159" spans="1:50">
      <c r="A159" s="1">
        <f>HYPERLINK("https://lsnyc.legalserver.org/matter/dynamic-profile/view/1878794","18-1878794")</f>
        <v>0</v>
      </c>
      <c r="B159" t="s">
        <v>50</v>
      </c>
      <c r="C159" t="s">
        <v>73</v>
      </c>
      <c r="D159" t="s">
        <v>163</v>
      </c>
      <c r="E159" t="s">
        <v>211</v>
      </c>
      <c r="G159" t="s">
        <v>530</v>
      </c>
      <c r="H159" t="s">
        <v>894</v>
      </c>
      <c r="I159" t="s">
        <v>1229</v>
      </c>
      <c r="J159" t="s">
        <v>1557</v>
      </c>
      <c r="K159" t="s">
        <v>1653</v>
      </c>
      <c r="L159">
        <v>11414</v>
      </c>
      <c r="M159" t="s">
        <v>1670</v>
      </c>
      <c r="P159" t="s">
        <v>1764</v>
      </c>
      <c r="Q159" t="s">
        <v>1940</v>
      </c>
      <c r="R159" t="s">
        <v>1960</v>
      </c>
      <c r="T159" t="s">
        <v>1671</v>
      </c>
      <c r="V159" t="s">
        <v>1972</v>
      </c>
      <c r="W159" t="s">
        <v>1984</v>
      </c>
      <c r="X159" t="s">
        <v>211</v>
      </c>
      <c r="Y159">
        <v>1900</v>
      </c>
      <c r="Z159" t="s">
        <v>2007</v>
      </c>
      <c r="AA159" t="s">
        <v>2014</v>
      </c>
      <c r="AC159" t="s">
        <v>2180</v>
      </c>
      <c r="AD159" t="s">
        <v>2607</v>
      </c>
      <c r="AE159">
        <v>2</v>
      </c>
      <c r="AF159" t="s">
        <v>2903</v>
      </c>
      <c r="AG159" t="s">
        <v>1754</v>
      </c>
      <c r="AH159">
        <v>2</v>
      </c>
      <c r="AJ159">
        <v>1</v>
      </c>
      <c r="AK159">
        <v>1</v>
      </c>
      <c r="AL159">
        <v>76.55</v>
      </c>
      <c r="AO159" t="s">
        <v>2926</v>
      </c>
      <c r="AP159">
        <v>12600</v>
      </c>
      <c r="AR159" t="s">
        <v>2976</v>
      </c>
      <c r="AS159" t="s">
        <v>2017</v>
      </c>
      <c r="AT159" t="s">
        <v>2993</v>
      </c>
      <c r="AU159" t="s">
        <v>3010</v>
      </c>
      <c r="AV159">
        <v>18.15</v>
      </c>
      <c r="AW159" t="s">
        <v>199</v>
      </c>
      <c r="AX159" t="s">
        <v>89</v>
      </c>
    </row>
    <row r="160" spans="1:50">
      <c r="A160" s="1">
        <f>HYPERLINK("https://lsnyc.legalserver.org/matter/dynamic-profile/view/1896988","19-1896988")</f>
        <v>0</v>
      </c>
      <c r="B160" t="s">
        <v>50</v>
      </c>
      <c r="C160" t="s">
        <v>62</v>
      </c>
      <c r="D160" t="s">
        <v>163</v>
      </c>
      <c r="E160" t="s">
        <v>212</v>
      </c>
      <c r="G160" t="s">
        <v>531</v>
      </c>
      <c r="H160" t="s">
        <v>895</v>
      </c>
      <c r="I160" t="s">
        <v>1230</v>
      </c>
      <c r="J160">
        <v>8</v>
      </c>
      <c r="K160" t="s">
        <v>1644</v>
      </c>
      <c r="L160">
        <v>11226</v>
      </c>
      <c r="M160" t="s">
        <v>1670</v>
      </c>
      <c r="Q160" t="s">
        <v>1939</v>
      </c>
      <c r="R160" t="s">
        <v>1960</v>
      </c>
      <c r="V160" t="s">
        <v>1972</v>
      </c>
      <c r="X160" t="s">
        <v>212</v>
      </c>
      <c r="Y160">
        <v>763.86</v>
      </c>
      <c r="Z160" t="s">
        <v>2009</v>
      </c>
      <c r="AC160" t="s">
        <v>2181</v>
      </c>
      <c r="AD160" t="s">
        <v>2608</v>
      </c>
      <c r="AE160">
        <v>0</v>
      </c>
      <c r="AH160">
        <v>18</v>
      </c>
      <c r="AJ160">
        <v>4</v>
      </c>
      <c r="AK160">
        <v>1</v>
      </c>
      <c r="AL160">
        <v>130.99</v>
      </c>
      <c r="AO160" t="s">
        <v>2926</v>
      </c>
      <c r="AP160">
        <v>39520</v>
      </c>
      <c r="AV160">
        <v>0.9</v>
      </c>
      <c r="AW160" t="s">
        <v>268</v>
      </c>
      <c r="AX160" t="s">
        <v>158</v>
      </c>
    </row>
    <row r="161" spans="1:50">
      <c r="A161" s="1">
        <f>HYPERLINK("https://lsnyc.legalserver.org/matter/dynamic-profile/view/1900735","19-1900735")</f>
        <v>0</v>
      </c>
      <c r="B161" t="s">
        <v>50</v>
      </c>
      <c r="C161" t="s">
        <v>124</v>
      </c>
      <c r="D161" t="s">
        <v>163</v>
      </c>
      <c r="E161" t="s">
        <v>272</v>
      </c>
      <c r="G161" t="s">
        <v>531</v>
      </c>
      <c r="H161" t="s">
        <v>895</v>
      </c>
      <c r="I161" t="s">
        <v>1230</v>
      </c>
      <c r="J161">
        <v>8</v>
      </c>
      <c r="K161" t="s">
        <v>1644</v>
      </c>
      <c r="L161">
        <v>11226</v>
      </c>
      <c r="M161" t="s">
        <v>1670</v>
      </c>
      <c r="R161" t="s">
        <v>1960</v>
      </c>
      <c r="T161" t="s">
        <v>1670</v>
      </c>
      <c r="V161" t="s">
        <v>1972</v>
      </c>
      <c r="X161" t="s">
        <v>272</v>
      </c>
      <c r="Y161">
        <v>763.86</v>
      </c>
      <c r="Z161" t="s">
        <v>2009</v>
      </c>
      <c r="AC161" t="s">
        <v>2181</v>
      </c>
      <c r="AD161" t="s">
        <v>2608</v>
      </c>
      <c r="AE161">
        <v>0</v>
      </c>
      <c r="AH161">
        <v>18</v>
      </c>
      <c r="AJ161">
        <v>4</v>
      </c>
      <c r="AK161">
        <v>1</v>
      </c>
      <c r="AL161">
        <v>130.99</v>
      </c>
      <c r="AO161" t="s">
        <v>2926</v>
      </c>
      <c r="AP161">
        <v>39520</v>
      </c>
      <c r="AV161">
        <v>0</v>
      </c>
      <c r="AX161" t="s">
        <v>158</v>
      </c>
    </row>
    <row r="162" spans="1:50">
      <c r="A162" s="1">
        <f>HYPERLINK("https://lsnyc.legalserver.org/matter/dynamic-profile/view/1884862","18-1884862")</f>
        <v>0</v>
      </c>
      <c r="B162" t="s">
        <v>50</v>
      </c>
      <c r="C162" t="s">
        <v>125</v>
      </c>
      <c r="D162" t="s">
        <v>163</v>
      </c>
      <c r="E162" t="s">
        <v>273</v>
      </c>
      <c r="G162" t="s">
        <v>531</v>
      </c>
      <c r="H162" t="s">
        <v>895</v>
      </c>
      <c r="I162" t="s">
        <v>1230</v>
      </c>
      <c r="J162">
        <v>8</v>
      </c>
      <c r="K162" t="s">
        <v>1644</v>
      </c>
      <c r="L162">
        <v>11226</v>
      </c>
      <c r="M162" t="s">
        <v>1670</v>
      </c>
      <c r="Q162" t="s">
        <v>1941</v>
      </c>
      <c r="R162" t="s">
        <v>1959</v>
      </c>
      <c r="V162" t="s">
        <v>1972</v>
      </c>
      <c r="X162" t="s">
        <v>273</v>
      </c>
      <c r="Y162">
        <v>763.86</v>
      </c>
      <c r="Z162" t="s">
        <v>2009</v>
      </c>
      <c r="AC162" t="s">
        <v>2181</v>
      </c>
      <c r="AD162" t="s">
        <v>2608</v>
      </c>
      <c r="AE162">
        <v>0</v>
      </c>
      <c r="AF162" t="s">
        <v>2902</v>
      </c>
      <c r="AH162">
        <v>21</v>
      </c>
      <c r="AJ162">
        <v>4</v>
      </c>
      <c r="AK162">
        <v>1</v>
      </c>
      <c r="AL162">
        <v>138.68</v>
      </c>
      <c r="AO162" t="s">
        <v>2926</v>
      </c>
      <c r="AP162">
        <v>40800</v>
      </c>
      <c r="AV162">
        <v>1.7</v>
      </c>
      <c r="AW162" t="s">
        <v>231</v>
      </c>
      <c r="AX162" t="s">
        <v>158</v>
      </c>
    </row>
    <row r="163" spans="1:50">
      <c r="A163" s="1">
        <f>HYPERLINK("https://lsnyc.legalserver.org/matter/dynamic-profile/view/1894473","19-1894473")</f>
        <v>0</v>
      </c>
      <c r="B163" t="s">
        <v>50</v>
      </c>
      <c r="C163" t="s">
        <v>126</v>
      </c>
      <c r="D163" t="s">
        <v>163</v>
      </c>
      <c r="E163" t="s">
        <v>274</v>
      </c>
      <c r="G163" t="s">
        <v>532</v>
      </c>
      <c r="H163" t="s">
        <v>896</v>
      </c>
      <c r="I163" t="s">
        <v>1231</v>
      </c>
      <c r="J163">
        <v>612</v>
      </c>
      <c r="K163" t="s">
        <v>1641</v>
      </c>
      <c r="L163">
        <v>10453</v>
      </c>
      <c r="M163" t="s">
        <v>1670</v>
      </c>
      <c r="R163" t="s">
        <v>1962</v>
      </c>
      <c r="T163" t="s">
        <v>1671</v>
      </c>
      <c r="V163" t="s">
        <v>1972</v>
      </c>
      <c r="X163" t="s">
        <v>1991</v>
      </c>
      <c r="Y163">
        <v>948</v>
      </c>
      <c r="Z163" t="s">
        <v>2006</v>
      </c>
      <c r="AA163" t="s">
        <v>2015</v>
      </c>
      <c r="AC163" t="s">
        <v>2182</v>
      </c>
      <c r="AD163" t="s">
        <v>2609</v>
      </c>
      <c r="AE163">
        <v>146</v>
      </c>
      <c r="AF163" t="s">
        <v>2902</v>
      </c>
      <c r="AG163" t="s">
        <v>2919</v>
      </c>
      <c r="AH163">
        <v>12</v>
      </c>
      <c r="AJ163">
        <v>1</v>
      </c>
      <c r="AK163">
        <v>2</v>
      </c>
      <c r="AL163">
        <v>45.74</v>
      </c>
      <c r="AO163" t="s">
        <v>2926</v>
      </c>
      <c r="AP163">
        <v>9756</v>
      </c>
      <c r="AV163">
        <v>2.6</v>
      </c>
      <c r="AW163" t="s">
        <v>346</v>
      </c>
      <c r="AX163" t="s">
        <v>3047</v>
      </c>
    </row>
    <row r="164" spans="1:50">
      <c r="A164" s="1">
        <f>HYPERLINK("https://lsnyc.legalserver.org/matter/dynamic-profile/view/1898098","19-1898098")</f>
        <v>0</v>
      </c>
      <c r="B164" t="s">
        <v>50</v>
      </c>
      <c r="C164" t="s">
        <v>90</v>
      </c>
      <c r="D164" t="s">
        <v>163</v>
      </c>
      <c r="E164" t="s">
        <v>275</v>
      </c>
      <c r="G164" t="s">
        <v>533</v>
      </c>
      <c r="H164" t="s">
        <v>897</v>
      </c>
      <c r="I164" t="s">
        <v>1232</v>
      </c>
      <c r="J164" t="s">
        <v>1544</v>
      </c>
      <c r="K164" t="s">
        <v>1646</v>
      </c>
      <c r="L164">
        <v>10301</v>
      </c>
      <c r="M164" t="s">
        <v>1670</v>
      </c>
      <c r="Q164" t="s">
        <v>1948</v>
      </c>
      <c r="R164" t="s">
        <v>1960</v>
      </c>
      <c r="T164" t="s">
        <v>1671</v>
      </c>
      <c r="V164" t="s">
        <v>1972</v>
      </c>
      <c r="W164" t="s">
        <v>1984</v>
      </c>
      <c r="X164" t="s">
        <v>275</v>
      </c>
      <c r="Y164">
        <v>2186</v>
      </c>
      <c r="Z164" t="s">
        <v>2010</v>
      </c>
      <c r="AA164" t="s">
        <v>2014</v>
      </c>
      <c r="AC164" t="s">
        <v>2183</v>
      </c>
      <c r="AD164" t="s">
        <v>2610</v>
      </c>
      <c r="AE164">
        <v>2</v>
      </c>
      <c r="AF164" t="s">
        <v>2903</v>
      </c>
      <c r="AG164" t="s">
        <v>2915</v>
      </c>
      <c r="AH164">
        <v>2</v>
      </c>
      <c r="AJ164">
        <v>2</v>
      </c>
      <c r="AK164">
        <v>2</v>
      </c>
      <c r="AL164">
        <v>109.1</v>
      </c>
      <c r="AO164" t="s">
        <v>2926</v>
      </c>
      <c r="AP164">
        <v>28092</v>
      </c>
      <c r="AV164">
        <v>18.4</v>
      </c>
      <c r="AW164" t="s">
        <v>396</v>
      </c>
      <c r="AX164" t="s">
        <v>3050</v>
      </c>
    </row>
    <row r="165" spans="1:50">
      <c r="A165" s="1">
        <f>HYPERLINK("https://lsnyc.legalserver.org/matter/dynamic-profile/view/1890403","19-1890403")</f>
        <v>0</v>
      </c>
      <c r="B165" t="s">
        <v>50</v>
      </c>
      <c r="C165" t="s">
        <v>64</v>
      </c>
      <c r="D165" t="s">
        <v>164</v>
      </c>
      <c r="E165" t="s">
        <v>248</v>
      </c>
      <c r="F165" t="s">
        <v>208</v>
      </c>
      <c r="G165" t="s">
        <v>534</v>
      </c>
      <c r="H165" t="s">
        <v>843</v>
      </c>
      <c r="I165" t="s">
        <v>1233</v>
      </c>
      <c r="J165" t="s">
        <v>1558</v>
      </c>
      <c r="K165" t="s">
        <v>1643</v>
      </c>
      <c r="L165">
        <v>10033</v>
      </c>
      <c r="M165" t="s">
        <v>1670</v>
      </c>
      <c r="Q165" t="s">
        <v>1940</v>
      </c>
      <c r="R165" t="s">
        <v>1958</v>
      </c>
      <c r="S165" t="s">
        <v>1965</v>
      </c>
      <c r="T165" t="s">
        <v>1671</v>
      </c>
      <c r="V165" t="s">
        <v>1972</v>
      </c>
      <c r="X165" t="s">
        <v>248</v>
      </c>
      <c r="Y165">
        <v>1055</v>
      </c>
      <c r="Z165" t="s">
        <v>2008</v>
      </c>
      <c r="AA165" t="s">
        <v>2020</v>
      </c>
      <c r="AB165" t="s">
        <v>2029</v>
      </c>
      <c r="AC165" t="s">
        <v>2184</v>
      </c>
      <c r="AD165" t="s">
        <v>2611</v>
      </c>
      <c r="AE165">
        <v>57</v>
      </c>
      <c r="AF165" t="s">
        <v>2902</v>
      </c>
      <c r="AG165" t="s">
        <v>2919</v>
      </c>
      <c r="AH165">
        <v>26</v>
      </c>
      <c r="AJ165">
        <v>2</v>
      </c>
      <c r="AK165">
        <v>1</v>
      </c>
      <c r="AL165">
        <v>42.19</v>
      </c>
      <c r="AO165" t="s">
        <v>2927</v>
      </c>
      <c r="AP165">
        <v>9000</v>
      </c>
      <c r="AV165">
        <v>1</v>
      </c>
      <c r="AW165" t="s">
        <v>248</v>
      </c>
      <c r="AX165" t="s">
        <v>3042</v>
      </c>
    </row>
    <row r="166" spans="1:50">
      <c r="A166" s="1">
        <f>HYPERLINK("https://lsnyc.legalserver.org/matter/dynamic-profile/view/0796053","16-0796053")</f>
        <v>0</v>
      </c>
      <c r="B166" t="s">
        <v>50</v>
      </c>
      <c r="C166" t="s">
        <v>123</v>
      </c>
      <c r="D166" t="s">
        <v>163</v>
      </c>
      <c r="E166" t="s">
        <v>276</v>
      </c>
      <c r="G166" t="s">
        <v>535</v>
      </c>
      <c r="H166" t="s">
        <v>898</v>
      </c>
      <c r="I166" t="s">
        <v>1234</v>
      </c>
      <c r="J166" t="s">
        <v>1559</v>
      </c>
      <c r="K166" t="s">
        <v>1641</v>
      </c>
      <c r="L166">
        <v>10452</v>
      </c>
      <c r="M166" t="s">
        <v>1670</v>
      </c>
      <c r="P166" t="s">
        <v>1765</v>
      </c>
      <c r="Q166" t="s">
        <v>1949</v>
      </c>
      <c r="R166" t="s">
        <v>1961</v>
      </c>
      <c r="T166" t="s">
        <v>1670</v>
      </c>
      <c r="V166" t="s">
        <v>1972</v>
      </c>
      <c r="X166" t="s">
        <v>1989</v>
      </c>
      <c r="Y166">
        <v>1088.6</v>
      </c>
      <c r="Z166" t="s">
        <v>2006</v>
      </c>
      <c r="AA166" t="s">
        <v>2015</v>
      </c>
      <c r="AC166" t="s">
        <v>2185</v>
      </c>
      <c r="AD166" t="s">
        <v>2612</v>
      </c>
      <c r="AE166">
        <v>122</v>
      </c>
      <c r="AF166" t="s">
        <v>2902</v>
      </c>
      <c r="AG166" t="s">
        <v>1754</v>
      </c>
      <c r="AH166">
        <v>3</v>
      </c>
      <c r="AJ166">
        <v>2</v>
      </c>
      <c r="AK166">
        <v>4</v>
      </c>
      <c r="AL166">
        <v>95.79000000000001</v>
      </c>
      <c r="AO166" t="s">
        <v>2926</v>
      </c>
      <c r="AP166">
        <v>31200</v>
      </c>
      <c r="AQ166" t="s">
        <v>2946</v>
      </c>
      <c r="AV166">
        <v>2.85</v>
      </c>
      <c r="AW166" t="s">
        <v>245</v>
      </c>
      <c r="AX166" t="s">
        <v>3076</v>
      </c>
    </row>
    <row r="167" spans="1:50">
      <c r="A167" s="1">
        <f>HYPERLINK("https://lsnyc.legalserver.org/matter/dynamic-profile/view/1889682","19-1889682")</f>
        <v>0</v>
      </c>
      <c r="B167" t="s">
        <v>50</v>
      </c>
      <c r="C167" t="s">
        <v>123</v>
      </c>
      <c r="D167" t="s">
        <v>164</v>
      </c>
      <c r="E167" t="s">
        <v>277</v>
      </c>
      <c r="F167" t="s">
        <v>239</v>
      </c>
      <c r="G167" t="s">
        <v>535</v>
      </c>
      <c r="H167" t="s">
        <v>898</v>
      </c>
      <c r="I167" t="s">
        <v>1234</v>
      </c>
      <c r="J167" t="s">
        <v>1559</v>
      </c>
      <c r="K167" t="s">
        <v>1641</v>
      </c>
      <c r="L167">
        <v>10452</v>
      </c>
      <c r="M167" t="s">
        <v>1670</v>
      </c>
      <c r="Q167" t="s">
        <v>1675</v>
      </c>
      <c r="R167" t="s">
        <v>1959</v>
      </c>
      <c r="S167" t="s">
        <v>1967</v>
      </c>
      <c r="T167" t="s">
        <v>1671</v>
      </c>
      <c r="V167" t="s">
        <v>1972</v>
      </c>
      <c r="X167" t="s">
        <v>277</v>
      </c>
      <c r="Y167">
        <v>1129.77</v>
      </c>
      <c r="Z167" t="s">
        <v>2006</v>
      </c>
      <c r="AA167" t="s">
        <v>2013</v>
      </c>
      <c r="AB167" t="s">
        <v>2030</v>
      </c>
      <c r="AC167" t="s">
        <v>2185</v>
      </c>
      <c r="AD167" t="s">
        <v>2612</v>
      </c>
      <c r="AE167">
        <v>121</v>
      </c>
      <c r="AF167" t="s">
        <v>2902</v>
      </c>
      <c r="AG167" t="s">
        <v>1754</v>
      </c>
      <c r="AH167">
        <v>4</v>
      </c>
      <c r="AJ167">
        <v>2</v>
      </c>
      <c r="AK167">
        <v>4</v>
      </c>
      <c r="AL167">
        <v>114.19</v>
      </c>
      <c r="AO167" t="s">
        <v>2926</v>
      </c>
      <c r="AP167">
        <v>39500</v>
      </c>
      <c r="AV167">
        <v>1</v>
      </c>
      <c r="AW167" t="s">
        <v>277</v>
      </c>
      <c r="AX167" t="s">
        <v>3047</v>
      </c>
    </row>
    <row r="168" spans="1:50">
      <c r="A168" s="1">
        <f>HYPERLINK("https://lsnyc.legalserver.org/matter/dynamic-profile/view/1881034","18-1881034")</f>
        <v>0</v>
      </c>
      <c r="B168" t="s">
        <v>50</v>
      </c>
      <c r="C168" t="s">
        <v>123</v>
      </c>
      <c r="D168" t="s">
        <v>164</v>
      </c>
      <c r="E168" t="s">
        <v>278</v>
      </c>
      <c r="F168" t="s">
        <v>183</v>
      </c>
      <c r="G168" t="s">
        <v>536</v>
      </c>
      <c r="H168" t="s">
        <v>899</v>
      </c>
      <c r="I168" t="s">
        <v>1234</v>
      </c>
      <c r="J168" t="s">
        <v>1560</v>
      </c>
      <c r="K168" t="s">
        <v>1641</v>
      </c>
      <c r="L168">
        <v>10452</v>
      </c>
      <c r="M168" t="s">
        <v>1670</v>
      </c>
      <c r="P168" t="s">
        <v>1766</v>
      </c>
      <c r="Q168" t="s">
        <v>1936</v>
      </c>
      <c r="R168" t="s">
        <v>1960</v>
      </c>
      <c r="S168" t="s">
        <v>1969</v>
      </c>
      <c r="T168" t="s">
        <v>1671</v>
      </c>
      <c r="V168" t="s">
        <v>1972</v>
      </c>
      <c r="W168" t="s">
        <v>1984</v>
      </c>
      <c r="X168" t="s">
        <v>278</v>
      </c>
      <c r="Y168">
        <v>1507</v>
      </c>
      <c r="Z168" t="s">
        <v>2006</v>
      </c>
      <c r="AA168" t="s">
        <v>2020</v>
      </c>
      <c r="AB168" t="s">
        <v>2033</v>
      </c>
      <c r="AC168" t="s">
        <v>2186</v>
      </c>
      <c r="AD168" t="s">
        <v>2613</v>
      </c>
      <c r="AE168">
        <v>122</v>
      </c>
      <c r="AF168" t="s">
        <v>2902</v>
      </c>
      <c r="AG168" t="s">
        <v>1754</v>
      </c>
      <c r="AH168">
        <v>6</v>
      </c>
      <c r="AJ168">
        <v>2</v>
      </c>
      <c r="AK168">
        <v>2</v>
      </c>
      <c r="AL168">
        <v>159.36</v>
      </c>
      <c r="AO168" t="s">
        <v>2926</v>
      </c>
      <c r="AP168">
        <v>40000</v>
      </c>
      <c r="AR168" t="s">
        <v>2979</v>
      </c>
      <c r="AS168" t="s">
        <v>2987</v>
      </c>
      <c r="AU168" t="s">
        <v>3011</v>
      </c>
      <c r="AV168">
        <v>2.6</v>
      </c>
      <c r="AW168" t="s">
        <v>221</v>
      </c>
      <c r="AX168" t="s">
        <v>123</v>
      </c>
    </row>
    <row r="169" spans="1:50">
      <c r="A169" s="1">
        <f>HYPERLINK("https://lsnyc.legalserver.org/matter/dynamic-profile/view/1881652","18-1881652")</f>
        <v>0</v>
      </c>
      <c r="B169" t="s">
        <v>50</v>
      </c>
      <c r="C169" t="s">
        <v>100</v>
      </c>
      <c r="D169" t="s">
        <v>164</v>
      </c>
      <c r="E169" t="s">
        <v>279</v>
      </c>
      <c r="F169" t="s">
        <v>279</v>
      </c>
      <c r="G169" t="s">
        <v>537</v>
      </c>
      <c r="H169" t="s">
        <v>900</v>
      </c>
      <c r="I169" t="s">
        <v>1235</v>
      </c>
      <c r="J169">
        <v>704</v>
      </c>
      <c r="K169" t="s">
        <v>1643</v>
      </c>
      <c r="L169">
        <v>10029</v>
      </c>
      <c r="M169" t="s">
        <v>1670</v>
      </c>
      <c r="Q169" t="s">
        <v>1941</v>
      </c>
      <c r="R169" t="s">
        <v>1962</v>
      </c>
      <c r="S169" t="s">
        <v>1968</v>
      </c>
      <c r="T169" t="s">
        <v>1671</v>
      </c>
      <c r="V169" t="s">
        <v>1972</v>
      </c>
      <c r="X169" t="s">
        <v>279</v>
      </c>
      <c r="Y169">
        <v>14</v>
      </c>
      <c r="Z169" t="s">
        <v>2008</v>
      </c>
      <c r="AA169" t="s">
        <v>2020</v>
      </c>
      <c r="AB169" t="s">
        <v>2030</v>
      </c>
      <c r="AC169" t="s">
        <v>2187</v>
      </c>
      <c r="AD169" t="s">
        <v>2614</v>
      </c>
      <c r="AE169">
        <v>426</v>
      </c>
      <c r="AF169" t="s">
        <v>2906</v>
      </c>
      <c r="AG169" t="s">
        <v>2917</v>
      </c>
      <c r="AH169">
        <v>0</v>
      </c>
      <c r="AJ169">
        <v>3</v>
      </c>
      <c r="AK169">
        <v>2</v>
      </c>
      <c r="AL169">
        <v>30.71</v>
      </c>
      <c r="AO169" t="s">
        <v>2926</v>
      </c>
      <c r="AP169">
        <v>9036</v>
      </c>
      <c r="AQ169" t="s">
        <v>2947</v>
      </c>
      <c r="AV169">
        <v>0</v>
      </c>
      <c r="AX169" t="s">
        <v>3077</v>
      </c>
    </row>
    <row r="170" spans="1:50">
      <c r="A170" s="1">
        <f>HYPERLINK("https://lsnyc.legalserver.org/matter/dynamic-profile/view/1871051","18-1871051")</f>
        <v>0</v>
      </c>
      <c r="B170" t="s">
        <v>50</v>
      </c>
      <c r="C170" t="s">
        <v>127</v>
      </c>
      <c r="D170" t="s">
        <v>164</v>
      </c>
      <c r="E170" t="s">
        <v>280</v>
      </c>
      <c r="F170" t="s">
        <v>173</v>
      </c>
      <c r="G170" t="s">
        <v>538</v>
      </c>
      <c r="H170" t="s">
        <v>901</v>
      </c>
      <c r="I170" t="s">
        <v>1236</v>
      </c>
      <c r="J170" t="s">
        <v>1561</v>
      </c>
      <c r="K170" t="s">
        <v>1644</v>
      </c>
      <c r="L170">
        <v>11208</v>
      </c>
      <c r="M170" t="s">
        <v>1670</v>
      </c>
      <c r="P170" t="s">
        <v>1767</v>
      </c>
      <c r="Q170" t="s">
        <v>1940</v>
      </c>
      <c r="R170" t="s">
        <v>1962</v>
      </c>
      <c r="S170" t="s">
        <v>1968</v>
      </c>
      <c r="V170" t="s">
        <v>1972</v>
      </c>
      <c r="X170" t="s">
        <v>1997</v>
      </c>
      <c r="Y170">
        <v>0</v>
      </c>
      <c r="Z170" t="s">
        <v>2009</v>
      </c>
      <c r="AA170" t="s">
        <v>2018</v>
      </c>
      <c r="AB170" t="s">
        <v>2038</v>
      </c>
      <c r="AC170" t="s">
        <v>2188</v>
      </c>
      <c r="AD170" t="s">
        <v>2615</v>
      </c>
      <c r="AE170">
        <v>1</v>
      </c>
      <c r="AF170" t="s">
        <v>2903</v>
      </c>
      <c r="AH170">
        <v>13</v>
      </c>
      <c r="AJ170">
        <v>8</v>
      </c>
      <c r="AK170">
        <v>4</v>
      </c>
      <c r="AL170">
        <v>0</v>
      </c>
      <c r="AO170" t="s">
        <v>2926</v>
      </c>
      <c r="AP170">
        <v>0</v>
      </c>
      <c r="AQ170" t="s">
        <v>2948</v>
      </c>
      <c r="AV170">
        <v>2.1</v>
      </c>
      <c r="AW170" t="s">
        <v>173</v>
      </c>
      <c r="AX170" t="s">
        <v>3069</v>
      </c>
    </row>
    <row r="171" spans="1:50">
      <c r="A171" s="1">
        <f>HYPERLINK("https://lsnyc.legalserver.org/matter/dynamic-profile/view/1883464","18-1883464")</f>
        <v>0</v>
      </c>
      <c r="B171" t="s">
        <v>50</v>
      </c>
      <c r="C171" t="s">
        <v>128</v>
      </c>
      <c r="D171" t="s">
        <v>164</v>
      </c>
      <c r="E171" t="s">
        <v>281</v>
      </c>
      <c r="F171" t="s">
        <v>359</v>
      </c>
      <c r="G171" t="s">
        <v>539</v>
      </c>
      <c r="H171" t="s">
        <v>896</v>
      </c>
      <c r="I171" t="s">
        <v>1237</v>
      </c>
      <c r="J171" t="s">
        <v>1562</v>
      </c>
      <c r="K171" t="s">
        <v>1641</v>
      </c>
      <c r="L171">
        <v>10457</v>
      </c>
      <c r="M171" t="s">
        <v>1670</v>
      </c>
      <c r="P171" t="s">
        <v>1754</v>
      </c>
      <c r="Q171" t="s">
        <v>1941</v>
      </c>
      <c r="R171" t="s">
        <v>1958</v>
      </c>
      <c r="S171" t="s">
        <v>1965</v>
      </c>
      <c r="T171" t="s">
        <v>1671</v>
      </c>
      <c r="V171" t="s">
        <v>1972</v>
      </c>
      <c r="W171" t="s">
        <v>1984</v>
      </c>
      <c r="X171" t="s">
        <v>281</v>
      </c>
      <c r="Y171">
        <v>595</v>
      </c>
      <c r="Z171" t="s">
        <v>2006</v>
      </c>
      <c r="AA171" t="s">
        <v>2013</v>
      </c>
      <c r="AB171" t="s">
        <v>2029</v>
      </c>
      <c r="AC171" t="s">
        <v>2189</v>
      </c>
      <c r="AD171" t="s">
        <v>2616</v>
      </c>
      <c r="AE171">
        <v>43</v>
      </c>
      <c r="AF171" t="s">
        <v>2908</v>
      </c>
      <c r="AG171" t="s">
        <v>1754</v>
      </c>
      <c r="AH171">
        <v>15</v>
      </c>
      <c r="AJ171">
        <v>3</v>
      </c>
      <c r="AK171">
        <v>4</v>
      </c>
      <c r="AL171">
        <v>165.72</v>
      </c>
      <c r="AO171" t="s">
        <v>2926</v>
      </c>
      <c r="AP171">
        <v>63072</v>
      </c>
      <c r="AQ171" t="s">
        <v>2949</v>
      </c>
      <c r="AV171">
        <v>2.5</v>
      </c>
      <c r="AW171" t="s">
        <v>267</v>
      </c>
      <c r="AX171" t="s">
        <v>3058</v>
      </c>
    </row>
    <row r="172" spans="1:50">
      <c r="A172" s="1">
        <f>HYPERLINK("https://lsnyc.legalserver.org/matter/dynamic-profile/view/1902317","19-1902317")</f>
        <v>0</v>
      </c>
      <c r="B172" t="s">
        <v>50</v>
      </c>
      <c r="C172" t="s">
        <v>115</v>
      </c>
      <c r="D172" t="s">
        <v>163</v>
      </c>
      <c r="E172" t="s">
        <v>268</v>
      </c>
      <c r="G172" t="s">
        <v>540</v>
      </c>
      <c r="H172" t="s">
        <v>902</v>
      </c>
      <c r="I172" t="s">
        <v>1238</v>
      </c>
      <c r="J172" t="s">
        <v>1563</v>
      </c>
      <c r="K172" t="s">
        <v>1641</v>
      </c>
      <c r="L172">
        <v>10453</v>
      </c>
      <c r="M172" t="s">
        <v>1670</v>
      </c>
      <c r="Q172" t="s">
        <v>1675</v>
      </c>
      <c r="R172" t="s">
        <v>1958</v>
      </c>
      <c r="T172" t="s">
        <v>1671</v>
      </c>
      <c r="V172" t="s">
        <v>1972</v>
      </c>
      <c r="X172" t="s">
        <v>1991</v>
      </c>
      <c r="Y172">
        <v>942.33</v>
      </c>
      <c r="Z172" t="s">
        <v>2006</v>
      </c>
      <c r="AA172" t="s">
        <v>2015</v>
      </c>
      <c r="AC172" t="s">
        <v>2190</v>
      </c>
      <c r="AD172" t="s">
        <v>2617</v>
      </c>
      <c r="AE172">
        <v>37</v>
      </c>
      <c r="AF172" t="s">
        <v>2902</v>
      </c>
      <c r="AG172" t="s">
        <v>1754</v>
      </c>
      <c r="AH172">
        <v>4</v>
      </c>
      <c r="AJ172">
        <v>2</v>
      </c>
      <c r="AK172">
        <v>2</v>
      </c>
      <c r="AL172">
        <v>46.6</v>
      </c>
      <c r="AO172" t="s">
        <v>2017</v>
      </c>
      <c r="AP172">
        <v>12000</v>
      </c>
      <c r="AV172">
        <v>1.2</v>
      </c>
      <c r="AW172" t="s">
        <v>396</v>
      </c>
      <c r="AX172" t="s">
        <v>115</v>
      </c>
    </row>
    <row r="173" spans="1:50">
      <c r="A173" s="1">
        <f>HYPERLINK("https://lsnyc.legalserver.org/matter/dynamic-profile/view/1884267","18-1884267")</f>
        <v>0</v>
      </c>
      <c r="B173" t="s">
        <v>50</v>
      </c>
      <c r="C173" t="s">
        <v>129</v>
      </c>
      <c r="D173" t="s">
        <v>163</v>
      </c>
      <c r="E173" t="s">
        <v>224</v>
      </c>
      <c r="G173" t="s">
        <v>541</v>
      </c>
      <c r="H173" t="s">
        <v>877</v>
      </c>
      <c r="I173" t="s">
        <v>1239</v>
      </c>
      <c r="J173" t="s">
        <v>1539</v>
      </c>
      <c r="K173" t="s">
        <v>1644</v>
      </c>
      <c r="L173">
        <v>11208</v>
      </c>
      <c r="M173" t="s">
        <v>1670</v>
      </c>
      <c r="Q173" t="s">
        <v>1950</v>
      </c>
      <c r="R173" t="s">
        <v>1959</v>
      </c>
      <c r="V173" t="s">
        <v>1974</v>
      </c>
      <c r="X173" t="s">
        <v>362</v>
      </c>
      <c r="Y173">
        <v>0</v>
      </c>
      <c r="Z173" t="s">
        <v>2009</v>
      </c>
      <c r="AC173" t="s">
        <v>2191</v>
      </c>
      <c r="AD173" t="s">
        <v>2618</v>
      </c>
      <c r="AE173">
        <v>0</v>
      </c>
      <c r="AH173">
        <v>0</v>
      </c>
      <c r="AJ173">
        <v>2</v>
      </c>
      <c r="AK173">
        <v>1</v>
      </c>
      <c r="AL173">
        <v>17.32</v>
      </c>
      <c r="AO173" t="s">
        <v>2926</v>
      </c>
      <c r="AP173">
        <v>3600</v>
      </c>
      <c r="AV173">
        <v>14.7</v>
      </c>
      <c r="AW173" t="s">
        <v>273</v>
      </c>
      <c r="AX173" t="s">
        <v>129</v>
      </c>
    </row>
    <row r="174" spans="1:50">
      <c r="A174" s="1">
        <f>HYPERLINK("https://lsnyc.legalserver.org/matter/dynamic-profile/view/1891451","19-1891451")</f>
        <v>0</v>
      </c>
      <c r="B174" t="s">
        <v>50</v>
      </c>
      <c r="C174" t="s">
        <v>71</v>
      </c>
      <c r="D174" t="s">
        <v>164</v>
      </c>
      <c r="E174" t="s">
        <v>199</v>
      </c>
      <c r="F174" t="s">
        <v>389</v>
      </c>
      <c r="G174" t="s">
        <v>542</v>
      </c>
      <c r="H174" t="s">
        <v>903</v>
      </c>
      <c r="I174" t="s">
        <v>1240</v>
      </c>
      <c r="J174" t="s">
        <v>1564</v>
      </c>
      <c r="K174" t="s">
        <v>1646</v>
      </c>
      <c r="L174">
        <v>10305</v>
      </c>
      <c r="M174" t="s">
        <v>1670</v>
      </c>
      <c r="P174" t="s">
        <v>1768</v>
      </c>
      <c r="Q174" t="s">
        <v>1936</v>
      </c>
      <c r="R174" t="s">
        <v>1960</v>
      </c>
      <c r="S174" t="s">
        <v>1969</v>
      </c>
      <c r="T174" t="s">
        <v>1671</v>
      </c>
      <c r="V174" t="s">
        <v>1972</v>
      </c>
      <c r="W174" t="s">
        <v>1984</v>
      </c>
      <c r="X174" t="s">
        <v>199</v>
      </c>
      <c r="Y174">
        <v>1300</v>
      </c>
      <c r="Z174" t="s">
        <v>2010</v>
      </c>
      <c r="AA174" t="s">
        <v>2013</v>
      </c>
      <c r="AB174" t="s">
        <v>2032</v>
      </c>
      <c r="AC174" t="s">
        <v>2192</v>
      </c>
      <c r="AD174" t="s">
        <v>2619</v>
      </c>
      <c r="AE174">
        <v>3</v>
      </c>
      <c r="AF174" t="s">
        <v>2903</v>
      </c>
      <c r="AG174" t="s">
        <v>1754</v>
      </c>
      <c r="AH174">
        <v>0</v>
      </c>
      <c r="AJ174">
        <v>2</v>
      </c>
      <c r="AK174">
        <v>1</v>
      </c>
      <c r="AL174">
        <v>101.27</v>
      </c>
      <c r="AO174" t="s">
        <v>2926</v>
      </c>
      <c r="AP174">
        <v>21600</v>
      </c>
      <c r="AR174" t="s">
        <v>2979</v>
      </c>
      <c r="AS174" t="s">
        <v>2982</v>
      </c>
      <c r="AT174" t="s">
        <v>2992</v>
      </c>
      <c r="AU174" t="s">
        <v>2998</v>
      </c>
      <c r="AV174">
        <v>19.65</v>
      </c>
      <c r="AW174" t="s">
        <v>389</v>
      </c>
      <c r="AX174" t="s">
        <v>3056</v>
      </c>
    </row>
    <row r="175" spans="1:50">
      <c r="A175" s="1">
        <f>HYPERLINK("https://lsnyc.legalserver.org/matter/dynamic-profile/view/1880608","18-1880608")</f>
        <v>0</v>
      </c>
      <c r="B175" t="s">
        <v>50</v>
      </c>
      <c r="C175" t="s">
        <v>57</v>
      </c>
      <c r="D175" t="s">
        <v>163</v>
      </c>
      <c r="E175" t="s">
        <v>245</v>
      </c>
      <c r="G175" t="s">
        <v>543</v>
      </c>
      <c r="H175" t="s">
        <v>904</v>
      </c>
      <c r="I175" t="s">
        <v>1193</v>
      </c>
      <c r="J175" t="s">
        <v>1501</v>
      </c>
      <c r="K175" t="s">
        <v>1641</v>
      </c>
      <c r="L175">
        <v>10456</v>
      </c>
      <c r="M175" t="s">
        <v>1670</v>
      </c>
      <c r="P175" t="s">
        <v>1736</v>
      </c>
      <c r="Q175" t="s">
        <v>1938</v>
      </c>
      <c r="R175" t="s">
        <v>1961</v>
      </c>
      <c r="T175" t="s">
        <v>1670</v>
      </c>
      <c r="V175" t="s">
        <v>1972</v>
      </c>
      <c r="X175" t="s">
        <v>219</v>
      </c>
      <c r="Y175">
        <v>966.71</v>
      </c>
      <c r="Z175" t="s">
        <v>2006</v>
      </c>
      <c r="AA175" t="s">
        <v>2015</v>
      </c>
      <c r="AC175" t="s">
        <v>2193</v>
      </c>
      <c r="AD175" t="s">
        <v>2620</v>
      </c>
      <c r="AE175">
        <v>61</v>
      </c>
      <c r="AF175" t="s">
        <v>2902</v>
      </c>
      <c r="AG175" t="s">
        <v>1754</v>
      </c>
      <c r="AH175">
        <v>27</v>
      </c>
      <c r="AJ175">
        <v>2</v>
      </c>
      <c r="AK175">
        <v>2</v>
      </c>
      <c r="AL175">
        <v>111.55</v>
      </c>
      <c r="AO175" t="s">
        <v>2926</v>
      </c>
      <c r="AP175">
        <v>28000</v>
      </c>
      <c r="AV175">
        <v>0</v>
      </c>
      <c r="AX175" t="s">
        <v>3046</v>
      </c>
    </row>
    <row r="176" spans="1:50">
      <c r="A176" s="1">
        <f>HYPERLINK("https://lsnyc.legalserver.org/matter/dynamic-profile/view/1901607","19-1901607")</f>
        <v>0</v>
      </c>
      <c r="B176" t="s">
        <v>50</v>
      </c>
      <c r="C176" t="s">
        <v>111</v>
      </c>
      <c r="D176" t="s">
        <v>164</v>
      </c>
      <c r="E176" t="s">
        <v>249</v>
      </c>
      <c r="F176" t="s">
        <v>389</v>
      </c>
      <c r="G176" t="s">
        <v>544</v>
      </c>
      <c r="H176" t="s">
        <v>806</v>
      </c>
      <c r="I176" t="s">
        <v>1241</v>
      </c>
      <c r="J176" t="s">
        <v>1565</v>
      </c>
      <c r="K176" t="s">
        <v>1641</v>
      </c>
      <c r="L176">
        <v>10457</v>
      </c>
      <c r="M176" t="s">
        <v>1670</v>
      </c>
      <c r="P176" t="s">
        <v>1691</v>
      </c>
      <c r="Q176" t="s">
        <v>1940</v>
      </c>
      <c r="R176" t="s">
        <v>1958</v>
      </c>
      <c r="S176" t="s">
        <v>1965</v>
      </c>
      <c r="T176" t="s">
        <v>1671</v>
      </c>
      <c r="V176" t="s">
        <v>1972</v>
      </c>
      <c r="X176" t="s">
        <v>1991</v>
      </c>
      <c r="Y176">
        <v>1476.04</v>
      </c>
      <c r="Z176" t="s">
        <v>2006</v>
      </c>
      <c r="AA176" t="s">
        <v>2015</v>
      </c>
      <c r="AB176" t="s">
        <v>2029</v>
      </c>
      <c r="AC176" t="s">
        <v>2194</v>
      </c>
      <c r="AD176" t="s">
        <v>2621</v>
      </c>
      <c r="AE176">
        <v>222</v>
      </c>
      <c r="AF176" t="s">
        <v>2902</v>
      </c>
      <c r="AG176" t="s">
        <v>1754</v>
      </c>
      <c r="AH176">
        <v>8</v>
      </c>
      <c r="AJ176">
        <v>4</v>
      </c>
      <c r="AK176">
        <v>1</v>
      </c>
      <c r="AL176">
        <v>103.41</v>
      </c>
      <c r="AO176" t="s">
        <v>2927</v>
      </c>
      <c r="AP176">
        <v>31200</v>
      </c>
      <c r="AV176">
        <v>0.5</v>
      </c>
      <c r="AW176" t="s">
        <v>249</v>
      </c>
      <c r="AX176" t="s">
        <v>3047</v>
      </c>
    </row>
    <row r="177" spans="1:50">
      <c r="A177" s="1">
        <f>HYPERLINK("https://lsnyc.legalserver.org/matter/dynamic-profile/view/1877043","18-1877043")</f>
        <v>0</v>
      </c>
      <c r="B177" t="s">
        <v>50</v>
      </c>
      <c r="C177" t="s">
        <v>59</v>
      </c>
      <c r="D177" t="s">
        <v>164</v>
      </c>
      <c r="E177" t="s">
        <v>264</v>
      </c>
      <c r="F177" t="s">
        <v>391</v>
      </c>
      <c r="G177" t="s">
        <v>544</v>
      </c>
      <c r="H177" t="s">
        <v>806</v>
      </c>
      <c r="I177" t="s">
        <v>1241</v>
      </c>
      <c r="J177" t="s">
        <v>1565</v>
      </c>
      <c r="K177" t="s">
        <v>1641</v>
      </c>
      <c r="L177">
        <v>10457</v>
      </c>
      <c r="M177" t="s">
        <v>1670</v>
      </c>
      <c r="Q177" t="s">
        <v>1936</v>
      </c>
      <c r="R177" t="s">
        <v>1958</v>
      </c>
      <c r="S177" t="s">
        <v>1965</v>
      </c>
      <c r="T177" t="s">
        <v>1671</v>
      </c>
      <c r="V177" t="s">
        <v>1972</v>
      </c>
      <c r="W177" t="s">
        <v>1984</v>
      </c>
      <c r="X177" t="s">
        <v>250</v>
      </c>
      <c r="Y177">
        <v>1476.04</v>
      </c>
      <c r="Z177" t="s">
        <v>2006</v>
      </c>
      <c r="AA177" t="s">
        <v>2015</v>
      </c>
      <c r="AB177" t="s">
        <v>2029</v>
      </c>
      <c r="AC177" t="s">
        <v>2194</v>
      </c>
      <c r="AD177" t="s">
        <v>2621</v>
      </c>
      <c r="AE177">
        <v>333</v>
      </c>
      <c r="AF177" t="s">
        <v>2902</v>
      </c>
      <c r="AG177" t="s">
        <v>1754</v>
      </c>
      <c r="AH177">
        <v>7</v>
      </c>
      <c r="AJ177">
        <v>5</v>
      </c>
      <c r="AK177">
        <v>1</v>
      </c>
      <c r="AL177">
        <v>164.74</v>
      </c>
      <c r="AO177" t="s">
        <v>2927</v>
      </c>
      <c r="AP177">
        <v>55584</v>
      </c>
      <c r="AV177">
        <v>0.1</v>
      </c>
      <c r="AW177" t="s">
        <v>391</v>
      </c>
      <c r="AX177" t="s">
        <v>3047</v>
      </c>
    </row>
    <row r="178" spans="1:50">
      <c r="A178" s="1">
        <f>HYPERLINK("https://lsnyc.legalserver.org/matter/dynamic-profile/view/1857470","18-1857470")</f>
        <v>0</v>
      </c>
      <c r="B178" t="s">
        <v>50</v>
      </c>
      <c r="C178" t="s">
        <v>59</v>
      </c>
      <c r="D178" t="s">
        <v>163</v>
      </c>
      <c r="E178" t="s">
        <v>282</v>
      </c>
      <c r="G178" t="s">
        <v>545</v>
      </c>
      <c r="H178" t="s">
        <v>905</v>
      </c>
      <c r="I178" t="s">
        <v>1234</v>
      </c>
      <c r="J178" t="s">
        <v>1566</v>
      </c>
      <c r="K178" t="s">
        <v>1641</v>
      </c>
      <c r="L178">
        <v>10452</v>
      </c>
      <c r="M178" t="s">
        <v>1670</v>
      </c>
      <c r="P178" t="s">
        <v>1769</v>
      </c>
      <c r="Q178" t="s">
        <v>1949</v>
      </c>
      <c r="R178" t="s">
        <v>1961</v>
      </c>
      <c r="T178" t="s">
        <v>1670</v>
      </c>
      <c r="V178" t="s">
        <v>1972</v>
      </c>
      <c r="X178" t="s">
        <v>1989</v>
      </c>
      <c r="Y178">
        <v>1050</v>
      </c>
      <c r="Z178" t="s">
        <v>2006</v>
      </c>
      <c r="AA178" t="s">
        <v>2015</v>
      </c>
      <c r="AC178" t="s">
        <v>2195</v>
      </c>
      <c r="AD178" t="s">
        <v>2622</v>
      </c>
      <c r="AE178">
        <v>122</v>
      </c>
      <c r="AF178" t="s">
        <v>2902</v>
      </c>
      <c r="AG178" t="s">
        <v>1754</v>
      </c>
      <c r="AH178">
        <v>16</v>
      </c>
      <c r="AJ178">
        <v>3</v>
      </c>
      <c r="AK178">
        <v>1</v>
      </c>
      <c r="AL178">
        <v>65.04000000000001</v>
      </c>
      <c r="AO178" t="s">
        <v>2926</v>
      </c>
      <c r="AP178">
        <v>16000</v>
      </c>
      <c r="AQ178" t="s">
        <v>2950</v>
      </c>
      <c r="AV178">
        <v>0</v>
      </c>
      <c r="AX178" t="s">
        <v>3054</v>
      </c>
    </row>
    <row r="179" spans="1:50">
      <c r="A179" s="1">
        <f>HYPERLINK("https://lsnyc.legalserver.org/matter/dynamic-profile/view/1895474","19-1895474")</f>
        <v>0</v>
      </c>
      <c r="B179" t="s">
        <v>50</v>
      </c>
      <c r="C179" t="s">
        <v>130</v>
      </c>
      <c r="D179" t="s">
        <v>164</v>
      </c>
      <c r="E179" t="s">
        <v>283</v>
      </c>
      <c r="F179" t="s">
        <v>249</v>
      </c>
      <c r="G179" t="s">
        <v>546</v>
      </c>
      <c r="H179" t="s">
        <v>906</v>
      </c>
      <c r="I179" t="s">
        <v>1242</v>
      </c>
      <c r="K179" t="s">
        <v>1644</v>
      </c>
      <c r="L179">
        <v>11206</v>
      </c>
      <c r="M179" t="s">
        <v>1670</v>
      </c>
      <c r="P179" t="s">
        <v>1687</v>
      </c>
      <c r="Q179" t="s">
        <v>1675</v>
      </c>
      <c r="R179" t="s">
        <v>1962</v>
      </c>
      <c r="S179" t="s">
        <v>1968</v>
      </c>
      <c r="T179" t="s">
        <v>1670</v>
      </c>
      <c r="V179" t="s">
        <v>1972</v>
      </c>
      <c r="X179" t="s">
        <v>326</v>
      </c>
      <c r="Y179">
        <v>588</v>
      </c>
      <c r="Z179" t="s">
        <v>2009</v>
      </c>
      <c r="AA179" t="s">
        <v>2020</v>
      </c>
      <c r="AB179" t="s">
        <v>2030</v>
      </c>
      <c r="AC179" t="s">
        <v>2196</v>
      </c>
      <c r="AD179" t="s">
        <v>2623</v>
      </c>
      <c r="AE179">
        <v>8</v>
      </c>
      <c r="AF179" t="s">
        <v>2902</v>
      </c>
      <c r="AH179">
        <v>4</v>
      </c>
      <c r="AJ179">
        <v>1</v>
      </c>
      <c r="AK179">
        <v>1</v>
      </c>
      <c r="AL179">
        <v>182.14</v>
      </c>
      <c r="AO179" t="s">
        <v>2926</v>
      </c>
      <c r="AP179">
        <v>30800</v>
      </c>
      <c r="AQ179" t="s">
        <v>2951</v>
      </c>
      <c r="AV179">
        <v>0.1</v>
      </c>
      <c r="AW179" t="s">
        <v>249</v>
      </c>
      <c r="AX179" t="s">
        <v>3059</v>
      </c>
    </row>
    <row r="180" spans="1:50">
      <c r="A180" s="1">
        <f>HYPERLINK("https://lsnyc.legalserver.org/matter/dynamic-profile/view/1895465","19-1895465")</f>
        <v>0</v>
      </c>
      <c r="B180" t="s">
        <v>50</v>
      </c>
      <c r="C180" t="s">
        <v>127</v>
      </c>
      <c r="D180" t="s">
        <v>163</v>
      </c>
      <c r="E180" t="s">
        <v>283</v>
      </c>
      <c r="G180" t="s">
        <v>546</v>
      </c>
      <c r="H180" t="s">
        <v>906</v>
      </c>
      <c r="I180" t="s">
        <v>1242</v>
      </c>
      <c r="K180" t="s">
        <v>1644</v>
      </c>
      <c r="L180">
        <v>11206</v>
      </c>
      <c r="M180" t="s">
        <v>1670</v>
      </c>
      <c r="P180" t="s">
        <v>1770</v>
      </c>
      <c r="Q180" t="s">
        <v>1938</v>
      </c>
      <c r="R180" t="s">
        <v>1959</v>
      </c>
      <c r="T180" t="s">
        <v>1670</v>
      </c>
      <c r="V180" t="s">
        <v>1972</v>
      </c>
      <c r="X180" t="s">
        <v>165</v>
      </c>
      <c r="Y180">
        <v>588</v>
      </c>
      <c r="Z180" t="s">
        <v>2009</v>
      </c>
      <c r="AA180" t="s">
        <v>2020</v>
      </c>
      <c r="AC180" t="s">
        <v>2196</v>
      </c>
      <c r="AD180" t="s">
        <v>2623</v>
      </c>
      <c r="AE180">
        <v>8</v>
      </c>
      <c r="AF180" t="s">
        <v>2902</v>
      </c>
      <c r="AH180">
        <v>4</v>
      </c>
      <c r="AJ180">
        <v>1</v>
      </c>
      <c r="AK180">
        <v>1</v>
      </c>
      <c r="AL180">
        <v>182.14</v>
      </c>
      <c r="AO180" t="s">
        <v>2926</v>
      </c>
      <c r="AP180">
        <v>30800</v>
      </c>
      <c r="AQ180" t="s">
        <v>2951</v>
      </c>
      <c r="AV180">
        <v>0.1</v>
      </c>
      <c r="AW180" t="s">
        <v>249</v>
      </c>
      <c r="AX180" t="s">
        <v>3059</v>
      </c>
    </row>
    <row r="181" spans="1:50">
      <c r="A181" s="1">
        <f>HYPERLINK("https://lsnyc.legalserver.org/matter/dynamic-profile/view/1876735","18-1876735")</f>
        <v>0</v>
      </c>
      <c r="B181" t="s">
        <v>50</v>
      </c>
      <c r="C181" t="s">
        <v>64</v>
      </c>
      <c r="D181" t="s">
        <v>163</v>
      </c>
      <c r="E181" t="s">
        <v>284</v>
      </c>
      <c r="G181" t="s">
        <v>547</v>
      </c>
      <c r="H181" t="s">
        <v>907</v>
      </c>
      <c r="I181" t="s">
        <v>1243</v>
      </c>
      <c r="J181" t="s">
        <v>1567</v>
      </c>
      <c r="K181" t="s">
        <v>1643</v>
      </c>
      <c r="L181">
        <v>10033</v>
      </c>
      <c r="M181" t="s">
        <v>1670</v>
      </c>
      <c r="Q181" t="s">
        <v>1939</v>
      </c>
      <c r="R181" t="s">
        <v>1960</v>
      </c>
      <c r="T181" t="s">
        <v>1670</v>
      </c>
      <c r="V181" t="s">
        <v>1972</v>
      </c>
      <c r="X181" t="s">
        <v>284</v>
      </c>
      <c r="Y181">
        <v>1783.78</v>
      </c>
      <c r="Z181" t="s">
        <v>2008</v>
      </c>
      <c r="AA181" t="s">
        <v>2013</v>
      </c>
      <c r="AC181" t="s">
        <v>2197</v>
      </c>
      <c r="AD181" t="s">
        <v>2624</v>
      </c>
      <c r="AE181">
        <v>232</v>
      </c>
      <c r="AF181" t="s">
        <v>2902</v>
      </c>
      <c r="AG181" t="s">
        <v>1754</v>
      </c>
      <c r="AH181">
        <v>6</v>
      </c>
      <c r="AJ181">
        <v>2</v>
      </c>
      <c r="AK181">
        <v>3</v>
      </c>
      <c r="AL181">
        <v>0</v>
      </c>
      <c r="AO181" t="s">
        <v>2927</v>
      </c>
      <c r="AP181">
        <v>0</v>
      </c>
      <c r="AV181">
        <v>0.7</v>
      </c>
      <c r="AW181" t="s">
        <v>206</v>
      </c>
      <c r="AX181" t="s">
        <v>3042</v>
      </c>
    </row>
    <row r="182" spans="1:50">
      <c r="A182" s="1">
        <f>HYPERLINK("https://lsnyc.legalserver.org/matter/dynamic-profile/view/1888678","19-1888678")</f>
        <v>0</v>
      </c>
      <c r="B182" t="s">
        <v>50</v>
      </c>
      <c r="C182" t="s">
        <v>97</v>
      </c>
      <c r="D182" t="s">
        <v>163</v>
      </c>
      <c r="E182" t="s">
        <v>285</v>
      </c>
      <c r="G182" t="s">
        <v>548</v>
      </c>
      <c r="H182" t="s">
        <v>908</v>
      </c>
      <c r="I182" t="s">
        <v>1244</v>
      </c>
      <c r="J182">
        <v>43</v>
      </c>
      <c r="K182" t="s">
        <v>1643</v>
      </c>
      <c r="L182">
        <v>10034</v>
      </c>
      <c r="M182" t="s">
        <v>1670</v>
      </c>
      <c r="P182" t="s">
        <v>1771</v>
      </c>
      <c r="Q182" t="s">
        <v>1939</v>
      </c>
      <c r="R182" t="s">
        <v>1960</v>
      </c>
      <c r="T182" t="s">
        <v>1670</v>
      </c>
      <c r="V182" t="s">
        <v>1972</v>
      </c>
      <c r="X182" t="s">
        <v>285</v>
      </c>
      <c r="Y182">
        <v>1547</v>
      </c>
      <c r="Z182" t="s">
        <v>2008</v>
      </c>
      <c r="AA182" t="s">
        <v>2013</v>
      </c>
      <c r="AC182" t="s">
        <v>2198</v>
      </c>
      <c r="AD182" t="s">
        <v>2625</v>
      </c>
      <c r="AE182">
        <v>25</v>
      </c>
      <c r="AF182" t="s">
        <v>2902</v>
      </c>
      <c r="AG182" t="s">
        <v>1754</v>
      </c>
      <c r="AH182">
        <v>8</v>
      </c>
      <c r="AJ182">
        <v>2</v>
      </c>
      <c r="AK182">
        <v>2</v>
      </c>
      <c r="AL182">
        <v>80.78</v>
      </c>
      <c r="AO182" t="s">
        <v>2927</v>
      </c>
      <c r="AP182">
        <v>20800</v>
      </c>
      <c r="AV182">
        <v>0.5</v>
      </c>
      <c r="AW182" t="s">
        <v>285</v>
      </c>
      <c r="AX182" t="s">
        <v>3042</v>
      </c>
    </row>
    <row r="183" spans="1:50">
      <c r="A183" s="1">
        <f>HYPERLINK("https://lsnyc.legalserver.org/matter/dynamic-profile/view/1892807","19-1892807")</f>
        <v>0</v>
      </c>
      <c r="B183" t="s">
        <v>50</v>
      </c>
      <c r="C183" t="s">
        <v>131</v>
      </c>
      <c r="D183" t="s">
        <v>164</v>
      </c>
      <c r="E183" t="s">
        <v>286</v>
      </c>
      <c r="F183" t="s">
        <v>275</v>
      </c>
      <c r="G183" t="s">
        <v>469</v>
      </c>
      <c r="H183" t="s">
        <v>909</v>
      </c>
      <c r="I183" t="s">
        <v>1245</v>
      </c>
      <c r="J183" t="s">
        <v>1568</v>
      </c>
      <c r="K183" t="s">
        <v>1643</v>
      </c>
      <c r="L183">
        <v>10037</v>
      </c>
      <c r="M183" t="s">
        <v>1670</v>
      </c>
      <c r="Q183" t="s">
        <v>1944</v>
      </c>
      <c r="R183" t="s">
        <v>1959</v>
      </c>
      <c r="S183" t="s">
        <v>1970</v>
      </c>
      <c r="T183" t="s">
        <v>1671</v>
      </c>
      <c r="V183" t="s">
        <v>1976</v>
      </c>
      <c r="W183" t="s">
        <v>1984</v>
      </c>
      <c r="X183" t="s">
        <v>256</v>
      </c>
      <c r="Y183">
        <v>2041</v>
      </c>
      <c r="Z183" t="s">
        <v>2008</v>
      </c>
      <c r="AA183" t="s">
        <v>2021</v>
      </c>
      <c r="AB183" t="s">
        <v>2039</v>
      </c>
      <c r="AC183" t="s">
        <v>2199</v>
      </c>
      <c r="AD183" t="s">
        <v>2626</v>
      </c>
      <c r="AE183">
        <v>108</v>
      </c>
      <c r="AF183" t="s">
        <v>2902</v>
      </c>
      <c r="AG183" t="s">
        <v>2915</v>
      </c>
      <c r="AH183">
        <v>27</v>
      </c>
      <c r="AJ183">
        <v>2</v>
      </c>
      <c r="AK183">
        <v>1</v>
      </c>
      <c r="AL183">
        <v>32.07</v>
      </c>
      <c r="AO183" t="s">
        <v>2926</v>
      </c>
      <c r="AP183">
        <v>6840</v>
      </c>
      <c r="AV183">
        <v>7.75</v>
      </c>
      <c r="AW183" t="s">
        <v>275</v>
      </c>
      <c r="AX183" t="s">
        <v>3051</v>
      </c>
    </row>
    <row r="184" spans="1:50">
      <c r="A184" s="1">
        <f>HYPERLINK("https://lsnyc.legalserver.org/matter/dynamic-profile/view/1874522","18-1874522")</f>
        <v>0</v>
      </c>
      <c r="B184" t="s">
        <v>51</v>
      </c>
      <c r="C184" t="s">
        <v>89</v>
      </c>
      <c r="D184" t="s">
        <v>163</v>
      </c>
      <c r="E184" t="s">
        <v>228</v>
      </c>
      <c r="G184" t="s">
        <v>549</v>
      </c>
      <c r="H184" t="s">
        <v>910</v>
      </c>
      <c r="I184" t="s">
        <v>1246</v>
      </c>
      <c r="J184" t="s">
        <v>1489</v>
      </c>
      <c r="K184" t="s">
        <v>1654</v>
      </c>
      <c r="L184">
        <v>11106</v>
      </c>
      <c r="M184" t="s">
        <v>1670</v>
      </c>
      <c r="P184" t="s">
        <v>1772</v>
      </c>
      <c r="Q184" t="s">
        <v>1938</v>
      </c>
      <c r="R184" t="s">
        <v>1961</v>
      </c>
      <c r="T184" t="s">
        <v>1671</v>
      </c>
      <c r="V184" t="s">
        <v>1972</v>
      </c>
      <c r="W184" t="s">
        <v>1984</v>
      </c>
      <c r="X184" t="s">
        <v>228</v>
      </c>
      <c r="Y184">
        <v>1100</v>
      </c>
      <c r="Z184" t="s">
        <v>2007</v>
      </c>
      <c r="AA184" t="s">
        <v>2012</v>
      </c>
      <c r="AC184" t="s">
        <v>2200</v>
      </c>
      <c r="AD184" t="s">
        <v>2627</v>
      </c>
      <c r="AE184">
        <v>40</v>
      </c>
      <c r="AF184" t="s">
        <v>2902</v>
      </c>
      <c r="AG184" t="s">
        <v>1754</v>
      </c>
      <c r="AH184">
        <v>25</v>
      </c>
      <c r="AJ184">
        <v>6</v>
      </c>
      <c r="AK184">
        <v>4</v>
      </c>
      <c r="AL184">
        <v>16.11</v>
      </c>
      <c r="AM184" t="s">
        <v>2923</v>
      </c>
      <c r="AN184" t="s">
        <v>2924</v>
      </c>
      <c r="AO184" t="s">
        <v>2930</v>
      </c>
      <c r="AP184">
        <v>8220</v>
      </c>
      <c r="AV184">
        <v>10.4</v>
      </c>
      <c r="AW184" t="s">
        <v>283</v>
      </c>
      <c r="AX184" t="s">
        <v>3044</v>
      </c>
    </row>
    <row r="185" spans="1:50">
      <c r="A185" s="1">
        <f>HYPERLINK("https://lsnyc.legalserver.org/matter/dynamic-profile/view/1872098","18-1872098")</f>
        <v>0</v>
      </c>
      <c r="B185" t="s">
        <v>51</v>
      </c>
      <c r="C185" t="s">
        <v>108</v>
      </c>
      <c r="D185" t="s">
        <v>163</v>
      </c>
      <c r="E185" t="s">
        <v>287</v>
      </c>
      <c r="G185" t="s">
        <v>549</v>
      </c>
      <c r="H185" t="s">
        <v>910</v>
      </c>
      <c r="I185" t="s">
        <v>1246</v>
      </c>
      <c r="J185" t="s">
        <v>1489</v>
      </c>
      <c r="K185" t="s">
        <v>1654</v>
      </c>
      <c r="L185">
        <v>11106</v>
      </c>
      <c r="M185" t="s">
        <v>1670</v>
      </c>
      <c r="P185" t="s">
        <v>1772</v>
      </c>
      <c r="Q185" t="s">
        <v>1936</v>
      </c>
      <c r="R185" t="s">
        <v>1960</v>
      </c>
      <c r="T185" t="s">
        <v>1671</v>
      </c>
      <c r="V185" t="s">
        <v>1972</v>
      </c>
      <c r="W185" t="s">
        <v>1983</v>
      </c>
      <c r="X185" t="s">
        <v>1998</v>
      </c>
      <c r="Y185">
        <v>1100</v>
      </c>
      <c r="Z185" t="s">
        <v>2007</v>
      </c>
      <c r="AA185" t="s">
        <v>2012</v>
      </c>
      <c r="AC185" t="s">
        <v>2200</v>
      </c>
      <c r="AD185" t="s">
        <v>2627</v>
      </c>
      <c r="AE185">
        <v>40</v>
      </c>
      <c r="AF185" t="s">
        <v>2902</v>
      </c>
      <c r="AG185" t="s">
        <v>1754</v>
      </c>
      <c r="AH185">
        <v>25</v>
      </c>
      <c r="AJ185">
        <v>6</v>
      </c>
      <c r="AK185">
        <v>4</v>
      </c>
      <c r="AL185">
        <v>51.78</v>
      </c>
      <c r="AM185" t="s">
        <v>2923</v>
      </c>
      <c r="AN185" t="s">
        <v>2924</v>
      </c>
      <c r="AO185" t="s">
        <v>2930</v>
      </c>
      <c r="AP185">
        <v>26420</v>
      </c>
      <c r="AR185" t="s">
        <v>2978</v>
      </c>
      <c r="AS185" t="s">
        <v>2017</v>
      </c>
      <c r="AT185" t="s">
        <v>2992</v>
      </c>
      <c r="AU185" t="s">
        <v>3012</v>
      </c>
      <c r="AV185">
        <v>9.25</v>
      </c>
      <c r="AW185" t="s">
        <v>211</v>
      </c>
      <c r="AX185" t="s">
        <v>85</v>
      </c>
    </row>
    <row r="186" spans="1:50">
      <c r="A186" s="1">
        <f>HYPERLINK("https://lsnyc.legalserver.org/matter/dynamic-profile/view/1882776","18-1882776")</f>
        <v>0</v>
      </c>
      <c r="B186" t="s">
        <v>50</v>
      </c>
      <c r="C186" t="s">
        <v>64</v>
      </c>
      <c r="D186" t="s">
        <v>163</v>
      </c>
      <c r="E186" t="s">
        <v>288</v>
      </c>
      <c r="G186" t="s">
        <v>550</v>
      </c>
      <c r="H186" t="s">
        <v>911</v>
      </c>
      <c r="I186" t="s">
        <v>1247</v>
      </c>
      <c r="J186">
        <v>4</v>
      </c>
      <c r="K186" t="s">
        <v>1643</v>
      </c>
      <c r="L186">
        <v>10032</v>
      </c>
      <c r="M186" t="s">
        <v>1670</v>
      </c>
      <c r="Q186" t="s">
        <v>1941</v>
      </c>
      <c r="R186" t="s">
        <v>1962</v>
      </c>
      <c r="T186" t="s">
        <v>1671</v>
      </c>
      <c r="V186" t="s">
        <v>1972</v>
      </c>
      <c r="X186" t="s">
        <v>288</v>
      </c>
      <c r="Y186">
        <v>1025</v>
      </c>
      <c r="Z186" t="s">
        <v>2008</v>
      </c>
      <c r="AA186" t="s">
        <v>2013</v>
      </c>
      <c r="AC186" t="s">
        <v>2201</v>
      </c>
      <c r="AD186" t="s">
        <v>2628</v>
      </c>
      <c r="AE186">
        <v>42</v>
      </c>
      <c r="AF186" t="s">
        <v>2902</v>
      </c>
      <c r="AG186" t="s">
        <v>1754</v>
      </c>
      <c r="AH186">
        <v>24</v>
      </c>
      <c r="AJ186">
        <v>2</v>
      </c>
      <c r="AK186">
        <v>1</v>
      </c>
      <c r="AL186">
        <v>87.58</v>
      </c>
      <c r="AO186" t="s">
        <v>2927</v>
      </c>
      <c r="AP186">
        <v>18200</v>
      </c>
      <c r="AV186">
        <v>7.1</v>
      </c>
      <c r="AW186" t="s">
        <v>198</v>
      </c>
      <c r="AX186" t="s">
        <v>3042</v>
      </c>
    </row>
    <row r="187" spans="1:50">
      <c r="A187" s="1">
        <f>HYPERLINK("https://lsnyc.legalserver.org/matter/dynamic-profile/view/1903994","19-1903994")</f>
        <v>0</v>
      </c>
      <c r="B187" t="s">
        <v>50</v>
      </c>
      <c r="C187" t="s">
        <v>132</v>
      </c>
      <c r="D187" t="s">
        <v>163</v>
      </c>
      <c r="E187" t="s">
        <v>289</v>
      </c>
      <c r="G187" t="s">
        <v>551</v>
      </c>
      <c r="H187" t="s">
        <v>912</v>
      </c>
      <c r="I187" t="s">
        <v>1248</v>
      </c>
      <c r="J187" t="s">
        <v>1569</v>
      </c>
      <c r="K187" t="s">
        <v>1644</v>
      </c>
      <c r="L187">
        <v>11213</v>
      </c>
      <c r="M187" t="s">
        <v>1670</v>
      </c>
      <c r="P187" t="s">
        <v>1754</v>
      </c>
      <c r="Q187" t="s">
        <v>1937</v>
      </c>
      <c r="R187" t="s">
        <v>1962</v>
      </c>
      <c r="T187" t="s">
        <v>1670</v>
      </c>
      <c r="V187" t="s">
        <v>1977</v>
      </c>
      <c r="W187" t="s">
        <v>1984</v>
      </c>
      <c r="X187" t="s">
        <v>266</v>
      </c>
      <c r="Y187">
        <v>560</v>
      </c>
      <c r="Z187" t="s">
        <v>2009</v>
      </c>
      <c r="AA187" t="s">
        <v>2016</v>
      </c>
      <c r="AC187" t="s">
        <v>2202</v>
      </c>
      <c r="AD187" t="s">
        <v>2629</v>
      </c>
      <c r="AE187">
        <v>19</v>
      </c>
      <c r="AF187" t="s">
        <v>2902</v>
      </c>
      <c r="AG187" t="s">
        <v>1754</v>
      </c>
      <c r="AH187">
        <v>18</v>
      </c>
      <c r="AJ187">
        <v>2</v>
      </c>
      <c r="AK187">
        <v>1</v>
      </c>
      <c r="AL187">
        <v>118.97</v>
      </c>
      <c r="AO187" t="s">
        <v>2926</v>
      </c>
      <c r="AP187">
        <v>25376</v>
      </c>
      <c r="AV187">
        <v>0</v>
      </c>
      <c r="AX187" t="s">
        <v>3060</v>
      </c>
    </row>
    <row r="188" spans="1:50">
      <c r="A188" s="1">
        <f>HYPERLINK("https://lsnyc.legalserver.org/matter/dynamic-profile/view/1900959","19-1900959")</f>
        <v>0</v>
      </c>
      <c r="B188" t="s">
        <v>50</v>
      </c>
      <c r="C188" t="s">
        <v>129</v>
      </c>
      <c r="D188" t="s">
        <v>163</v>
      </c>
      <c r="E188" t="s">
        <v>290</v>
      </c>
      <c r="G188" t="s">
        <v>551</v>
      </c>
      <c r="H188" t="s">
        <v>912</v>
      </c>
      <c r="I188" t="s">
        <v>1248</v>
      </c>
      <c r="J188" t="s">
        <v>1569</v>
      </c>
      <c r="K188" t="s">
        <v>1644</v>
      </c>
      <c r="L188">
        <v>11213</v>
      </c>
      <c r="M188" t="s">
        <v>1670</v>
      </c>
      <c r="Q188" t="s">
        <v>1946</v>
      </c>
      <c r="R188" t="s">
        <v>1964</v>
      </c>
      <c r="T188" t="s">
        <v>1670</v>
      </c>
      <c r="V188" t="s">
        <v>1978</v>
      </c>
      <c r="X188" t="s">
        <v>275</v>
      </c>
      <c r="Y188">
        <v>560</v>
      </c>
      <c r="Z188" t="s">
        <v>2009</v>
      </c>
      <c r="AC188" t="s">
        <v>2202</v>
      </c>
      <c r="AD188" t="s">
        <v>2629</v>
      </c>
      <c r="AE188">
        <v>19</v>
      </c>
      <c r="AF188" t="s">
        <v>2902</v>
      </c>
      <c r="AG188" t="s">
        <v>1754</v>
      </c>
      <c r="AH188">
        <v>18</v>
      </c>
      <c r="AJ188">
        <v>2</v>
      </c>
      <c r="AK188">
        <v>1</v>
      </c>
      <c r="AL188">
        <v>118.97</v>
      </c>
      <c r="AO188" t="s">
        <v>2926</v>
      </c>
      <c r="AP188">
        <v>25376</v>
      </c>
      <c r="AQ188" t="s">
        <v>2952</v>
      </c>
      <c r="AV188">
        <v>0</v>
      </c>
      <c r="AX188" t="s">
        <v>3060</v>
      </c>
    </row>
    <row r="189" spans="1:50">
      <c r="A189" s="1">
        <f>HYPERLINK("https://lsnyc.legalserver.org/matter/dynamic-profile/view/1899074","19-1899074")</f>
        <v>0</v>
      </c>
      <c r="B189" t="s">
        <v>50</v>
      </c>
      <c r="C189" t="s">
        <v>129</v>
      </c>
      <c r="D189" t="s">
        <v>163</v>
      </c>
      <c r="E189" t="s">
        <v>171</v>
      </c>
      <c r="G189" t="s">
        <v>551</v>
      </c>
      <c r="H189" t="s">
        <v>912</v>
      </c>
      <c r="I189" t="s">
        <v>1248</v>
      </c>
      <c r="J189" t="s">
        <v>1569</v>
      </c>
      <c r="K189" t="s">
        <v>1644</v>
      </c>
      <c r="L189">
        <v>11213</v>
      </c>
      <c r="M189" t="s">
        <v>1670</v>
      </c>
      <c r="P189" t="s">
        <v>1773</v>
      </c>
      <c r="Q189" t="s">
        <v>1936</v>
      </c>
      <c r="R189" t="s">
        <v>1960</v>
      </c>
      <c r="T189" t="s">
        <v>1671</v>
      </c>
      <c r="V189" t="s">
        <v>1972</v>
      </c>
      <c r="X189" t="s">
        <v>1999</v>
      </c>
      <c r="Y189">
        <v>560</v>
      </c>
      <c r="Z189" t="s">
        <v>2009</v>
      </c>
      <c r="AC189" t="s">
        <v>2202</v>
      </c>
      <c r="AD189" t="s">
        <v>2629</v>
      </c>
      <c r="AE189">
        <v>19</v>
      </c>
      <c r="AF189" t="s">
        <v>2902</v>
      </c>
      <c r="AG189" t="s">
        <v>1754</v>
      </c>
      <c r="AH189">
        <v>18</v>
      </c>
      <c r="AJ189">
        <v>2</v>
      </c>
      <c r="AK189">
        <v>1</v>
      </c>
      <c r="AL189">
        <v>118.97</v>
      </c>
      <c r="AO189" t="s">
        <v>2926</v>
      </c>
      <c r="AP189">
        <v>25376</v>
      </c>
      <c r="AV189">
        <v>3.95</v>
      </c>
      <c r="AW189" t="s">
        <v>222</v>
      </c>
      <c r="AX189" t="s">
        <v>3059</v>
      </c>
    </row>
    <row r="190" spans="1:50">
      <c r="A190" s="1">
        <f>HYPERLINK("https://lsnyc.legalserver.org/matter/dynamic-profile/view/1899572","19-1899572")</f>
        <v>0</v>
      </c>
      <c r="B190" t="s">
        <v>50</v>
      </c>
      <c r="C190" t="s">
        <v>82</v>
      </c>
      <c r="D190" t="s">
        <v>164</v>
      </c>
      <c r="E190" t="s">
        <v>291</v>
      </c>
      <c r="F190" t="s">
        <v>268</v>
      </c>
      <c r="G190" t="s">
        <v>552</v>
      </c>
      <c r="H190" t="s">
        <v>913</v>
      </c>
      <c r="I190" t="s">
        <v>1249</v>
      </c>
      <c r="J190" t="s">
        <v>1549</v>
      </c>
      <c r="K190" t="s">
        <v>1644</v>
      </c>
      <c r="L190">
        <v>11207</v>
      </c>
      <c r="M190" t="s">
        <v>1671</v>
      </c>
      <c r="P190" t="s">
        <v>1774</v>
      </c>
      <c r="Q190" t="s">
        <v>1940</v>
      </c>
      <c r="R190" t="s">
        <v>1962</v>
      </c>
      <c r="S190" t="s">
        <v>1968</v>
      </c>
      <c r="T190" t="s">
        <v>1671</v>
      </c>
      <c r="V190" t="s">
        <v>1972</v>
      </c>
      <c r="X190" t="s">
        <v>328</v>
      </c>
      <c r="Y190">
        <v>750</v>
      </c>
      <c r="Z190" t="s">
        <v>2009</v>
      </c>
      <c r="AA190" t="s">
        <v>2017</v>
      </c>
      <c r="AB190" t="s">
        <v>2034</v>
      </c>
      <c r="AC190" t="s">
        <v>2203</v>
      </c>
      <c r="AD190" t="s">
        <v>2630</v>
      </c>
      <c r="AE190">
        <v>3</v>
      </c>
      <c r="AF190" t="s">
        <v>2903</v>
      </c>
      <c r="AG190" t="s">
        <v>1754</v>
      </c>
      <c r="AH190">
        <v>3</v>
      </c>
      <c r="AJ190">
        <v>2</v>
      </c>
      <c r="AK190">
        <v>2</v>
      </c>
      <c r="AL190">
        <v>97.34999999999999</v>
      </c>
      <c r="AO190" t="s">
        <v>2926</v>
      </c>
      <c r="AP190">
        <v>25068</v>
      </c>
      <c r="AV190">
        <v>3</v>
      </c>
      <c r="AW190" t="s">
        <v>328</v>
      </c>
      <c r="AX190" t="s">
        <v>3059</v>
      </c>
    </row>
    <row r="191" spans="1:50">
      <c r="A191" s="1">
        <f>HYPERLINK("https://lsnyc.legalserver.org/matter/dynamic-profile/view/1877611","18-1877611")</f>
        <v>0</v>
      </c>
      <c r="B191" t="s">
        <v>50</v>
      </c>
      <c r="C191" t="s">
        <v>111</v>
      </c>
      <c r="D191" t="s">
        <v>164</v>
      </c>
      <c r="E191" t="s">
        <v>292</v>
      </c>
      <c r="F191" t="s">
        <v>262</v>
      </c>
      <c r="G191" t="s">
        <v>553</v>
      </c>
      <c r="H191" t="s">
        <v>914</v>
      </c>
      <c r="I191" t="s">
        <v>1250</v>
      </c>
      <c r="J191">
        <v>2</v>
      </c>
      <c r="K191" t="s">
        <v>1641</v>
      </c>
      <c r="L191">
        <v>10460</v>
      </c>
      <c r="M191" t="s">
        <v>1670</v>
      </c>
      <c r="Q191" t="s">
        <v>1944</v>
      </c>
      <c r="R191" t="s">
        <v>1962</v>
      </c>
      <c r="S191" t="s">
        <v>1968</v>
      </c>
      <c r="T191" t="s">
        <v>1671</v>
      </c>
      <c r="V191" t="s">
        <v>1972</v>
      </c>
      <c r="X191" t="s">
        <v>1991</v>
      </c>
      <c r="Y191">
        <v>0</v>
      </c>
      <c r="Z191" t="s">
        <v>2006</v>
      </c>
      <c r="AA191" t="s">
        <v>2021</v>
      </c>
      <c r="AB191" t="s">
        <v>2030</v>
      </c>
      <c r="AC191" t="s">
        <v>2204</v>
      </c>
      <c r="AD191" t="s">
        <v>2631</v>
      </c>
      <c r="AE191">
        <v>0</v>
      </c>
      <c r="AF191" t="s">
        <v>2903</v>
      </c>
      <c r="AH191">
        <v>0</v>
      </c>
      <c r="AJ191">
        <v>2</v>
      </c>
      <c r="AK191">
        <v>3</v>
      </c>
      <c r="AL191">
        <v>95.93000000000001</v>
      </c>
      <c r="AP191">
        <v>28224</v>
      </c>
      <c r="AV191">
        <v>13.2</v>
      </c>
      <c r="AW191" t="s">
        <v>262</v>
      </c>
      <c r="AX191" t="s">
        <v>3041</v>
      </c>
    </row>
    <row r="192" spans="1:50">
      <c r="A192" s="1">
        <f>HYPERLINK("https://lsnyc.legalserver.org/matter/dynamic-profile/view/1898398","19-1898398")</f>
        <v>0</v>
      </c>
      <c r="B192" t="s">
        <v>50</v>
      </c>
      <c r="C192" t="s">
        <v>100</v>
      </c>
      <c r="D192" t="s">
        <v>164</v>
      </c>
      <c r="E192" t="s">
        <v>293</v>
      </c>
      <c r="F192" t="s">
        <v>293</v>
      </c>
      <c r="G192" t="s">
        <v>526</v>
      </c>
      <c r="H192" t="s">
        <v>915</v>
      </c>
      <c r="I192" t="s">
        <v>1251</v>
      </c>
      <c r="J192" t="s">
        <v>1497</v>
      </c>
      <c r="K192" t="s">
        <v>1641</v>
      </c>
      <c r="L192">
        <v>10467</v>
      </c>
      <c r="M192" t="s">
        <v>1670</v>
      </c>
      <c r="Q192" t="s">
        <v>1941</v>
      </c>
      <c r="R192" t="s">
        <v>1958</v>
      </c>
      <c r="S192" t="s">
        <v>1965</v>
      </c>
      <c r="T192" t="s">
        <v>1671</v>
      </c>
      <c r="V192" t="s">
        <v>1972</v>
      </c>
      <c r="X192" t="s">
        <v>293</v>
      </c>
      <c r="Y192">
        <v>1050</v>
      </c>
      <c r="Z192" t="s">
        <v>2008</v>
      </c>
      <c r="AA192" t="s">
        <v>2013</v>
      </c>
      <c r="AB192" t="s">
        <v>2029</v>
      </c>
      <c r="AC192" t="s">
        <v>2205</v>
      </c>
      <c r="AD192" t="s">
        <v>2632</v>
      </c>
      <c r="AE192">
        <v>67</v>
      </c>
      <c r="AF192" t="s">
        <v>2902</v>
      </c>
      <c r="AG192" t="s">
        <v>2915</v>
      </c>
      <c r="AH192">
        <v>5</v>
      </c>
      <c r="AJ192">
        <v>2</v>
      </c>
      <c r="AK192">
        <v>1</v>
      </c>
      <c r="AL192">
        <v>78.2</v>
      </c>
      <c r="AO192" t="s">
        <v>2927</v>
      </c>
      <c r="AP192">
        <v>16680</v>
      </c>
      <c r="AV192">
        <v>0.05</v>
      </c>
      <c r="AW192" t="s">
        <v>293</v>
      </c>
      <c r="AX192" t="s">
        <v>3042</v>
      </c>
    </row>
    <row r="193" spans="1:50">
      <c r="A193" s="1">
        <f>HYPERLINK("https://lsnyc.legalserver.org/matter/dynamic-profile/view/1891471","19-1891471")</f>
        <v>0</v>
      </c>
      <c r="B193" t="s">
        <v>50</v>
      </c>
      <c r="C193" t="s">
        <v>58</v>
      </c>
      <c r="D193" t="s">
        <v>164</v>
      </c>
      <c r="E193" t="s">
        <v>294</v>
      </c>
      <c r="F193" t="s">
        <v>195</v>
      </c>
      <c r="G193" t="s">
        <v>554</v>
      </c>
      <c r="H193" t="s">
        <v>834</v>
      </c>
      <c r="I193" t="s">
        <v>1252</v>
      </c>
      <c r="J193" t="s">
        <v>1544</v>
      </c>
      <c r="K193" t="s">
        <v>1641</v>
      </c>
      <c r="L193">
        <v>10468</v>
      </c>
      <c r="M193" t="s">
        <v>1670</v>
      </c>
      <c r="Q193" t="s">
        <v>1936</v>
      </c>
      <c r="R193" t="s">
        <v>1958</v>
      </c>
      <c r="S193" t="s">
        <v>1965</v>
      </c>
      <c r="T193" t="s">
        <v>1671</v>
      </c>
      <c r="V193" t="s">
        <v>1972</v>
      </c>
      <c r="W193" t="s">
        <v>1984</v>
      </c>
      <c r="X193" t="s">
        <v>294</v>
      </c>
      <c r="Y193">
        <v>1183.65</v>
      </c>
      <c r="Z193" t="s">
        <v>2006</v>
      </c>
      <c r="AA193" t="s">
        <v>2015</v>
      </c>
      <c r="AB193" t="s">
        <v>2029</v>
      </c>
      <c r="AC193" t="s">
        <v>2206</v>
      </c>
      <c r="AD193" t="s">
        <v>2633</v>
      </c>
      <c r="AE193">
        <v>55</v>
      </c>
      <c r="AF193" t="s">
        <v>2904</v>
      </c>
      <c r="AG193" t="s">
        <v>1754</v>
      </c>
      <c r="AH193">
        <v>7</v>
      </c>
      <c r="AJ193">
        <v>1</v>
      </c>
      <c r="AK193">
        <v>2</v>
      </c>
      <c r="AL193">
        <v>58.51</v>
      </c>
      <c r="AO193" t="s">
        <v>2926</v>
      </c>
      <c r="AP193">
        <v>12480</v>
      </c>
      <c r="AV193">
        <v>1.5</v>
      </c>
      <c r="AW193" t="s">
        <v>181</v>
      </c>
      <c r="AX193" t="s">
        <v>3046</v>
      </c>
    </row>
    <row r="194" spans="1:50">
      <c r="A194" s="1">
        <f>HYPERLINK("https://lsnyc.legalserver.org/matter/dynamic-profile/view/1895763","19-1895763")</f>
        <v>0</v>
      </c>
      <c r="B194" t="s">
        <v>50</v>
      </c>
      <c r="C194" t="s">
        <v>54</v>
      </c>
      <c r="D194" t="s">
        <v>164</v>
      </c>
      <c r="E194" t="s">
        <v>295</v>
      </c>
      <c r="F194" t="s">
        <v>392</v>
      </c>
      <c r="G194" t="s">
        <v>555</v>
      </c>
      <c r="H194" t="s">
        <v>834</v>
      </c>
      <c r="I194" t="s">
        <v>1253</v>
      </c>
      <c r="J194" t="s">
        <v>1506</v>
      </c>
      <c r="K194" t="s">
        <v>1643</v>
      </c>
      <c r="L194">
        <v>10034</v>
      </c>
      <c r="M194" t="s">
        <v>1670</v>
      </c>
      <c r="Q194" t="s">
        <v>1675</v>
      </c>
      <c r="R194" t="s">
        <v>1958</v>
      </c>
      <c r="S194" t="s">
        <v>1965</v>
      </c>
      <c r="T194" t="s">
        <v>1671</v>
      </c>
      <c r="V194" t="s">
        <v>1972</v>
      </c>
      <c r="W194" t="s">
        <v>1984</v>
      </c>
      <c r="X194" t="s">
        <v>212</v>
      </c>
      <c r="Y194">
        <v>1263.3</v>
      </c>
      <c r="Z194" t="s">
        <v>2008</v>
      </c>
      <c r="AA194" t="s">
        <v>2013</v>
      </c>
      <c r="AB194" t="s">
        <v>2029</v>
      </c>
      <c r="AC194" t="s">
        <v>2207</v>
      </c>
      <c r="AD194" t="s">
        <v>2634</v>
      </c>
      <c r="AE194">
        <v>45</v>
      </c>
      <c r="AF194" t="s">
        <v>2908</v>
      </c>
      <c r="AG194" t="s">
        <v>1754</v>
      </c>
      <c r="AH194">
        <v>18</v>
      </c>
      <c r="AJ194">
        <v>3</v>
      </c>
      <c r="AK194">
        <v>2</v>
      </c>
      <c r="AL194">
        <v>82.73</v>
      </c>
      <c r="AO194" t="s">
        <v>2927</v>
      </c>
      <c r="AP194">
        <v>24960</v>
      </c>
      <c r="AV194">
        <v>2</v>
      </c>
      <c r="AW194" t="s">
        <v>212</v>
      </c>
      <c r="AX194" t="s">
        <v>3078</v>
      </c>
    </row>
    <row r="195" spans="1:50">
      <c r="A195" s="1">
        <f>HYPERLINK("https://lsnyc.legalserver.org/matter/dynamic-profile/view/1880606","18-1880606")</f>
        <v>0</v>
      </c>
      <c r="B195" t="s">
        <v>50</v>
      </c>
      <c r="C195" t="s">
        <v>57</v>
      </c>
      <c r="D195" t="s">
        <v>163</v>
      </c>
      <c r="E195" t="s">
        <v>245</v>
      </c>
      <c r="G195" t="s">
        <v>556</v>
      </c>
      <c r="H195" t="s">
        <v>916</v>
      </c>
      <c r="I195" t="s">
        <v>1193</v>
      </c>
      <c r="J195" t="s">
        <v>1570</v>
      </c>
      <c r="K195" t="s">
        <v>1641</v>
      </c>
      <c r="L195">
        <v>10456</v>
      </c>
      <c r="M195" t="s">
        <v>1670</v>
      </c>
      <c r="P195" t="s">
        <v>1736</v>
      </c>
      <c r="Q195" t="s">
        <v>1938</v>
      </c>
      <c r="R195" t="s">
        <v>1961</v>
      </c>
      <c r="T195" t="s">
        <v>1670</v>
      </c>
      <c r="V195" t="s">
        <v>1972</v>
      </c>
      <c r="X195" t="s">
        <v>293</v>
      </c>
      <c r="Y195">
        <v>998</v>
      </c>
      <c r="Z195" t="s">
        <v>2006</v>
      </c>
      <c r="AA195" t="s">
        <v>2015</v>
      </c>
      <c r="AC195" t="s">
        <v>2208</v>
      </c>
      <c r="AD195" t="s">
        <v>2635</v>
      </c>
      <c r="AE195">
        <v>61</v>
      </c>
      <c r="AF195" t="s">
        <v>2902</v>
      </c>
      <c r="AG195" t="s">
        <v>2918</v>
      </c>
      <c r="AH195">
        <v>12</v>
      </c>
      <c r="AJ195">
        <v>1</v>
      </c>
      <c r="AK195">
        <v>2</v>
      </c>
      <c r="AL195">
        <v>84.87</v>
      </c>
      <c r="AO195" t="s">
        <v>2927</v>
      </c>
      <c r="AP195">
        <v>17636</v>
      </c>
      <c r="AV195">
        <v>0</v>
      </c>
      <c r="AX195" t="s">
        <v>3046</v>
      </c>
    </row>
    <row r="196" spans="1:50">
      <c r="A196" s="1">
        <f>HYPERLINK("https://lsnyc.legalserver.org/matter/dynamic-profile/view/1883581","18-1883581")</f>
        <v>0</v>
      </c>
      <c r="B196" t="s">
        <v>50</v>
      </c>
      <c r="C196" t="s">
        <v>107</v>
      </c>
      <c r="D196" t="s">
        <v>163</v>
      </c>
      <c r="E196" t="s">
        <v>296</v>
      </c>
      <c r="G196" t="s">
        <v>469</v>
      </c>
      <c r="H196" t="s">
        <v>917</v>
      </c>
      <c r="I196" t="s">
        <v>1254</v>
      </c>
      <c r="J196">
        <v>212</v>
      </c>
      <c r="K196" t="s">
        <v>1644</v>
      </c>
      <c r="L196">
        <v>11239</v>
      </c>
      <c r="M196" t="s">
        <v>1670</v>
      </c>
      <c r="P196" t="s">
        <v>1775</v>
      </c>
      <c r="Q196" t="s">
        <v>1940</v>
      </c>
      <c r="R196" t="s">
        <v>1960</v>
      </c>
      <c r="T196" t="s">
        <v>1671</v>
      </c>
      <c r="V196" t="s">
        <v>1972</v>
      </c>
      <c r="W196" t="s">
        <v>1984</v>
      </c>
      <c r="X196" t="s">
        <v>249</v>
      </c>
      <c r="Y196">
        <v>745</v>
      </c>
      <c r="Z196" t="s">
        <v>2009</v>
      </c>
      <c r="AA196" t="s">
        <v>2013</v>
      </c>
      <c r="AC196" t="s">
        <v>2209</v>
      </c>
      <c r="AD196" t="s">
        <v>2636</v>
      </c>
      <c r="AE196">
        <v>529</v>
      </c>
      <c r="AF196" t="s">
        <v>2902</v>
      </c>
      <c r="AG196" t="s">
        <v>1754</v>
      </c>
      <c r="AH196">
        <v>1</v>
      </c>
      <c r="AJ196">
        <v>3</v>
      </c>
      <c r="AK196">
        <v>1</v>
      </c>
      <c r="AL196">
        <v>120.72</v>
      </c>
      <c r="AO196" t="s">
        <v>2926</v>
      </c>
      <c r="AP196">
        <v>30300</v>
      </c>
      <c r="AV196">
        <v>34.5</v>
      </c>
      <c r="AW196" t="s">
        <v>392</v>
      </c>
      <c r="AX196" t="s">
        <v>3060</v>
      </c>
    </row>
    <row r="197" spans="1:50">
      <c r="A197" s="1">
        <f>HYPERLINK("https://lsnyc.legalserver.org/matter/dynamic-profile/view/1876713","18-1876713")</f>
        <v>0</v>
      </c>
      <c r="B197" t="s">
        <v>50</v>
      </c>
      <c r="C197" t="s">
        <v>59</v>
      </c>
      <c r="D197" t="s">
        <v>163</v>
      </c>
      <c r="E197" t="s">
        <v>173</v>
      </c>
      <c r="G197" t="s">
        <v>557</v>
      </c>
      <c r="H197" t="s">
        <v>918</v>
      </c>
      <c r="I197" t="s">
        <v>1114</v>
      </c>
      <c r="K197" t="s">
        <v>1641</v>
      </c>
      <c r="L197">
        <v>10456</v>
      </c>
      <c r="M197" t="s">
        <v>1670</v>
      </c>
      <c r="P197" t="s">
        <v>1679</v>
      </c>
      <c r="Q197" t="s">
        <v>1938</v>
      </c>
      <c r="R197" t="s">
        <v>1961</v>
      </c>
      <c r="T197" t="s">
        <v>1670</v>
      </c>
      <c r="V197" t="s">
        <v>1972</v>
      </c>
      <c r="X197" t="s">
        <v>173</v>
      </c>
      <c r="Y197">
        <v>1238.23</v>
      </c>
      <c r="Z197" t="s">
        <v>2006</v>
      </c>
      <c r="AA197" t="s">
        <v>2015</v>
      </c>
      <c r="AC197" t="s">
        <v>2210</v>
      </c>
      <c r="AD197" t="s">
        <v>2637</v>
      </c>
      <c r="AE197">
        <v>131</v>
      </c>
      <c r="AF197" t="s">
        <v>2902</v>
      </c>
      <c r="AG197" t="s">
        <v>1754</v>
      </c>
      <c r="AH197">
        <v>10</v>
      </c>
      <c r="AJ197">
        <v>1</v>
      </c>
      <c r="AK197">
        <v>1</v>
      </c>
      <c r="AL197">
        <v>78.98</v>
      </c>
      <c r="AO197" t="s">
        <v>2926</v>
      </c>
      <c r="AP197">
        <v>13000</v>
      </c>
      <c r="AV197">
        <v>0</v>
      </c>
      <c r="AX197" t="s">
        <v>3047</v>
      </c>
    </row>
    <row r="198" spans="1:50">
      <c r="A198" s="1">
        <f>HYPERLINK("https://lsnyc.legalserver.org/matter/dynamic-profile/view/1886347","18-1886347")</f>
        <v>0</v>
      </c>
      <c r="B198" t="s">
        <v>50</v>
      </c>
      <c r="C198" t="s">
        <v>59</v>
      </c>
      <c r="D198" t="s">
        <v>163</v>
      </c>
      <c r="E198" t="s">
        <v>297</v>
      </c>
      <c r="G198" t="s">
        <v>557</v>
      </c>
      <c r="H198" t="s">
        <v>918</v>
      </c>
      <c r="I198" t="s">
        <v>1114</v>
      </c>
      <c r="K198" t="s">
        <v>1641</v>
      </c>
      <c r="L198">
        <v>10456</v>
      </c>
      <c r="M198" t="s">
        <v>1670</v>
      </c>
      <c r="P198" t="s">
        <v>1680</v>
      </c>
      <c r="Q198" t="s">
        <v>1938</v>
      </c>
      <c r="R198" t="s">
        <v>1961</v>
      </c>
      <c r="T198" t="s">
        <v>1670</v>
      </c>
      <c r="V198" t="s">
        <v>1972</v>
      </c>
      <c r="X198" t="s">
        <v>359</v>
      </c>
      <c r="Y198">
        <v>1238.23</v>
      </c>
      <c r="Z198" t="s">
        <v>2006</v>
      </c>
      <c r="AA198" t="s">
        <v>2015</v>
      </c>
      <c r="AC198" t="s">
        <v>2210</v>
      </c>
      <c r="AD198" t="s">
        <v>2637</v>
      </c>
      <c r="AE198">
        <v>131</v>
      </c>
      <c r="AF198" t="s">
        <v>2902</v>
      </c>
      <c r="AG198" t="s">
        <v>1754</v>
      </c>
      <c r="AH198">
        <v>10</v>
      </c>
      <c r="AJ198">
        <v>1</v>
      </c>
      <c r="AK198">
        <v>1</v>
      </c>
      <c r="AL198">
        <v>78.98</v>
      </c>
      <c r="AO198" t="s">
        <v>2926</v>
      </c>
      <c r="AP198">
        <v>13000</v>
      </c>
      <c r="AV198">
        <v>0</v>
      </c>
      <c r="AX198" t="s">
        <v>3047</v>
      </c>
    </row>
    <row r="199" spans="1:50">
      <c r="A199" s="1">
        <f>HYPERLINK("https://lsnyc.legalserver.org/matter/dynamic-profile/view/1876708","18-1876708")</f>
        <v>0</v>
      </c>
      <c r="B199" t="s">
        <v>50</v>
      </c>
      <c r="C199" t="s">
        <v>59</v>
      </c>
      <c r="D199" t="s">
        <v>163</v>
      </c>
      <c r="E199" t="s">
        <v>173</v>
      </c>
      <c r="G199" t="s">
        <v>557</v>
      </c>
      <c r="H199" t="s">
        <v>918</v>
      </c>
      <c r="I199" t="s">
        <v>1114</v>
      </c>
      <c r="K199" t="s">
        <v>1641</v>
      </c>
      <c r="L199">
        <v>10456</v>
      </c>
      <c r="M199" t="s">
        <v>1670</v>
      </c>
      <c r="P199" t="s">
        <v>1681</v>
      </c>
      <c r="Q199" t="s">
        <v>1939</v>
      </c>
      <c r="R199" t="s">
        <v>1960</v>
      </c>
      <c r="T199" t="s">
        <v>1670</v>
      </c>
      <c r="V199" t="s">
        <v>1972</v>
      </c>
      <c r="X199" t="s">
        <v>173</v>
      </c>
      <c r="Y199">
        <v>1238.23</v>
      </c>
      <c r="Z199" t="s">
        <v>2006</v>
      </c>
      <c r="AA199" t="s">
        <v>2015</v>
      </c>
      <c r="AC199" t="s">
        <v>2210</v>
      </c>
      <c r="AD199" t="s">
        <v>2637</v>
      </c>
      <c r="AE199">
        <v>131</v>
      </c>
      <c r="AF199" t="s">
        <v>2902</v>
      </c>
      <c r="AG199" t="s">
        <v>1754</v>
      </c>
      <c r="AH199">
        <v>10</v>
      </c>
      <c r="AJ199">
        <v>1</v>
      </c>
      <c r="AK199">
        <v>1</v>
      </c>
      <c r="AL199">
        <v>78.98</v>
      </c>
      <c r="AO199" t="s">
        <v>2926</v>
      </c>
      <c r="AP199">
        <v>13000</v>
      </c>
      <c r="AV199">
        <v>0</v>
      </c>
      <c r="AX199" t="s">
        <v>3047</v>
      </c>
    </row>
    <row r="200" spans="1:50">
      <c r="A200" s="1">
        <f>HYPERLINK("https://lsnyc.legalserver.org/matter/dynamic-profile/view/1879615","18-1879615")</f>
        <v>0</v>
      </c>
      <c r="B200" t="s">
        <v>50</v>
      </c>
      <c r="C200" t="s">
        <v>133</v>
      </c>
      <c r="D200" t="s">
        <v>163</v>
      </c>
      <c r="E200" t="s">
        <v>298</v>
      </c>
      <c r="G200" t="s">
        <v>558</v>
      </c>
      <c r="H200" t="s">
        <v>919</v>
      </c>
      <c r="I200" t="s">
        <v>1255</v>
      </c>
      <c r="J200" t="s">
        <v>1543</v>
      </c>
      <c r="K200" t="s">
        <v>1644</v>
      </c>
      <c r="L200">
        <v>11207</v>
      </c>
      <c r="M200" t="s">
        <v>1671</v>
      </c>
      <c r="P200" t="s">
        <v>1675</v>
      </c>
      <c r="Q200" t="s">
        <v>1937</v>
      </c>
      <c r="R200" t="s">
        <v>1959</v>
      </c>
      <c r="T200" t="s">
        <v>1670</v>
      </c>
      <c r="V200" t="s">
        <v>1972</v>
      </c>
      <c r="W200" t="s">
        <v>1984</v>
      </c>
      <c r="X200" t="s">
        <v>1989</v>
      </c>
      <c r="Y200">
        <v>1000</v>
      </c>
      <c r="Z200" t="s">
        <v>2009</v>
      </c>
      <c r="AA200" t="s">
        <v>2020</v>
      </c>
      <c r="AC200" t="s">
        <v>2211</v>
      </c>
      <c r="AD200" t="s">
        <v>2638</v>
      </c>
      <c r="AE200">
        <v>6</v>
      </c>
      <c r="AF200" t="s">
        <v>2902</v>
      </c>
      <c r="AG200" t="s">
        <v>1754</v>
      </c>
      <c r="AH200">
        <v>4</v>
      </c>
      <c r="AJ200">
        <v>1</v>
      </c>
      <c r="AK200">
        <v>3</v>
      </c>
      <c r="AL200">
        <v>82.87</v>
      </c>
      <c r="AO200" t="s">
        <v>2926</v>
      </c>
      <c r="AP200">
        <v>20800</v>
      </c>
      <c r="AV200">
        <v>0</v>
      </c>
      <c r="AX200" t="s">
        <v>3060</v>
      </c>
    </row>
    <row r="201" spans="1:50">
      <c r="A201" s="1">
        <f>HYPERLINK("https://lsnyc.legalserver.org/matter/dynamic-profile/view/1879620","18-1879620")</f>
        <v>0</v>
      </c>
      <c r="B201" t="s">
        <v>50</v>
      </c>
      <c r="C201" t="s">
        <v>55</v>
      </c>
      <c r="D201" t="s">
        <v>164</v>
      </c>
      <c r="E201" t="s">
        <v>298</v>
      </c>
      <c r="F201" t="s">
        <v>371</v>
      </c>
      <c r="G201" t="s">
        <v>558</v>
      </c>
      <c r="H201" t="s">
        <v>919</v>
      </c>
      <c r="I201" t="s">
        <v>1255</v>
      </c>
      <c r="J201" t="s">
        <v>1543</v>
      </c>
      <c r="K201" t="s">
        <v>1644</v>
      </c>
      <c r="L201">
        <v>11207</v>
      </c>
      <c r="M201" t="s">
        <v>1671</v>
      </c>
      <c r="P201" t="s">
        <v>1675</v>
      </c>
      <c r="Q201" t="s">
        <v>1938</v>
      </c>
      <c r="R201" t="s">
        <v>1961</v>
      </c>
      <c r="S201" t="s">
        <v>1970</v>
      </c>
      <c r="T201" t="s">
        <v>1670</v>
      </c>
      <c r="V201" t="s">
        <v>1972</v>
      </c>
      <c r="W201" t="s">
        <v>1984</v>
      </c>
      <c r="X201" t="s">
        <v>1989</v>
      </c>
      <c r="Y201">
        <v>1000</v>
      </c>
      <c r="Z201" t="s">
        <v>2009</v>
      </c>
      <c r="AA201" t="s">
        <v>2020</v>
      </c>
      <c r="AB201" t="s">
        <v>2030</v>
      </c>
      <c r="AC201" t="s">
        <v>2211</v>
      </c>
      <c r="AD201" t="s">
        <v>2638</v>
      </c>
      <c r="AE201">
        <v>6</v>
      </c>
      <c r="AF201" t="s">
        <v>2902</v>
      </c>
      <c r="AG201" t="s">
        <v>1754</v>
      </c>
      <c r="AH201">
        <v>4</v>
      </c>
      <c r="AJ201">
        <v>1</v>
      </c>
      <c r="AK201">
        <v>3</v>
      </c>
      <c r="AL201">
        <v>82.87</v>
      </c>
      <c r="AO201" t="s">
        <v>2926</v>
      </c>
      <c r="AP201">
        <v>20800</v>
      </c>
      <c r="AV201">
        <v>0.25</v>
      </c>
      <c r="AW201" t="s">
        <v>371</v>
      </c>
      <c r="AX201" t="s">
        <v>3060</v>
      </c>
    </row>
    <row r="202" spans="1:50">
      <c r="A202" s="1">
        <f>HYPERLINK("https://lsnyc.legalserver.org/matter/dynamic-profile/view/1879623","18-1879623")</f>
        <v>0</v>
      </c>
      <c r="B202" t="s">
        <v>50</v>
      </c>
      <c r="C202" t="s">
        <v>133</v>
      </c>
      <c r="D202" t="s">
        <v>163</v>
      </c>
      <c r="E202" t="s">
        <v>298</v>
      </c>
      <c r="G202" t="s">
        <v>558</v>
      </c>
      <c r="H202" t="s">
        <v>919</v>
      </c>
      <c r="I202" t="s">
        <v>1255</v>
      </c>
      <c r="J202" t="s">
        <v>1543</v>
      </c>
      <c r="K202" t="s">
        <v>1644</v>
      </c>
      <c r="L202">
        <v>11207</v>
      </c>
      <c r="M202" t="s">
        <v>1671</v>
      </c>
      <c r="P202" t="s">
        <v>1675</v>
      </c>
      <c r="Q202" t="s">
        <v>1938</v>
      </c>
      <c r="R202" t="s">
        <v>1961</v>
      </c>
      <c r="T202" t="s">
        <v>1670</v>
      </c>
      <c r="V202" t="s">
        <v>1972</v>
      </c>
      <c r="W202" t="s">
        <v>1984</v>
      </c>
      <c r="X202" t="s">
        <v>252</v>
      </c>
      <c r="Y202">
        <v>1000</v>
      </c>
      <c r="Z202" t="s">
        <v>2009</v>
      </c>
      <c r="AA202" t="s">
        <v>2020</v>
      </c>
      <c r="AC202" t="s">
        <v>2211</v>
      </c>
      <c r="AD202" t="s">
        <v>2638</v>
      </c>
      <c r="AE202">
        <v>6</v>
      </c>
      <c r="AF202" t="s">
        <v>2902</v>
      </c>
      <c r="AG202" t="s">
        <v>1754</v>
      </c>
      <c r="AH202">
        <v>4</v>
      </c>
      <c r="AJ202">
        <v>1</v>
      </c>
      <c r="AK202">
        <v>3</v>
      </c>
      <c r="AL202">
        <v>82.87</v>
      </c>
      <c r="AO202" t="s">
        <v>2926</v>
      </c>
      <c r="AP202">
        <v>20800</v>
      </c>
      <c r="AV202">
        <v>0.5</v>
      </c>
      <c r="AW202" t="s">
        <v>243</v>
      </c>
      <c r="AX202" t="s">
        <v>3060</v>
      </c>
    </row>
    <row r="203" spans="1:50">
      <c r="A203" s="1">
        <f>HYPERLINK("https://lsnyc.legalserver.org/matter/dynamic-profile/view/1879625","18-1879625")</f>
        <v>0</v>
      </c>
      <c r="B203" t="s">
        <v>50</v>
      </c>
      <c r="C203" t="s">
        <v>133</v>
      </c>
      <c r="D203" t="s">
        <v>163</v>
      </c>
      <c r="E203" t="s">
        <v>298</v>
      </c>
      <c r="G203" t="s">
        <v>558</v>
      </c>
      <c r="H203" t="s">
        <v>919</v>
      </c>
      <c r="I203" t="s">
        <v>1255</v>
      </c>
      <c r="J203" t="s">
        <v>1543</v>
      </c>
      <c r="K203" t="s">
        <v>1644</v>
      </c>
      <c r="L203">
        <v>11207</v>
      </c>
      <c r="M203" t="s">
        <v>1671</v>
      </c>
      <c r="Q203" t="s">
        <v>1951</v>
      </c>
      <c r="R203" t="s">
        <v>1960</v>
      </c>
      <c r="V203" t="s">
        <v>1972</v>
      </c>
      <c r="W203" t="s">
        <v>1984</v>
      </c>
      <c r="X203" t="s">
        <v>252</v>
      </c>
      <c r="Y203">
        <v>1000</v>
      </c>
      <c r="Z203" t="s">
        <v>2009</v>
      </c>
      <c r="AA203" t="s">
        <v>2020</v>
      </c>
      <c r="AC203" t="s">
        <v>2211</v>
      </c>
      <c r="AD203" t="s">
        <v>2638</v>
      </c>
      <c r="AE203">
        <v>6</v>
      </c>
      <c r="AF203" t="s">
        <v>2902</v>
      </c>
      <c r="AG203" t="s">
        <v>1754</v>
      </c>
      <c r="AH203">
        <v>4</v>
      </c>
      <c r="AJ203">
        <v>1</v>
      </c>
      <c r="AK203">
        <v>3</v>
      </c>
      <c r="AL203">
        <v>82.87</v>
      </c>
      <c r="AO203" t="s">
        <v>2926</v>
      </c>
      <c r="AP203">
        <v>20800</v>
      </c>
      <c r="AV203">
        <v>0</v>
      </c>
      <c r="AX203" t="s">
        <v>3060</v>
      </c>
    </row>
    <row r="204" spans="1:50">
      <c r="A204" s="1">
        <f>HYPERLINK("https://lsnyc.legalserver.org/matter/dynamic-profile/view/1879613","18-1879613")</f>
        <v>0</v>
      </c>
      <c r="B204" t="s">
        <v>50</v>
      </c>
      <c r="C204" t="s">
        <v>133</v>
      </c>
      <c r="D204" t="s">
        <v>163</v>
      </c>
      <c r="E204" t="s">
        <v>298</v>
      </c>
      <c r="G204" t="s">
        <v>558</v>
      </c>
      <c r="H204" t="s">
        <v>919</v>
      </c>
      <c r="I204" t="s">
        <v>1255</v>
      </c>
      <c r="J204" t="s">
        <v>1543</v>
      </c>
      <c r="K204" t="s">
        <v>1644</v>
      </c>
      <c r="L204">
        <v>11207</v>
      </c>
      <c r="M204" t="s">
        <v>1671</v>
      </c>
      <c r="Q204" t="s">
        <v>1675</v>
      </c>
      <c r="R204" t="s">
        <v>1962</v>
      </c>
      <c r="T204" t="s">
        <v>1670</v>
      </c>
      <c r="V204" t="s">
        <v>1972</v>
      </c>
      <c r="W204" t="s">
        <v>1984</v>
      </c>
      <c r="X204" t="s">
        <v>252</v>
      </c>
      <c r="Y204">
        <v>1000</v>
      </c>
      <c r="Z204" t="s">
        <v>2009</v>
      </c>
      <c r="AA204" t="s">
        <v>2020</v>
      </c>
      <c r="AC204" t="s">
        <v>2211</v>
      </c>
      <c r="AD204" t="s">
        <v>2638</v>
      </c>
      <c r="AE204">
        <v>6</v>
      </c>
      <c r="AF204" t="s">
        <v>2902</v>
      </c>
      <c r="AG204" t="s">
        <v>1754</v>
      </c>
      <c r="AH204">
        <v>4</v>
      </c>
      <c r="AJ204">
        <v>1</v>
      </c>
      <c r="AK204">
        <v>3</v>
      </c>
      <c r="AL204">
        <v>82.87</v>
      </c>
      <c r="AO204" t="s">
        <v>2926</v>
      </c>
      <c r="AP204">
        <v>20800</v>
      </c>
      <c r="AV204">
        <v>0</v>
      </c>
      <c r="AX204" t="s">
        <v>3060</v>
      </c>
    </row>
    <row r="205" spans="1:50">
      <c r="A205" s="1">
        <f>HYPERLINK("https://lsnyc.legalserver.org/matter/dynamic-profile/view/1879627","18-1879627")</f>
        <v>0</v>
      </c>
      <c r="B205" t="s">
        <v>50</v>
      </c>
      <c r="C205" t="s">
        <v>133</v>
      </c>
      <c r="D205" t="s">
        <v>163</v>
      </c>
      <c r="E205" t="s">
        <v>298</v>
      </c>
      <c r="G205" t="s">
        <v>558</v>
      </c>
      <c r="H205" t="s">
        <v>919</v>
      </c>
      <c r="I205" t="s">
        <v>1255</v>
      </c>
      <c r="J205" t="s">
        <v>1543</v>
      </c>
      <c r="K205" t="s">
        <v>1644</v>
      </c>
      <c r="L205">
        <v>11207</v>
      </c>
      <c r="M205" t="s">
        <v>1671</v>
      </c>
      <c r="Q205" t="s">
        <v>1952</v>
      </c>
      <c r="R205" t="s">
        <v>1960</v>
      </c>
      <c r="T205" t="s">
        <v>1670</v>
      </c>
      <c r="V205" t="s">
        <v>1972</v>
      </c>
      <c r="W205" t="s">
        <v>1984</v>
      </c>
      <c r="X205" t="s">
        <v>261</v>
      </c>
      <c r="Y205">
        <v>1000</v>
      </c>
      <c r="Z205" t="s">
        <v>2009</v>
      </c>
      <c r="AA205" t="s">
        <v>2020</v>
      </c>
      <c r="AC205" t="s">
        <v>2211</v>
      </c>
      <c r="AD205" t="s">
        <v>2638</v>
      </c>
      <c r="AE205">
        <v>6</v>
      </c>
      <c r="AF205" t="s">
        <v>2902</v>
      </c>
      <c r="AG205" t="s">
        <v>1754</v>
      </c>
      <c r="AH205">
        <v>4</v>
      </c>
      <c r="AJ205">
        <v>1</v>
      </c>
      <c r="AK205">
        <v>3</v>
      </c>
      <c r="AL205">
        <v>82.87</v>
      </c>
      <c r="AO205" t="s">
        <v>2926</v>
      </c>
      <c r="AP205">
        <v>20800</v>
      </c>
      <c r="AV205">
        <v>0</v>
      </c>
      <c r="AX205" t="s">
        <v>3060</v>
      </c>
    </row>
    <row r="206" spans="1:50">
      <c r="A206" s="1">
        <f>HYPERLINK("https://lsnyc.legalserver.org/matter/dynamic-profile/view/1892387","19-1892387")</f>
        <v>0</v>
      </c>
      <c r="B206" t="s">
        <v>50</v>
      </c>
      <c r="C206" t="s">
        <v>103</v>
      </c>
      <c r="D206" t="s">
        <v>163</v>
      </c>
      <c r="E206" t="s">
        <v>266</v>
      </c>
      <c r="G206" t="s">
        <v>559</v>
      </c>
      <c r="H206" t="s">
        <v>920</v>
      </c>
      <c r="I206" t="s">
        <v>1256</v>
      </c>
      <c r="J206" t="s">
        <v>1571</v>
      </c>
      <c r="K206" t="s">
        <v>1644</v>
      </c>
      <c r="L206">
        <v>11233</v>
      </c>
      <c r="M206" t="s">
        <v>1670</v>
      </c>
      <c r="P206" t="s">
        <v>1776</v>
      </c>
      <c r="Q206" t="s">
        <v>1936</v>
      </c>
      <c r="R206" t="s">
        <v>1960</v>
      </c>
      <c r="T206" t="s">
        <v>1671</v>
      </c>
      <c r="V206" t="s">
        <v>1972</v>
      </c>
      <c r="X206" t="s">
        <v>254</v>
      </c>
      <c r="Y206">
        <v>1250</v>
      </c>
      <c r="Z206" t="s">
        <v>2009</v>
      </c>
      <c r="AC206" t="s">
        <v>2212</v>
      </c>
      <c r="AD206" t="s">
        <v>2639</v>
      </c>
      <c r="AE206">
        <v>8</v>
      </c>
      <c r="AF206" t="s">
        <v>2902</v>
      </c>
      <c r="AG206" t="s">
        <v>2915</v>
      </c>
      <c r="AH206">
        <v>15</v>
      </c>
      <c r="AJ206">
        <v>3</v>
      </c>
      <c r="AK206">
        <v>1</v>
      </c>
      <c r="AL206">
        <v>120.16</v>
      </c>
      <c r="AO206" t="s">
        <v>2926</v>
      </c>
      <c r="AP206">
        <v>30940</v>
      </c>
      <c r="AV206">
        <v>19</v>
      </c>
      <c r="AW206" t="s">
        <v>3034</v>
      </c>
      <c r="AX206" t="s">
        <v>3059</v>
      </c>
    </row>
    <row r="207" spans="1:50">
      <c r="A207" s="1">
        <f>HYPERLINK("https://lsnyc.legalserver.org/matter/dynamic-profile/view/1888671","19-1888671")</f>
        <v>0</v>
      </c>
      <c r="B207" t="s">
        <v>50</v>
      </c>
      <c r="C207" t="s">
        <v>73</v>
      </c>
      <c r="D207" t="s">
        <v>163</v>
      </c>
      <c r="E207" t="s">
        <v>299</v>
      </c>
      <c r="G207" t="s">
        <v>438</v>
      </c>
      <c r="H207" t="s">
        <v>921</v>
      </c>
      <c r="I207" t="s">
        <v>1257</v>
      </c>
      <c r="J207" t="s">
        <v>1572</v>
      </c>
      <c r="K207" t="s">
        <v>1655</v>
      </c>
      <c r="L207">
        <v>11369</v>
      </c>
      <c r="M207" t="s">
        <v>1670</v>
      </c>
      <c r="P207" t="s">
        <v>1777</v>
      </c>
      <c r="Q207" t="s">
        <v>1936</v>
      </c>
      <c r="R207" t="s">
        <v>1960</v>
      </c>
      <c r="T207" t="s">
        <v>1671</v>
      </c>
      <c r="V207" t="s">
        <v>1972</v>
      </c>
      <c r="W207" t="s">
        <v>1984</v>
      </c>
      <c r="X207" t="s">
        <v>285</v>
      </c>
      <c r="Y207">
        <v>814.5700000000001</v>
      </c>
      <c r="Z207" t="s">
        <v>2007</v>
      </c>
      <c r="AA207" t="s">
        <v>2014</v>
      </c>
      <c r="AC207" t="s">
        <v>2213</v>
      </c>
      <c r="AD207" t="s">
        <v>2640</v>
      </c>
      <c r="AE207">
        <v>43</v>
      </c>
      <c r="AF207" t="s">
        <v>2902</v>
      </c>
      <c r="AG207" t="s">
        <v>1754</v>
      </c>
      <c r="AH207">
        <v>5</v>
      </c>
      <c r="AJ207">
        <v>1</v>
      </c>
      <c r="AK207">
        <v>2</v>
      </c>
      <c r="AL207">
        <v>90.01000000000001</v>
      </c>
      <c r="AO207" t="s">
        <v>2926</v>
      </c>
      <c r="AP207">
        <v>19200</v>
      </c>
      <c r="AV207">
        <v>3.95</v>
      </c>
      <c r="AW207" t="s">
        <v>274</v>
      </c>
      <c r="AX207" t="s">
        <v>89</v>
      </c>
    </row>
    <row r="208" spans="1:50">
      <c r="A208" s="1">
        <f>HYPERLINK("https://lsnyc.legalserver.org/matter/dynamic-profile/view/1883391","18-1883391")</f>
        <v>0</v>
      </c>
      <c r="B208" t="s">
        <v>50</v>
      </c>
      <c r="C208" t="s">
        <v>58</v>
      </c>
      <c r="D208" t="s">
        <v>164</v>
      </c>
      <c r="E208" t="s">
        <v>172</v>
      </c>
      <c r="F208" t="s">
        <v>359</v>
      </c>
      <c r="G208" t="s">
        <v>473</v>
      </c>
      <c r="H208" t="s">
        <v>780</v>
      </c>
      <c r="I208" t="s">
        <v>1258</v>
      </c>
      <c r="J208" t="s">
        <v>1525</v>
      </c>
      <c r="K208" t="s">
        <v>1641</v>
      </c>
      <c r="L208">
        <v>10452</v>
      </c>
      <c r="M208" t="s">
        <v>1670</v>
      </c>
      <c r="Q208" t="s">
        <v>1943</v>
      </c>
      <c r="R208" t="s">
        <v>1962</v>
      </c>
      <c r="S208" t="s">
        <v>1968</v>
      </c>
      <c r="T208" t="s">
        <v>1671</v>
      </c>
      <c r="V208" t="s">
        <v>1972</v>
      </c>
      <c r="X208" t="s">
        <v>172</v>
      </c>
      <c r="Y208">
        <v>1684</v>
      </c>
      <c r="Z208" t="s">
        <v>2006</v>
      </c>
      <c r="AA208" t="s">
        <v>2015</v>
      </c>
      <c r="AB208" t="s">
        <v>2029</v>
      </c>
      <c r="AC208" t="s">
        <v>2214</v>
      </c>
      <c r="AD208" t="s">
        <v>2641</v>
      </c>
      <c r="AE208">
        <v>35</v>
      </c>
      <c r="AF208" t="s">
        <v>2909</v>
      </c>
      <c r="AG208" t="s">
        <v>2915</v>
      </c>
      <c r="AH208">
        <v>25</v>
      </c>
      <c r="AJ208">
        <v>3</v>
      </c>
      <c r="AK208">
        <v>2</v>
      </c>
      <c r="AL208">
        <v>40.79</v>
      </c>
      <c r="AO208" t="s">
        <v>2927</v>
      </c>
      <c r="AP208">
        <v>12000</v>
      </c>
      <c r="AV208">
        <v>3.5</v>
      </c>
      <c r="AW208" t="s">
        <v>192</v>
      </c>
      <c r="AX208" t="s">
        <v>3046</v>
      </c>
    </row>
    <row r="209" spans="1:50">
      <c r="A209" s="1">
        <f>HYPERLINK("https://lsnyc.legalserver.org/matter/dynamic-profile/view/1871601","18-1871601")</f>
        <v>0</v>
      </c>
      <c r="B209" t="s">
        <v>51</v>
      </c>
      <c r="C209" t="s">
        <v>133</v>
      </c>
      <c r="D209" t="s">
        <v>163</v>
      </c>
      <c r="E209" t="s">
        <v>300</v>
      </c>
      <c r="G209" t="s">
        <v>475</v>
      </c>
      <c r="H209" t="s">
        <v>922</v>
      </c>
      <c r="I209" t="s">
        <v>1259</v>
      </c>
      <c r="J209" t="s">
        <v>1573</v>
      </c>
      <c r="K209" t="s">
        <v>1644</v>
      </c>
      <c r="L209">
        <v>11206</v>
      </c>
      <c r="M209" t="s">
        <v>1670</v>
      </c>
      <c r="Q209" t="s">
        <v>1953</v>
      </c>
      <c r="R209" t="s">
        <v>1963</v>
      </c>
      <c r="T209" t="s">
        <v>1671</v>
      </c>
      <c r="V209" t="s">
        <v>1979</v>
      </c>
      <c r="X209" t="s">
        <v>300</v>
      </c>
      <c r="Y209">
        <v>513</v>
      </c>
      <c r="Z209" t="s">
        <v>2009</v>
      </c>
      <c r="AA209" t="s">
        <v>2012</v>
      </c>
      <c r="AC209" t="s">
        <v>2215</v>
      </c>
      <c r="AD209" t="s">
        <v>2642</v>
      </c>
      <c r="AE209">
        <v>6</v>
      </c>
      <c r="AF209" t="s">
        <v>2905</v>
      </c>
      <c r="AH209">
        <v>17</v>
      </c>
      <c r="AJ209">
        <v>2</v>
      </c>
      <c r="AK209">
        <v>1</v>
      </c>
      <c r="AL209">
        <v>117.34</v>
      </c>
      <c r="AM209" t="s">
        <v>2923</v>
      </c>
      <c r="AN209" t="s">
        <v>2924</v>
      </c>
      <c r="AO209" t="s">
        <v>2927</v>
      </c>
      <c r="AP209">
        <v>24384</v>
      </c>
      <c r="AV209">
        <v>0</v>
      </c>
      <c r="AX209" t="s">
        <v>3049</v>
      </c>
    </row>
    <row r="210" spans="1:50">
      <c r="A210" s="1">
        <f>HYPERLINK("https://lsnyc.legalserver.org/matter/dynamic-profile/view/1887089","19-1887089")</f>
        <v>0</v>
      </c>
      <c r="B210" t="s">
        <v>50</v>
      </c>
      <c r="C210" t="s">
        <v>111</v>
      </c>
      <c r="D210" t="s">
        <v>163</v>
      </c>
      <c r="E210" t="s">
        <v>202</v>
      </c>
      <c r="G210" t="s">
        <v>560</v>
      </c>
      <c r="H210" t="s">
        <v>780</v>
      </c>
      <c r="I210" t="s">
        <v>1260</v>
      </c>
      <c r="J210" t="s">
        <v>1504</v>
      </c>
      <c r="K210" t="s">
        <v>1641</v>
      </c>
      <c r="L210">
        <v>10453</v>
      </c>
      <c r="M210" t="s">
        <v>1670</v>
      </c>
      <c r="Q210" t="s">
        <v>1675</v>
      </c>
      <c r="R210" t="s">
        <v>1959</v>
      </c>
      <c r="T210" t="s">
        <v>1670</v>
      </c>
      <c r="V210" t="s">
        <v>1972</v>
      </c>
      <c r="X210" t="s">
        <v>283</v>
      </c>
      <c r="Y210">
        <v>948</v>
      </c>
      <c r="Z210" t="s">
        <v>2006</v>
      </c>
      <c r="AA210" t="s">
        <v>2015</v>
      </c>
      <c r="AC210" t="s">
        <v>2216</v>
      </c>
      <c r="AD210" t="s">
        <v>2643</v>
      </c>
      <c r="AE210">
        <v>49</v>
      </c>
      <c r="AF210" t="s">
        <v>2902</v>
      </c>
      <c r="AG210" t="s">
        <v>1754</v>
      </c>
      <c r="AH210">
        <v>3</v>
      </c>
      <c r="AJ210">
        <v>1</v>
      </c>
      <c r="AK210">
        <v>2</v>
      </c>
      <c r="AL210">
        <v>75.06999999999999</v>
      </c>
      <c r="AO210" t="s">
        <v>2926</v>
      </c>
      <c r="AP210">
        <v>15600</v>
      </c>
      <c r="AV210">
        <v>0</v>
      </c>
      <c r="AX210" t="s">
        <v>3046</v>
      </c>
    </row>
    <row r="211" spans="1:50">
      <c r="A211" s="1">
        <f>HYPERLINK("https://lsnyc.legalserver.org/matter/dynamic-profile/view/1887046","19-1887046")</f>
        <v>0</v>
      </c>
      <c r="B211" t="s">
        <v>50</v>
      </c>
      <c r="C211" t="s">
        <v>111</v>
      </c>
      <c r="D211" t="s">
        <v>163</v>
      </c>
      <c r="E211" t="s">
        <v>202</v>
      </c>
      <c r="G211" t="s">
        <v>560</v>
      </c>
      <c r="H211" t="s">
        <v>780</v>
      </c>
      <c r="I211" t="s">
        <v>1260</v>
      </c>
      <c r="J211" t="s">
        <v>1504</v>
      </c>
      <c r="K211" t="s">
        <v>1641</v>
      </c>
      <c r="L211">
        <v>10453</v>
      </c>
      <c r="M211" t="s">
        <v>1670</v>
      </c>
      <c r="P211" t="s">
        <v>1778</v>
      </c>
      <c r="Q211" t="s">
        <v>1939</v>
      </c>
      <c r="R211" t="s">
        <v>1960</v>
      </c>
      <c r="T211" t="s">
        <v>1670</v>
      </c>
      <c r="V211" t="s">
        <v>1972</v>
      </c>
      <c r="X211" t="s">
        <v>283</v>
      </c>
      <c r="Y211">
        <v>0</v>
      </c>
      <c r="Z211" t="s">
        <v>2006</v>
      </c>
      <c r="AA211" t="s">
        <v>2015</v>
      </c>
      <c r="AC211" t="s">
        <v>2216</v>
      </c>
      <c r="AD211" t="s">
        <v>2643</v>
      </c>
      <c r="AE211">
        <v>49</v>
      </c>
      <c r="AF211" t="s">
        <v>2902</v>
      </c>
      <c r="AG211" t="s">
        <v>1754</v>
      </c>
      <c r="AH211">
        <v>0</v>
      </c>
      <c r="AJ211">
        <v>1</v>
      </c>
      <c r="AK211">
        <v>2</v>
      </c>
      <c r="AL211">
        <v>75.06999999999999</v>
      </c>
      <c r="AO211" t="s">
        <v>2926</v>
      </c>
      <c r="AP211">
        <v>15600</v>
      </c>
      <c r="AV211">
        <v>0</v>
      </c>
      <c r="AX211" t="s">
        <v>3046</v>
      </c>
    </row>
    <row r="212" spans="1:50">
      <c r="A212" s="1">
        <f>HYPERLINK("https://lsnyc.legalserver.org/matter/dynamic-profile/view/1879538","18-1879538")</f>
        <v>0</v>
      </c>
      <c r="B212" t="s">
        <v>51</v>
      </c>
      <c r="C212" t="s">
        <v>99</v>
      </c>
      <c r="D212" t="s">
        <v>164</v>
      </c>
      <c r="E212" t="s">
        <v>200</v>
      </c>
      <c r="F212" t="s">
        <v>265</v>
      </c>
      <c r="G212" t="s">
        <v>561</v>
      </c>
      <c r="H212" t="s">
        <v>923</v>
      </c>
      <c r="I212" t="s">
        <v>1261</v>
      </c>
      <c r="J212" t="s">
        <v>1541</v>
      </c>
      <c r="K212" t="s">
        <v>1656</v>
      </c>
      <c r="L212">
        <v>11101</v>
      </c>
      <c r="M212" t="s">
        <v>1670</v>
      </c>
      <c r="P212" t="s">
        <v>1675</v>
      </c>
      <c r="Q212" t="s">
        <v>1675</v>
      </c>
      <c r="R212" t="s">
        <v>1958</v>
      </c>
      <c r="S212" t="s">
        <v>1965</v>
      </c>
      <c r="T212" t="s">
        <v>1671</v>
      </c>
      <c r="V212" t="s">
        <v>1979</v>
      </c>
      <c r="W212" t="s">
        <v>1984</v>
      </c>
      <c r="X212" t="s">
        <v>200</v>
      </c>
      <c r="Y212">
        <v>1036</v>
      </c>
      <c r="Z212" t="s">
        <v>2007</v>
      </c>
      <c r="AA212" t="s">
        <v>2012</v>
      </c>
      <c r="AB212" t="s">
        <v>2029</v>
      </c>
      <c r="AC212" t="s">
        <v>2217</v>
      </c>
      <c r="AD212" t="s">
        <v>2644</v>
      </c>
      <c r="AE212">
        <v>492</v>
      </c>
      <c r="AF212" t="s">
        <v>2905</v>
      </c>
      <c r="AG212" t="s">
        <v>2915</v>
      </c>
      <c r="AH212">
        <v>6</v>
      </c>
      <c r="AJ212">
        <v>1</v>
      </c>
      <c r="AK212">
        <v>1</v>
      </c>
      <c r="AL212">
        <v>91.13</v>
      </c>
      <c r="AM212" t="s">
        <v>2923</v>
      </c>
      <c r="AN212" t="s">
        <v>2924</v>
      </c>
      <c r="AO212" t="s">
        <v>2931</v>
      </c>
      <c r="AP212">
        <v>15000</v>
      </c>
      <c r="AV212">
        <v>2.09</v>
      </c>
      <c r="AW212" t="s">
        <v>338</v>
      </c>
      <c r="AX212" t="s">
        <v>99</v>
      </c>
    </row>
    <row r="213" spans="1:50">
      <c r="A213" s="1">
        <f>HYPERLINK("https://lsnyc.legalserver.org/matter/dynamic-profile/view/1893775","19-1893775")</f>
        <v>0</v>
      </c>
      <c r="B213" t="s">
        <v>50</v>
      </c>
      <c r="C213" t="s">
        <v>66</v>
      </c>
      <c r="D213" t="s">
        <v>164</v>
      </c>
      <c r="E213" t="s">
        <v>301</v>
      </c>
      <c r="F213" t="s">
        <v>310</v>
      </c>
      <c r="G213" t="s">
        <v>562</v>
      </c>
      <c r="H213" t="s">
        <v>924</v>
      </c>
      <c r="I213" t="s">
        <v>1262</v>
      </c>
      <c r="J213" t="s">
        <v>1485</v>
      </c>
      <c r="K213" t="s">
        <v>1644</v>
      </c>
      <c r="L213">
        <v>11207</v>
      </c>
      <c r="M213" t="s">
        <v>1670</v>
      </c>
      <c r="P213" t="s">
        <v>1687</v>
      </c>
      <c r="Q213" t="s">
        <v>1675</v>
      </c>
      <c r="R213" t="s">
        <v>1962</v>
      </c>
      <c r="S213" t="s">
        <v>1968</v>
      </c>
      <c r="T213" t="s">
        <v>1671</v>
      </c>
      <c r="V213" t="s">
        <v>1972</v>
      </c>
      <c r="W213" t="s">
        <v>1984</v>
      </c>
      <c r="X213" t="s">
        <v>266</v>
      </c>
      <c r="Y213">
        <v>285</v>
      </c>
      <c r="Z213" t="s">
        <v>2009</v>
      </c>
      <c r="AB213" t="s">
        <v>2029</v>
      </c>
      <c r="AC213" t="s">
        <v>2218</v>
      </c>
      <c r="AD213" t="s">
        <v>2645</v>
      </c>
      <c r="AE213">
        <v>744</v>
      </c>
      <c r="AF213" t="s">
        <v>2902</v>
      </c>
      <c r="AH213">
        <v>20</v>
      </c>
      <c r="AJ213">
        <v>2</v>
      </c>
      <c r="AK213">
        <v>1</v>
      </c>
      <c r="AL213">
        <v>16.32</v>
      </c>
      <c r="AO213" t="s">
        <v>2926</v>
      </c>
      <c r="AP213">
        <v>3480</v>
      </c>
      <c r="AV213">
        <v>1</v>
      </c>
      <c r="AW213" t="s">
        <v>199</v>
      </c>
      <c r="AX213" t="s">
        <v>3060</v>
      </c>
    </row>
    <row r="214" spans="1:50">
      <c r="A214" s="1">
        <f>HYPERLINK("https://lsnyc.legalserver.org/matter/dynamic-profile/view/1887241","19-1887241")</f>
        <v>0</v>
      </c>
      <c r="B214" t="s">
        <v>50</v>
      </c>
      <c r="C214" t="s">
        <v>80</v>
      </c>
      <c r="D214" t="s">
        <v>164</v>
      </c>
      <c r="E214" t="s">
        <v>302</v>
      </c>
      <c r="F214" t="s">
        <v>248</v>
      </c>
      <c r="G214" t="s">
        <v>563</v>
      </c>
      <c r="H214" t="s">
        <v>925</v>
      </c>
      <c r="I214" t="s">
        <v>1263</v>
      </c>
      <c r="J214" t="s">
        <v>1574</v>
      </c>
      <c r="K214" t="s">
        <v>1646</v>
      </c>
      <c r="L214">
        <v>10301</v>
      </c>
      <c r="M214" t="s">
        <v>1670</v>
      </c>
      <c r="Q214" t="s">
        <v>1940</v>
      </c>
      <c r="R214" t="s">
        <v>1960</v>
      </c>
      <c r="S214" t="s">
        <v>1966</v>
      </c>
      <c r="V214" t="s">
        <v>1972</v>
      </c>
      <c r="X214" t="s">
        <v>1993</v>
      </c>
      <c r="Y214">
        <v>0</v>
      </c>
      <c r="Z214" t="s">
        <v>2010</v>
      </c>
      <c r="AB214" t="s">
        <v>2032</v>
      </c>
      <c r="AC214" t="s">
        <v>2219</v>
      </c>
      <c r="AD214" t="s">
        <v>2646</v>
      </c>
      <c r="AE214">
        <v>0</v>
      </c>
      <c r="AH214">
        <v>0</v>
      </c>
      <c r="AJ214">
        <v>2</v>
      </c>
      <c r="AK214">
        <v>2</v>
      </c>
      <c r="AL214">
        <v>48.82</v>
      </c>
      <c r="AO214" t="s">
        <v>2926</v>
      </c>
      <c r="AP214">
        <v>12254</v>
      </c>
      <c r="AV214">
        <v>2.5</v>
      </c>
      <c r="AW214" t="s">
        <v>332</v>
      </c>
      <c r="AX214" t="s">
        <v>3056</v>
      </c>
    </row>
    <row r="215" spans="1:50">
      <c r="A215" s="1">
        <f>HYPERLINK("https://lsnyc.legalserver.org/matter/dynamic-profile/view/1896032","19-1896032")</f>
        <v>0</v>
      </c>
      <c r="B215" t="s">
        <v>50</v>
      </c>
      <c r="C215" t="s">
        <v>119</v>
      </c>
      <c r="D215" t="s">
        <v>163</v>
      </c>
      <c r="E215" t="s">
        <v>303</v>
      </c>
      <c r="G215" t="s">
        <v>564</v>
      </c>
      <c r="H215" t="s">
        <v>926</v>
      </c>
      <c r="I215" t="s">
        <v>1264</v>
      </c>
      <c r="J215" t="s">
        <v>1540</v>
      </c>
      <c r="K215" t="s">
        <v>1644</v>
      </c>
      <c r="L215">
        <v>11212</v>
      </c>
      <c r="M215" t="s">
        <v>1670</v>
      </c>
      <c r="P215" t="s">
        <v>1779</v>
      </c>
      <c r="Q215" t="s">
        <v>1936</v>
      </c>
      <c r="R215" t="s">
        <v>1960</v>
      </c>
      <c r="T215" t="s">
        <v>1671</v>
      </c>
      <c r="V215" t="s">
        <v>1972</v>
      </c>
      <c r="W215" t="s">
        <v>1984</v>
      </c>
      <c r="X215" t="s">
        <v>249</v>
      </c>
      <c r="Y215">
        <v>668.4</v>
      </c>
      <c r="Z215" t="s">
        <v>2009</v>
      </c>
      <c r="AA215" t="s">
        <v>2020</v>
      </c>
      <c r="AC215" t="s">
        <v>2220</v>
      </c>
      <c r="AD215" t="s">
        <v>2647</v>
      </c>
      <c r="AE215">
        <v>40</v>
      </c>
      <c r="AF215" t="s">
        <v>2902</v>
      </c>
      <c r="AG215" t="s">
        <v>2919</v>
      </c>
      <c r="AH215">
        <v>34</v>
      </c>
      <c r="AJ215">
        <v>1</v>
      </c>
      <c r="AK215">
        <v>1</v>
      </c>
      <c r="AL215">
        <v>56.13</v>
      </c>
      <c r="AO215" t="s">
        <v>2926</v>
      </c>
      <c r="AP215">
        <v>9492</v>
      </c>
      <c r="AV215">
        <v>5.3</v>
      </c>
      <c r="AW215" t="s">
        <v>3030</v>
      </c>
      <c r="AX215" t="s">
        <v>3059</v>
      </c>
    </row>
    <row r="216" spans="1:50">
      <c r="A216" s="1">
        <f>HYPERLINK("https://lsnyc.legalserver.org/matter/dynamic-profile/view/1886692","18-1886692")</f>
        <v>0</v>
      </c>
      <c r="B216" t="s">
        <v>50</v>
      </c>
      <c r="C216" t="s">
        <v>134</v>
      </c>
      <c r="D216" t="s">
        <v>164</v>
      </c>
      <c r="E216" t="s">
        <v>304</v>
      </c>
      <c r="F216" t="s">
        <v>304</v>
      </c>
      <c r="G216" t="s">
        <v>565</v>
      </c>
      <c r="H216" t="s">
        <v>927</v>
      </c>
      <c r="I216" t="s">
        <v>1265</v>
      </c>
      <c r="J216" t="s">
        <v>1520</v>
      </c>
      <c r="K216" t="s">
        <v>1643</v>
      </c>
      <c r="L216">
        <v>10025</v>
      </c>
      <c r="M216" t="s">
        <v>1670</v>
      </c>
      <c r="Q216" t="s">
        <v>1675</v>
      </c>
      <c r="R216" t="s">
        <v>1958</v>
      </c>
      <c r="S216" t="s">
        <v>1965</v>
      </c>
      <c r="T216" t="s">
        <v>1671</v>
      </c>
      <c r="V216" t="s">
        <v>1972</v>
      </c>
      <c r="X216" t="s">
        <v>304</v>
      </c>
      <c r="Y216">
        <v>2700</v>
      </c>
      <c r="Z216" t="s">
        <v>2008</v>
      </c>
      <c r="AA216" t="s">
        <v>2012</v>
      </c>
      <c r="AB216" t="s">
        <v>2029</v>
      </c>
      <c r="AC216" t="s">
        <v>2221</v>
      </c>
      <c r="AD216" t="s">
        <v>2648</v>
      </c>
      <c r="AE216">
        <v>0</v>
      </c>
      <c r="AF216" t="s">
        <v>2902</v>
      </c>
      <c r="AG216" t="s">
        <v>1754</v>
      </c>
      <c r="AH216">
        <v>1</v>
      </c>
      <c r="AJ216">
        <v>2</v>
      </c>
      <c r="AK216">
        <v>2</v>
      </c>
      <c r="AL216">
        <v>93.23</v>
      </c>
      <c r="AO216" t="s">
        <v>2926</v>
      </c>
      <c r="AP216">
        <v>23400</v>
      </c>
      <c r="AV216">
        <v>0.87</v>
      </c>
      <c r="AW216" t="s">
        <v>316</v>
      </c>
      <c r="AX216" t="s">
        <v>3042</v>
      </c>
    </row>
    <row r="217" spans="1:50">
      <c r="A217" s="1">
        <f>HYPERLINK("https://lsnyc.legalserver.org/matter/dynamic-profile/view/1874167","18-1874167")</f>
        <v>0</v>
      </c>
      <c r="B217" t="s">
        <v>50</v>
      </c>
      <c r="C217" t="s">
        <v>103</v>
      </c>
      <c r="D217" t="s">
        <v>164</v>
      </c>
      <c r="E217" t="s">
        <v>305</v>
      </c>
      <c r="F217" t="s">
        <v>306</v>
      </c>
      <c r="G217" t="s">
        <v>566</v>
      </c>
      <c r="H217" t="s">
        <v>890</v>
      </c>
      <c r="I217" t="s">
        <v>1266</v>
      </c>
      <c r="J217" t="s">
        <v>1477</v>
      </c>
      <c r="K217" t="s">
        <v>1644</v>
      </c>
      <c r="L217">
        <v>11206</v>
      </c>
      <c r="M217" t="s">
        <v>1670</v>
      </c>
      <c r="P217" t="s">
        <v>1780</v>
      </c>
      <c r="Q217" t="s">
        <v>1940</v>
      </c>
      <c r="R217" t="s">
        <v>1960</v>
      </c>
      <c r="S217" t="s">
        <v>1967</v>
      </c>
      <c r="T217" t="s">
        <v>1671</v>
      </c>
      <c r="V217" t="s">
        <v>1972</v>
      </c>
      <c r="X217" t="s">
        <v>305</v>
      </c>
      <c r="Y217">
        <v>0</v>
      </c>
      <c r="Z217" t="s">
        <v>2009</v>
      </c>
      <c r="AB217" t="s">
        <v>2032</v>
      </c>
      <c r="AC217" t="s">
        <v>2222</v>
      </c>
      <c r="AD217" t="s">
        <v>2649</v>
      </c>
      <c r="AE217">
        <v>0</v>
      </c>
      <c r="AH217">
        <v>0</v>
      </c>
      <c r="AJ217">
        <v>1</v>
      </c>
      <c r="AK217">
        <v>4</v>
      </c>
      <c r="AL217">
        <v>48.95</v>
      </c>
      <c r="AO217" t="s">
        <v>2926</v>
      </c>
      <c r="AP217">
        <v>14400</v>
      </c>
      <c r="AV217">
        <v>22.75</v>
      </c>
      <c r="AW217" t="s">
        <v>306</v>
      </c>
      <c r="AX217" t="s">
        <v>103</v>
      </c>
    </row>
    <row r="218" spans="1:50">
      <c r="A218" s="1">
        <f>HYPERLINK("https://lsnyc.legalserver.org/matter/dynamic-profile/view/1885734","18-1885734")</f>
        <v>0</v>
      </c>
      <c r="B218" t="s">
        <v>50</v>
      </c>
      <c r="C218" t="s">
        <v>103</v>
      </c>
      <c r="D218" t="s">
        <v>164</v>
      </c>
      <c r="E218" t="s">
        <v>306</v>
      </c>
      <c r="F218" t="s">
        <v>306</v>
      </c>
      <c r="G218" t="s">
        <v>566</v>
      </c>
      <c r="H218" t="s">
        <v>890</v>
      </c>
      <c r="I218" t="s">
        <v>1266</v>
      </c>
      <c r="J218" t="s">
        <v>1477</v>
      </c>
      <c r="K218" t="s">
        <v>1644</v>
      </c>
      <c r="L218">
        <v>11206</v>
      </c>
      <c r="M218" t="s">
        <v>1670</v>
      </c>
      <c r="R218" t="s">
        <v>1960</v>
      </c>
      <c r="S218" t="s">
        <v>1967</v>
      </c>
      <c r="V218" t="s">
        <v>1974</v>
      </c>
      <c r="X218" t="s">
        <v>305</v>
      </c>
      <c r="Y218">
        <v>0</v>
      </c>
      <c r="Z218" t="s">
        <v>2009</v>
      </c>
      <c r="AB218" t="s">
        <v>2039</v>
      </c>
      <c r="AC218" t="s">
        <v>2223</v>
      </c>
      <c r="AD218" t="s">
        <v>2649</v>
      </c>
      <c r="AE218">
        <v>0</v>
      </c>
      <c r="AH218">
        <v>0</v>
      </c>
      <c r="AJ218">
        <v>1</v>
      </c>
      <c r="AK218">
        <v>4</v>
      </c>
      <c r="AL218">
        <v>48.95</v>
      </c>
      <c r="AO218" t="s">
        <v>2926</v>
      </c>
      <c r="AP218">
        <v>14400</v>
      </c>
      <c r="AV218">
        <v>0.1</v>
      </c>
      <c r="AW218" t="s">
        <v>306</v>
      </c>
      <c r="AX218" t="s">
        <v>103</v>
      </c>
    </row>
    <row r="219" spans="1:50">
      <c r="A219" s="1">
        <f>HYPERLINK("https://lsnyc.legalserver.org/matter/dynamic-profile/view/1888613","19-1888613")</f>
        <v>0</v>
      </c>
      <c r="B219" t="s">
        <v>50</v>
      </c>
      <c r="C219" t="s">
        <v>119</v>
      </c>
      <c r="D219" t="s">
        <v>164</v>
      </c>
      <c r="E219" t="s">
        <v>285</v>
      </c>
      <c r="F219" t="s">
        <v>361</v>
      </c>
      <c r="G219" t="s">
        <v>567</v>
      </c>
      <c r="H219" t="s">
        <v>530</v>
      </c>
      <c r="I219" t="s">
        <v>1267</v>
      </c>
      <c r="J219" t="s">
        <v>1575</v>
      </c>
      <c r="K219" t="s">
        <v>1644</v>
      </c>
      <c r="L219">
        <v>11233</v>
      </c>
      <c r="M219" t="s">
        <v>1670</v>
      </c>
      <c r="P219" t="s">
        <v>1781</v>
      </c>
      <c r="Q219" t="s">
        <v>1940</v>
      </c>
      <c r="R219" t="s">
        <v>1960</v>
      </c>
      <c r="S219" t="s">
        <v>1969</v>
      </c>
      <c r="T219" t="s">
        <v>1671</v>
      </c>
      <c r="V219" t="s">
        <v>1972</v>
      </c>
      <c r="W219" t="s">
        <v>1984</v>
      </c>
      <c r="X219" t="s">
        <v>249</v>
      </c>
      <c r="Y219">
        <v>860.1900000000001</v>
      </c>
      <c r="Z219" t="s">
        <v>2009</v>
      </c>
      <c r="AA219" t="s">
        <v>2024</v>
      </c>
      <c r="AB219" t="s">
        <v>2032</v>
      </c>
      <c r="AC219" t="s">
        <v>2224</v>
      </c>
      <c r="AD219" t="s">
        <v>2650</v>
      </c>
      <c r="AE219">
        <v>36</v>
      </c>
      <c r="AF219" t="s">
        <v>2902</v>
      </c>
      <c r="AG219" t="s">
        <v>1754</v>
      </c>
      <c r="AH219">
        <v>15</v>
      </c>
      <c r="AJ219">
        <v>2</v>
      </c>
      <c r="AK219">
        <v>1</v>
      </c>
      <c r="AL219">
        <v>138.66</v>
      </c>
      <c r="AO219" t="s">
        <v>2926</v>
      </c>
      <c r="AP219">
        <v>29575.68</v>
      </c>
      <c r="AT219" t="s">
        <v>2992</v>
      </c>
      <c r="AV219">
        <v>4</v>
      </c>
      <c r="AW219" t="s">
        <v>240</v>
      </c>
      <c r="AX219" t="s">
        <v>3059</v>
      </c>
    </row>
    <row r="220" spans="1:50">
      <c r="A220" s="1">
        <f>HYPERLINK("https://lsnyc.legalserver.org/matter/dynamic-profile/view/1887309","19-1887309")</f>
        <v>0</v>
      </c>
      <c r="B220" t="s">
        <v>50</v>
      </c>
      <c r="C220" t="s">
        <v>135</v>
      </c>
      <c r="D220" t="s">
        <v>164</v>
      </c>
      <c r="E220" t="s">
        <v>307</v>
      </c>
      <c r="F220" t="s">
        <v>307</v>
      </c>
      <c r="G220" t="s">
        <v>568</v>
      </c>
      <c r="H220" t="s">
        <v>928</v>
      </c>
      <c r="I220" t="s">
        <v>1268</v>
      </c>
      <c r="J220">
        <v>3</v>
      </c>
      <c r="K220" t="s">
        <v>1644</v>
      </c>
      <c r="L220">
        <v>11236</v>
      </c>
      <c r="M220" t="s">
        <v>1670</v>
      </c>
      <c r="P220" t="s">
        <v>1687</v>
      </c>
      <c r="R220" t="s">
        <v>1958</v>
      </c>
      <c r="S220" t="s">
        <v>1965</v>
      </c>
      <c r="T220" t="s">
        <v>1671</v>
      </c>
      <c r="V220" t="s">
        <v>1980</v>
      </c>
      <c r="X220" t="s">
        <v>243</v>
      </c>
      <c r="Y220">
        <v>0</v>
      </c>
      <c r="Z220" t="s">
        <v>2009</v>
      </c>
      <c r="AA220" t="s">
        <v>2016</v>
      </c>
      <c r="AB220" t="s">
        <v>2029</v>
      </c>
      <c r="AC220" t="s">
        <v>2225</v>
      </c>
      <c r="AD220" t="s">
        <v>2651</v>
      </c>
      <c r="AE220">
        <v>0</v>
      </c>
      <c r="AG220" t="s">
        <v>1754</v>
      </c>
      <c r="AH220">
        <v>1</v>
      </c>
      <c r="AJ220">
        <v>1</v>
      </c>
      <c r="AK220">
        <v>1</v>
      </c>
      <c r="AL220">
        <v>200.49</v>
      </c>
      <c r="AO220" t="s">
        <v>2926</v>
      </c>
      <c r="AP220">
        <v>33000</v>
      </c>
      <c r="AV220">
        <v>0.2</v>
      </c>
      <c r="AW220" t="s">
        <v>307</v>
      </c>
      <c r="AX220" t="s">
        <v>3059</v>
      </c>
    </row>
    <row r="221" spans="1:50">
      <c r="A221" s="1">
        <f>HYPERLINK("https://lsnyc.legalserver.org/matter/dynamic-profile/view/1895760","19-1895760")</f>
        <v>0</v>
      </c>
      <c r="B221" t="s">
        <v>50</v>
      </c>
      <c r="C221" t="s">
        <v>61</v>
      </c>
      <c r="D221" t="s">
        <v>163</v>
      </c>
      <c r="E221" t="s">
        <v>295</v>
      </c>
      <c r="G221" t="s">
        <v>569</v>
      </c>
      <c r="H221" t="s">
        <v>929</v>
      </c>
      <c r="I221" t="s">
        <v>1269</v>
      </c>
      <c r="J221" t="s">
        <v>1576</v>
      </c>
      <c r="K221" t="s">
        <v>1644</v>
      </c>
      <c r="L221">
        <v>11226</v>
      </c>
      <c r="M221" t="s">
        <v>1670</v>
      </c>
      <c r="R221" t="s">
        <v>1959</v>
      </c>
      <c r="V221" t="s">
        <v>1972</v>
      </c>
      <c r="X221" t="s">
        <v>255</v>
      </c>
      <c r="Y221">
        <v>950</v>
      </c>
      <c r="Z221" t="s">
        <v>2009</v>
      </c>
      <c r="AA221" t="s">
        <v>2016</v>
      </c>
      <c r="AC221" t="s">
        <v>2226</v>
      </c>
      <c r="AD221" t="s">
        <v>2652</v>
      </c>
      <c r="AE221">
        <v>54</v>
      </c>
      <c r="AF221" t="s">
        <v>2902</v>
      </c>
      <c r="AG221" t="s">
        <v>2915</v>
      </c>
      <c r="AH221">
        <v>19</v>
      </c>
      <c r="AJ221">
        <v>2</v>
      </c>
      <c r="AK221">
        <v>3</v>
      </c>
      <c r="AL221">
        <v>124.1</v>
      </c>
      <c r="AO221" t="s">
        <v>2926</v>
      </c>
      <c r="AP221">
        <v>37440</v>
      </c>
      <c r="AV221">
        <v>2.9</v>
      </c>
      <c r="AW221" t="s">
        <v>3036</v>
      </c>
      <c r="AX221" t="s">
        <v>158</v>
      </c>
    </row>
    <row r="222" spans="1:50">
      <c r="A222" s="1">
        <f>HYPERLINK("https://lsnyc.legalserver.org/matter/dynamic-profile/view/1879828","18-1879828")</f>
        <v>0</v>
      </c>
      <c r="B222" t="s">
        <v>50</v>
      </c>
      <c r="C222" t="s">
        <v>136</v>
      </c>
      <c r="D222" t="s">
        <v>164</v>
      </c>
      <c r="E222" t="s">
        <v>167</v>
      </c>
      <c r="F222" t="s">
        <v>288</v>
      </c>
      <c r="G222" t="s">
        <v>570</v>
      </c>
      <c r="H222" t="s">
        <v>930</v>
      </c>
      <c r="I222" t="s">
        <v>1270</v>
      </c>
      <c r="J222" t="s">
        <v>1577</v>
      </c>
      <c r="K222" t="s">
        <v>1644</v>
      </c>
      <c r="L222">
        <v>11208</v>
      </c>
      <c r="M222" t="s">
        <v>1670</v>
      </c>
      <c r="P222" t="s">
        <v>1782</v>
      </c>
      <c r="Q222" t="s">
        <v>1937</v>
      </c>
      <c r="R222" t="s">
        <v>1959</v>
      </c>
      <c r="S222" t="s">
        <v>1969</v>
      </c>
      <c r="V222" t="s">
        <v>1974</v>
      </c>
      <c r="X222" t="s">
        <v>288</v>
      </c>
      <c r="Y222">
        <v>0</v>
      </c>
      <c r="Z222" t="s">
        <v>2009</v>
      </c>
      <c r="AA222" t="s">
        <v>2020</v>
      </c>
      <c r="AB222" t="s">
        <v>2040</v>
      </c>
      <c r="AC222" t="s">
        <v>2227</v>
      </c>
      <c r="AD222" t="s">
        <v>2653</v>
      </c>
      <c r="AE222">
        <v>294</v>
      </c>
      <c r="AH222">
        <v>8</v>
      </c>
      <c r="AJ222">
        <v>1</v>
      </c>
      <c r="AK222">
        <v>1</v>
      </c>
      <c r="AL222">
        <v>199.07</v>
      </c>
      <c r="AO222" t="s">
        <v>2926</v>
      </c>
      <c r="AP222">
        <v>32767.43</v>
      </c>
      <c r="AV222">
        <v>3.4</v>
      </c>
      <c r="AW222" t="s">
        <v>288</v>
      </c>
      <c r="AX222" t="s">
        <v>3063</v>
      </c>
    </row>
    <row r="223" spans="1:50">
      <c r="A223" s="1">
        <f>HYPERLINK("https://lsnyc.legalserver.org/matter/dynamic-profile/view/1879813","18-1879813")</f>
        <v>0</v>
      </c>
      <c r="B223" t="s">
        <v>50</v>
      </c>
      <c r="C223" t="s">
        <v>136</v>
      </c>
      <c r="D223" t="s">
        <v>164</v>
      </c>
      <c r="E223" t="s">
        <v>308</v>
      </c>
      <c r="F223" t="s">
        <v>288</v>
      </c>
      <c r="G223" t="s">
        <v>570</v>
      </c>
      <c r="H223" t="s">
        <v>930</v>
      </c>
      <c r="I223" t="s">
        <v>1270</v>
      </c>
      <c r="J223" t="s">
        <v>1577</v>
      </c>
      <c r="K223" t="s">
        <v>1644</v>
      </c>
      <c r="L223">
        <v>11208</v>
      </c>
      <c r="M223" t="s">
        <v>1670</v>
      </c>
      <c r="P223" t="s">
        <v>1782</v>
      </c>
      <c r="Q223" t="s">
        <v>1936</v>
      </c>
      <c r="R223" t="s">
        <v>1960</v>
      </c>
      <c r="S223" t="s">
        <v>1969</v>
      </c>
      <c r="V223" t="s">
        <v>1972</v>
      </c>
      <c r="X223" t="s">
        <v>288</v>
      </c>
      <c r="Y223">
        <v>0</v>
      </c>
      <c r="Z223" t="s">
        <v>2009</v>
      </c>
      <c r="AA223" t="s">
        <v>2020</v>
      </c>
      <c r="AB223" t="s">
        <v>2041</v>
      </c>
      <c r="AC223" t="s">
        <v>2227</v>
      </c>
      <c r="AD223" t="s">
        <v>2653</v>
      </c>
      <c r="AE223">
        <v>294</v>
      </c>
      <c r="AH223">
        <v>8</v>
      </c>
      <c r="AJ223">
        <v>1</v>
      </c>
      <c r="AK223">
        <v>1</v>
      </c>
      <c r="AL223">
        <v>199.07</v>
      </c>
      <c r="AO223" t="s">
        <v>2926</v>
      </c>
      <c r="AP223">
        <v>32767.43</v>
      </c>
      <c r="AS223" t="s">
        <v>2988</v>
      </c>
      <c r="AT223" t="s">
        <v>2992</v>
      </c>
      <c r="AU223" t="s">
        <v>3013</v>
      </c>
      <c r="AV223">
        <v>9.4</v>
      </c>
      <c r="AW223" t="s">
        <v>288</v>
      </c>
      <c r="AX223" t="s">
        <v>3063</v>
      </c>
    </row>
    <row r="224" spans="1:50">
      <c r="A224" s="1">
        <f>HYPERLINK("https://lsnyc.legalserver.org/matter/dynamic-profile/view/1882564","18-1882564")</f>
        <v>0</v>
      </c>
      <c r="B224" t="s">
        <v>50</v>
      </c>
      <c r="C224" t="s">
        <v>68</v>
      </c>
      <c r="D224" t="s">
        <v>163</v>
      </c>
      <c r="E224" t="s">
        <v>309</v>
      </c>
      <c r="G224" t="s">
        <v>571</v>
      </c>
      <c r="H224" t="s">
        <v>931</v>
      </c>
      <c r="I224" t="s">
        <v>1244</v>
      </c>
      <c r="J224">
        <v>52</v>
      </c>
      <c r="K224" t="s">
        <v>1643</v>
      </c>
      <c r="L224">
        <v>10034</v>
      </c>
      <c r="M224" t="s">
        <v>1670</v>
      </c>
      <c r="P224" t="s">
        <v>1783</v>
      </c>
      <c r="Q224" t="s">
        <v>1936</v>
      </c>
      <c r="R224" t="s">
        <v>1960</v>
      </c>
      <c r="T224" t="s">
        <v>1671</v>
      </c>
      <c r="V224" t="s">
        <v>1972</v>
      </c>
      <c r="X224" t="s">
        <v>231</v>
      </c>
      <c r="Y224">
        <v>896</v>
      </c>
      <c r="Z224" t="s">
        <v>2008</v>
      </c>
      <c r="AA224" t="s">
        <v>2014</v>
      </c>
      <c r="AC224" t="s">
        <v>2228</v>
      </c>
      <c r="AD224" t="s">
        <v>2654</v>
      </c>
      <c r="AE224">
        <v>25</v>
      </c>
      <c r="AF224" t="s">
        <v>2902</v>
      </c>
      <c r="AH224">
        <v>30</v>
      </c>
      <c r="AJ224">
        <v>2</v>
      </c>
      <c r="AK224">
        <v>1</v>
      </c>
      <c r="AL224">
        <v>179.4</v>
      </c>
      <c r="AO224" t="s">
        <v>2926</v>
      </c>
      <c r="AP224">
        <v>37280</v>
      </c>
      <c r="AV224">
        <v>118.95</v>
      </c>
      <c r="AW224" t="s">
        <v>268</v>
      </c>
      <c r="AX224" t="s">
        <v>3075</v>
      </c>
    </row>
    <row r="225" spans="1:50">
      <c r="A225" s="1">
        <f>HYPERLINK("https://lsnyc.legalserver.org/matter/dynamic-profile/view/1894126","19-1894126")</f>
        <v>0</v>
      </c>
      <c r="B225" t="s">
        <v>50</v>
      </c>
      <c r="C225" t="s">
        <v>57</v>
      </c>
      <c r="D225" t="s">
        <v>163</v>
      </c>
      <c r="E225" t="s">
        <v>254</v>
      </c>
      <c r="G225" t="s">
        <v>572</v>
      </c>
      <c r="H225" t="s">
        <v>932</v>
      </c>
      <c r="I225" t="s">
        <v>1112</v>
      </c>
      <c r="J225" t="s">
        <v>1578</v>
      </c>
      <c r="K225" t="s">
        <v>1641</v>
      </c>
      <c r="L225">
        <v>10453</v>
      </c>
      <c r="M225" t="s">
        <v>1670</v>
      </c>
      <c r="Q225" t="s">
        <v>1938</v>
      </c>
      <c r="R225" t="s">
        <v>1961</v>
      </c>
      <c r="T225" t="s">
        <v>1670</v>
      </c>
      <c r="V225" t="s">
        <v>1972</v>
      </c>
      <c r="X225" t="s">
        <v>392</v>
      </c>
      <c r="Y225">
        <v>506</v>
      </c>
      <c r="Z225" t="s">
        <v>2006</v>
      </c>
      <c r="AA225" t="s">
        <v>2015</v>
      </c>
      <c r="AC225" t="s">
        <v>2229</v>
      </c>
      <c r="AD225" t="s">
        <v>2655</v>
      </c>
      <c r="AE225">
        <v>167</v>
      </c>
      <c r="AF225" t="s">
        <v>2902</v>
      </c>
      <c r="AG225" t="s">
        <v>2915</v>
      </c>
      <c r="AH225">
        <v>10</v>
      </c>
      <c r="AJ225">
        <v>2</v>
      </c>
      <c r="AK225">
        <v>4</v>
      </c>
      <c r="AL225">
        <v>58.98</v>
      </c>
      <c r="AO225" t="s">
        <v>2927</v>
      </c>
      <c r="AP225">
        <v>20400</v>
      </c>
      <c r="AV225">
        <v>0</v>
      </c>
      <c r="AX225" t="s">
        <v>3046</v>
      </c>
    </row>
    <row r="226" spans="1:50">
      <c r="A226" s="1">
        <f>HYPERLINK("https://lsnyc.legalserver.org/matter/dynamic-profile/view/1894123","19-1894123")</f>
        <v>0</v>
      </c>
      <c r="B226" t="s">
        <v>50</v>
      </c>
      <c r="C226" t="s">
        <v>57</v>
      </c>
      <c r="D226" t="s">
        <v>163</v>
      </c>
      <c r="E226" t="s">
        <v>254</v>
      </c>
      <c r="G226" t="s">
        <v>572</v>
      </c>
      <c r="H226" t="s">
        <v>932</v>
      </c>
      <c r="I226" t="s">
        <v>1112</v>
      </c>
      <c r="J226" t="s">
        <v>1578</v>
      </c>
      <c r="K226" t="s">
        <v>1641</v>
      </c>
      <c r="L226">
        <v>10453</v>
      </c>
      <c r="M226" t="s">
        <v>1670</v>
      </c>
      <c r="P226" t="s">
        <v>1677</v>
      </c>
      <c r="Q226" t="s">
        <v>1939</v>
      </c>
      <c r="R226" t="s">
        <v>1960</v>
      </c>
      <c r="T226" t="s">
        <v>1670</v>
      </c>
      <c r="V226" t="s">
        <v>1972</v>
      </c>
      <c r="X226" t="s">
        <v>283</v>
      </c>
      <c r="Y226">
        <v>506</v>
      </c>
      <c r="Z226" t="s">
        <v>2006</v>
      </c>
      <c r="AA226" t="s">
        <v>2015</v>
      </c>
      <c r="AC226" t="s">
        <v>2229</v>
      </c>
      <c r="AD226" t="s">
        <v>2655</v>
      </c>
      <c r="AE226">
        <v>167</v>
      </c>
      <c r="AF226" t="s">
        <v>2902</v>
      </c>
      <c r="AG226" t="s">
        <v>2915</v>
      </c>
      <c r="AH226">
        <v>10</v>
      </c>
      <c r="AJ226">
        <v>2</v>
      </c>
      <c r="AK226">
        <v>4</v>
      </c>
      <c r="AL226">
        <v>58.98</v>
      </c>
      <c r="AO226" t="s">
        <v>2927</v>
      </c>
      <c r="AP226">
        <v>20400</v>
      </c>
      <c r="AV226">
        <v>0</v>
      </c>
      <c r="AX226" t="s">
        <v>3046</v>
      </c>
    </row>
    <row r="227" spans="1:50">
      <c r="A227" s="1">
        <f>HYPERLINK("https://lsnyc.legalserver.org/matter/dynamic-profile/view/1894220","19-1894220")</f>
        <v>0</v>
      </c>
      <c r="B227" t="s">
        <v>50</v>
      </c>
      <c r="C227" t="s">
        <v>63</v>
      </c>
      <c r="D227" t="s">
        <v>163</v>
      </c>
      <c r="E227" t="s">
        <v>310</v>
      </c>
      <c r="G227" t="s">
        <v>572</v>
      </c>
      <c r="H227" t="s">
        <v>932</v>
      </c>
      <c r="I227" t="s">
        <v>1112</v>
      </c>
      <c r="J227" t="s">
        <v>1578</v>
      </c>
      <c r="K227" t="s">
        <v>1641</v>
      </c>
      <c r="L227">
        <v>10453</v>
      </c>
      <c r="M227" t="s">
        <v>1670</v>
      </c>
      <c r="P227" t="s">
        <v>1784</v>
      </c>
      <c r="Q227" t="s">
        <v>1936</v>
      </c>
      <c r="R227" t="s">
        <v>1960</v>
      </c>
      <c r="T227" t="s">
        <v>1671</v>
      </c>
      <c r="V227" t="s">
        <v>1972</v>
      </c>
      <c r="X227" t="s">
        <v>310</v>
      </c>
      <c r="Y227">
        <v>506</v>
      </c>
      <c r="Z227" t="s">
        <v>2006</v>
      </c>
      <c r="AA227" t="s">
        <v>2020</v>
      </c>
      <c r="AC227" t="s">
        <v>2229</v>
      </c>
      <c r="AD227" t="s">
        <v>2655</v>
      </c>
      <c r="AE227">
        <v>170</v>
      </c>
      <c r="AF227" t="s">
        <v>2909</v>
      </c>
      <c r="AG227" t="s">
        <v>2915</v>
      </c>
      <c r="AH227">
        <v>10</v>
      </c>
      <c r="AJ227">
        <v>2</v>
      </c>
      <c r="AK227">
        <v>4</v>
      </c>
      <c r="AL227">
        <v>58.98</v>
      </c>
      <c r="AO227" t="s">
        <v>2927</v>
      </c>
      <c r="AP227">
        <v>20400</v>
      </c>
      <c r="AV227">
        <v>2</v>
      </c>
      <c r="AW227" t="s">
        <v>339</v>
      </c>
      <c r="AX227" t="s">
        <v>3046</v>
      </c>
    </row>
    <row r="228" spans="1:50">
      <c r="A228" s="1">
        <f>HYPERLINK("https://lsnyc.legalserver.org/matter/dynamic-profile/view/1873740","18-1873740")</f>
        <v>0</v>
      </c>
      <c r="B228" t="s">
        <v>50</v>
      </c>
      <c r="C228" t="s">
        <v>137</v>
      </c>
      <c r="D228" t="s">
        <v>164</v>
      </c>
      <c r="E228" t="s">
        <v>169</v>
      </c>
      <c r="F228" t="s">
        <v>251</v>
      </c>
      <c r="G228" t="s">
        <v>573</v>
      </c>
      <c r="H228" t="s">
        <v>933</v>
      </c>
      <c r="I228" t="s">
        <v>1271</v>
      </c>
      <c r="J228" t="s">
        <v>1571</v>
      </c>
      <c r="K228" t="s">
        <v>1643</v>
      </c>
      <c r="L228">
        <v>10034</v>
      </c>
      <c r="M228" t="s">
        <v>1670</v>
      </c>
      <c r="Q228" t="s">
        <v>1936</v>
      </c>
      <c r="R228" t="s">
        <v>1958</v>
      </c>
      <c r="S228" t="s">
        <v>1965</v>
      </c>
      <c r="T228" t="s">
        <v>1671</v>
      </c>
      <c r="V228" t="s">
        <v>1972</v>
      </c>
      <c r="X228" t="s">
        <v>169</v>
      </c>
      <c r="Y228">
        <v>1275</v>
      </c>
      <c r="Z228" t="s">
        <v>2008</v>
      </c>
      <c r="AA228" t="s">
        <v>2020</v>
      </c>
      <c r="AB228" t="s">
        <v>2029</v>
      </c>
      <c r="AC228" t="s">
        <v>2230</v>
      </c>
      <c r="AD228" t="s">
        <v>2656</v>
      </c>
      <c r="AE228">
        <v>44</v>
      </c>
      <c r="AF228" t="s">
        <v>2902</v>
      </c>
      <c r="AG228" t="s">
        <v>1754</v>
      </c>
      <c r="AH228">
        <v>15</v>
      </c>
      <c r="AJ228">
        <v>3</v>
      </c>
      <c r="AK228">
        <v>2</v>
      </c>
      <c r="AL228">
        <v>61.86</v>
      </c>
      <c r="AO228" t="s">
        <v>2927</v>
      </c>
      <c r="AP228">
        <v>18200</v>
      </c>
      <c r="AV228">
        <v>1</v>
      </c>
      <c r="AW228" t="s">
        <v>251</v>
      </c>
      <c r="AX228" t="s">
        <v>3042</v>
      </c>
    </row>
    <row r="229" spans="1:50">
      <c r="A229" s="1">
        <f>HYPERLINK("https://lsnyc.legalserver.org/matter/dynamic-profile/view/1880802","18-1880802")</f>
        <v>0</v>
      </c>
      <c r="B229" t="s">
        <v>50</v>
      </c>
      <c r="C229" t="s">
        <v>126</v>
      </c>
      <c r="D229" t="s">
        <v>163</v>
      </c>
      <c r="E229" t="s">
        <v>311</v>
      </c>
      <c r="G229" t="s">
        <v>451</v>
      </c>
      <c r="H229" t="s">
        <v>934</v>
      </c>
      <c r="I229" t="s">
        <v>1272</v>
      </c>
      <c r="J229" t="s">
        <v>1579</v>
      </c>
      <c r="K229" t="s">
        <v>1641</v>
      </c>
      <c r="L229">
        <v>10460</v>
      </c>
      <c r="M229" t="s">
        <v>1670</v>
      </c>
      <c r="P229" t="s">
        <v>1785</v>
      </c>
      <c r="Q229" t="s">
        <v>1936</v>
      </c>
      <c r="R229" t="s">
        <v>1960</v>
      </c>
      <c r="V229" t="s">
        <v>1972</v>
      </c>
      <c r="X229" t="s">
        <v>311</v>
      </c>
      <c r="Y229">
        <v>1325</v>
      </c>
      <c r="Z229" t="s">
        <v>2006</v>
      </c>
      <c r="AA229" t="s">
        <v>2017</v>
      </c>
      <c r="AC229" t="s">
        <v>2231</v>
      </c>
      <c r="AD229" t="s">
        <v>2657</v>
      </c>
      <c r="AE229">
        <v>44</v>
      </c>
      <c r="AF229" t="s">
        <v>2904</v>
      </c>
      <c r="AG229" t="s">
        <v>2915</v>
      </c>
      <c r="AH229">
        <v>3</v>
      </c>
      <c r="AJ229">
        <v>2</v>
      </c>
      <c r="AK229">
        <v>3</v>
      </c>
      <c r="AL229">
        <v>0</v>
      </c>
      <c r="AO229" t="s">
        <v>2926</v>
      </c>
      <c r="AP229">
        <v>0</v>
      </c>
      <c r="AV229">
        <v>19.3</v>
      </c>
      <c r="AW229" t="s">
        <v>272</v>
      </c>
      <c r="AX229" t="s">
        <v>3078</v>
      </c>
    </row>
    <row r="230" spans="1:50">
      <c r="A230" s="1">
        <f>HYPERLINK("https://lsnyc.legalserver.org/matter/dynamic-profile/view/1878495","18-1878495")</f>
        <v>0</v>
      </c>
      <c r="B230" t="s">
        <v>50</v>
      </c>
      <c r="C230" t="s">
        <v>101</v>
      </c>
      <c r="D230" t="s">
        <v>164</v>
      </c>
      <c r="E230" t="s">
        <v>312</v>
      </c>
      <c r="F230" t="s">
        <v>393</v>
      </c>
      <c r="G230" t="s">
        <v>574</v>
      </c>
      <c r="H230" t="s">
        <v>770</v>
      </c>
      <c r="I230" t="s">
        <v>1273</v>
      </c>
      <c r="J230" t="s">
        <v>1575</v>
      </c>
      <c r="K230" t="s">
        <v>1643</v>
      </c>
      <c r="L230">
        <v>10035</v>
      </c>
      <c r="M230" t="s">
        <v>1670</v>
      </c>
      <c r="P230" t="s">
        <v>1786</v>
      </c>
      <c r="Q230" t="s">
        <v>1936</v>
      </c>
      <c r="R230" t="s">
        <v>1960</v>
      </c>
      <c r="S230" t="s">
        <v>1969</v>
      </c>
      <c r="T230" t="s">
        <v>1671</v>
      </c>
      <c r="V230" t="s">
        <v>1972</v>
      </c>
      <c r="W230" t="s">
        <v>1984</v>
      </c>
      <c r="X230" t="s">
        <v>229</v>
      </c>
      <c r="Y230">
        <v>648</v>
      </c>
      <c r="Z230" t="s">
        <v>2008</v>
      </c>
      <c r="AA230" t="s">
        <v>2013</v>
      </c>
      <c r="AB230" t="s">
        <v>2032</v>
      </c>
      <c r="AC230" t="s">
        <v>2232</v>
      </c>
      <c r="AD230" t="s">
        <v>2658</v>
      </c>
      <c r="AE230">
        <v>11</v>
      </c>
      <c r="AF230" t="s">
        <v>2902</v>
      </c>
      <c r="AG230" t="s">
        <v>2919</v>
      </c>
      <c r="AH230">
        <v>38</v>
      </c>
      <c r="AJ230">
        <v>2</v>
      </c>
      <c r="AK230">
        <v>1</v>
      </c>
      <c r="AL230">
        <v>142.23</v>
      </c>
      <c r="AO230" t="s">
        <v>2926</v>
      </c>
      <c r="AP230">
        <v>29556</v>
      </c>
      <c r="AR230" t="s">
        <v>2979</v>
      </c>
      <c r="AV230">
        <v>66.90000000000001</v>
      </c>
      <c r="AW230" t="s">
        <v>405</v>
      </c>
      <c r="AX230" t="s">
        <v>3051</v>
      </c>
    </row>
    <row r="231" spans="1:50">
      <c r="A231" s="1">
        <f>HYPERLINK("https://lsnyc.legalserver.org/matter/dynamic-profile/view/1885600","18-1885600")</f>
        <v>0</v>
      </c>
      <c r="B231" t="s">
        <v>50</v>
      </c>
      <c r="C231" t="s">
        <v>53</v>
      </c>
      <c r="D231" t="s">
        <v>164</v>
      </c>
      <c r="E231" t="s">
        <v>270</v>
      </c>
      <c r="F231" t="s">
        <v>336</v>
      </c>
      <c r="G231" t="s">
        <v>575</v>
      </c>
      <c r="H231" t="s">
        <v>892</v>
      </c>
      <c r="I231" t="s">
        <v>1274</v>
      </c>
      <c r="K231" t="s">
        <v>1657</v>
      </c>
      <c r="L231">
        <v>11422</v>
      </c>
      <c r="M231" t="s">
        <v>1670</v>
      </c>
      <c r="P231" t="s">
        <v>1787</v>
      </c>
      <c r="Q231" t="s">
        <v>1940</v>
      </c>
      <c r="R231" t="s">
        <v>1960</v>
      </c>
      <c r="S231" t="s">
        <v>1969</v>
      </c>
      <c r="T231" t="s">
        <v>1671</v>
      </c>
      <c r="V231" t="s">
        <v>1972</v>
      </c>
      <c r="W231" t="s">
        <v>1984</v>
      </c>
      <c r="X231" t="s">
        <v>270</v>
      </c>
      <c r="Y231">
        <v>0</v>
      </c>
      <c r="Z231" t="s">
        <v>2007</v>
      </c>
      <c r="AA231" t="s">
        <v>2014</v>
      </c>
      <c r="AB231" t="s">
        <v>2032</v>
      </c>
      <c r="AC231" t="s">
        <v>2233</v>
      </c>
      <c r="AD231" t="s">
        <v>2659</v>
      </c>
      <c r="AE231">
        <v>2</v>
      </c>
      <c r="AF231" t="s">
        <v>2903</v>
      </c>
      <c r="AG231" t="s">
        <v>1754</v>
      </c>
      <c r="AH231">
        <v>1</v>
      </c>
      <c r="AJ231">
        <v>1</v>
      </c>
      <c r="AK231">
        <v>4</v>
      </c>
      <c r="AL231">
        <v>91.56</v>
      </c>
      <c r="AO231" t="s">
        <v>2926</v>
      </c>
      <c r="AP231">
        <v>26936</v>
      </c>
      <c r="AR231" t="s">
        <v>2977</v>
      </c>
      <c r="AS231" t="s">
        <v>2982</v>
      </c>
      <c r="AT231" t="s">
        <v>2992</v>
      </c>
      <c r="AU231" t="s">
        <v>3005</v>
      </c>
      <c r="AV231">
        <v>23.35</v>
      </c>
      <c r="AW231" t="s">
        <v>199</v>
      </c>
      <c r="AX231" t="s">
        <v>85</v>
      </c>
    </row>
    <row r="232" spans="1:50">
      <c r="A232" s="1">
        <f>HYPERLINK("https://lsnyc.legalserver.org/matter/dynamic-profile/view/1873138","18-1873138")</f>
        <v>0</v>
      </c>
      <c r="B232" t="s">
        <v>50</v>
      </c>
      <c r="C232" t="s">
        <v>53</v>
      </c>
      <c r="D232" t="s">
        <v>164</v>
      </c>
      <c r="E232" t="s">
        <v>175</v>
      </c>
      <c r="F232" t="s">
        <v>166</v>
      </c>
      <c r="G232" t="s">
        <v>576</v>
      </c>
      <c r="H232" t="s">
        <v>935</v>
      </c>
      <c r="I232" t="s">
        <v>1275</v>
      </c>
      <c r="J232" t="s">
        <v>1542</v>
      </c>
      <c r="K232" t="s">
        <v>1645</v>
      </c>
      <c r="L232">
        <v>11691</v>
      </c>
      <c r="M232" t="s">
        <v>1670</v>
      </c>
      <c r="P232" t="s">
        <v>1788</v>
      </c>
      <c r="Q232" t="s">
        <v>1940</v>
      </c>
      <c r="R232" t="s">
        <v>1960</v>
      </c>
      <c r="S232" t="s">
        <v>1969</v>
      </c>
      <c r="T232" t="s">
        <v>1671</v>
      </c>
      <c r="V232" t="s">
        <v>1972</v>
      </c>
      <c r="W232" t="s">
        <v>1984</v>
      </c>
      <c r="X232" t="s">
        <v>175</v>
      </c>
      <c r="Y232">
        <v>1500</v>
      </c>
      <c r="Z232" t="s">
        <v>2007</v>
      </c>
      <c r="AA232" t="s">
        <v>2015</v>
      </c>
      <c r="AB232" t="s">
        <v>2032</v>
      </c>
      <c r="AC232" t="s">
        <v>2234</v>
      </c>
      <c r="AD232" t="s">
        <v>2660</v>
      </c>
      <c r="AE232">
        <v>2</v>
      </c>
      <c r="AF232" t="s">
        <v>2903</v>
      </c>
      <c r="AG232" t="s">
        <v>2915</v>
      </c>
      <c r="AH232">
        <v>2</v>
      </c>
      <c r="AJ232">
        <v>1</v>
      </c>
      <c r="AK232">
        <v>2</v>
      </c>
      <c r="AL232">
        <v>48.8</v>
      </c>
      <c r="AO232" t="s">
        <v>2926</v>
      </c>
      <c r="AP232">
        <v>10140</v>
      </c>
      <c r="AR232" t="s">
        <v>2976</v>
      </c>
      <c r="AS232" t="s">
        <v>2982</v>
      </c>
      <c r="AT232" t="s">
        <v>2992</v>
      </c>
      <c r="AU232" t="s">
        <v>3014</v>
      </c>
      <c r="AV232">
        <v>14.65</v>
      </c>
      <c r="AW232" t="s">
        <v>166</v>
      </c>
      <c r="AX232" t="s">
        <v>85</v>
      </c>
    </row>
    <row r="233" spans="1:50">
      <c r="A233" s="1">
        <f>HYPERLINK("https://lsnyc.legalserver.org/matter/dynamic-profile/view/1889372","19-1889372")</f>
        <v>0</v>
      </c>
      <c r="B233" t="s">
        <v>50</v>
      </c>
      <c r="C233" t="s">
        <v>57</v>
      </c>
      <c r="D233" t="s">
        <v>163</v>
      </c>
      <c r="E233" t="s">
        <v>313</v>
      </c>
      <c r="G233" t="s">
        <v>521</v>
      </c>
      <c r="H233" t="s">
        <v>907</v>
      </c>
      <c r="I233" t="s">
        <v>1193</v>
      </c>
      <c r="J233" t="s">
        <v>1580</v>
      </c>
      <c r="K233" t="s">
        <v>1641</v>
      </c>
      <c r="L233">
        <v>10456</v>
      </c>
      <c r="M233" t="s">
        <v>1670</v>
      </c>
      <c r="P233" t="s">
        <v>1789</v>
      </c>
      <c r="Q233" t="s">
        <v>1938</v>
      </c>
      <c r="R233" t="s">
        <v>1961</v>
      </c>
      <c r="T233" t="s">
        <v>1670</v>
      </c>
      <c r="V233" t="s">
        <v>1972</v>
      </c>
      <c r="X233" t="s">
        <v>219</v>
      </c>
      <c r="Y233">
        <v>1573</v>
      </c>
      <c r="Z233" t="s">
        <v>2006</v>
      </c>
      <c r="AA233" t="s">
        <v>2015</v>
      </c>
      <c r="AC233" t="s">
        <v>2235</v>
      </c>
      <c r="AD233" t="s">
        <v>2661</v>
      </c>
      <c r="AE233">
        <v>61</v>
      </c>
      <c r="AF233" t="s">
        <v>2902</v>
      </c>
      <c r="AG233" t="s">
        <v>1754</v>
      </c>
      <c r="AH233">
        <v>6</v>
      </c>
      <c r="AJ233">
        <v>4</v>
      </c>
      <c r="AK233">
        <v>1</v>
      </c>
      <c r="AL233">
        <v>121.15</v>
      </c>
      <c r="AO233" t="s">
        <v>2927</v>
      </c>
      <c r="AP233">
        <v>36552</v>
      </c>
      <c r="AV233">
        <v>0</v>
      </c>
      <c r="AX233" t="s">
        <v>3047</v>
      </c>
    </row>
    <row r="234" spans="1:50">
      <c r="A234" s="1">
        <f>HYPERLINK("https://lsnyc.legalserver.org/matter/dynamic-profile/view/1880593","18-1880593")</f>
        <v>0</v>
      </c>
      <c r="B234" t="s">
        <v>50</v>
      </c>
      <c r="C234" t="s">
        <v>57</v>
      </c>
      <c r="D234" t="s">
        <v>163</v>
      </c>
      <c r="E234" t="s">
        <v>245</v>
      </c>
      <c r="G234" t="s">
        <v>521</v>
      </c>
      <c r="H234" t="s">
        <v>907</v>
      </c>
      <c r="I234" t="s">
        <v>1193</v>
      </c>
      <c r="J234" t="s">
        <v>1580</v>
      </c>
      <c r="K234" t="s">
        <v>1641</v>
      </c>
      <c r="L234">
        <v>10456</v>
      </c>
      <c r="M234" t="s">
        <v>1670</v>
      </c>
      <c r="P234" t="s">
        <v>1736</v>
      </c>
      <c r="Q234" t="s">
        <v>1938</v>
      </c>
      <c r="R234" t="s">
        <v>1961</v>
      </c>
      <c r="T234" t="s">
        <v>1670</v>
      </c>
      <c r="V234" t="s">
        <v>1972</v>
      </c>
      <c r="X234" t="s">
        <v>219</v>
      </c>
      <c r="Y234">
        <v>1573</v>
      </c>
      <c r="Z234" t="s">
        <v>2006</v>
      </c>
      <c r="AA234" t="s">
        <v>2015</v>
      </c>
      <c r="AC234" t="s">
        <v>2235</v>
      </c>
      <c r="AD234" t="s">
        <v>2661</v>
      </c>
      <c r="AE234">
        <v>61</v>
      </c>
      <c r="AF234" t="s">
        <v>2902</v>
      </c>
      <c r="AG234" t="s">
        <v>1754</v>
      </c>
      <c r="AH234">
        <v>6</v>
      </c>
      <c r="AJ234">
        <v>4</v>
      </c>
      <c r="AK234">
        <v>1</v>
      </c>
      <c r="AL234">
        <v>169.11</v>
      </c>
      <c r="AO234" t="s">
        <v>2927</v>
      </c>
      <c r="AP234">
        <v>49752</v>
      </c>
      <c r="AV234">
        <v>0</v>
      </c>
      <c r="AX234" t="s">
        <v>3046</v>
      </c>
    </row>
    <row r="235" spans="1:50">
      <c r="A235" s="1">
        <f>HYPERLINK("https://lsnyc.legalserver.org/matter/dynamic-profile/view/1874486","18-1874486")</f>
        <v>0</v>
      </c>
      <c r="B235" t="s">
        <v>50</v>
      </c>
      <c r="C235" t="s">
        <v>96</v>
      </c>
      <c r="D235" t="s">
        <v>164</v>
      </c>
      <c r="E235" t="s">
        <v>314</v>
      </c>
      <c r="F235" t="s">
        <v>270</v>
      </c>
      <c r="G235" t="s">
        <v>577</v>
      </c>
      <c r="H235" t="s">
        <v>936</v>
      </c>
      <c r="I235" t="s">
        <v>1276</v>
      </c>
      <c r="J235">
        <v>32</v>
      </c>
      <c r="K235" t="s">
        <v>1644</v>
      </c>
      <c r="L235">
        <v>11238</v>
      </c>
      <c r="M235" t="s">
        <v>1670</v>
      </c>
      <c r="Q235" t="s">
        <v>1941</v>
      </c>
      <c r="R235" t="s">
        <v>1959</v>
      </c>
      <c r="S235" t="s">
        <v>1968</v>
      </c>
      <c r="T235" t="s">
        <v>1670</v>
      </c>
      <c r="V235" t="s">
        <v>1972</v>
      </c>
      <c r="X235" t="s">
        <v>252</v>
      </c>
      <c r="Y235">
        <v>892</v>
      </c>
      <c r="Z235" t="s">
        <v>2009</v>
      </c>
      <c r="AA235" t="s">
        <v>2025</v>
      </c>
      <c r="AB235" t="s">
        <v>2030</v>
      </c>
      <c r="AC235" t="s">
        <v>2236</v>
      </c>
      <c r="AD235" t="s">
        <v>2662</v>
      </c>
      <c r="AE235">
        <v>44</v>
      </c>
      <c r="AF235" t="s">
        <v>2902</v>
      </c>
      <c r="AG235" t="s">
        <v>1754</v>
      </c>
      <c r="AH235">
        <v>13</v>
      </c>
      <c r="AJ235">
        <v>1</v>
      </c>
      <c r="AK235">
        <v>2</v>
      </c>
      <c r="AL235">
        <v>192.49</v>
      </c>
      <c r="AO235" t="s">
        <v>2926</v>
      </c>
      <c r="AP235">
        <v>40000</v>
      </c>
      <c r="AV235">
        <v>8.25</v>
      </c>
      <c r="AW235" t="s">
        <v>250</v>
      </c>
      <c r="AX235" t="s">
        <v>3079</v>
      </c>
    </row>
    <row r="236" spans="1:50">
      <c r="A236" s="1">
        <f>HYPERLINK("https://lsnyc.legalserver.org/matter/dynamic-profile/view/1883353","18-1883353")</f>
        <v>0</v>
      </c>
      <c r="B236" t="s">
        <v>50</v>
      </c>
      <c r="C236" t="s">
        <v>96</v>
      </c>
      <c r="D236" t="s">
        <v>163</v>
      </c>
      <c r="E236" t="s">
        <v>315</v>
      </c>
      <c r="G236" t="s">
        <v>577</v>
      </c>
      <c r="H236" t="s">
        <v>936</v>
      </c>
      <c r="I236" t="s">
        <v>1276</v>
      </c>
      <c r="J236">
        <v>32</v>
      </c>
      <c r="K236" t="s">
        <v>1644</v>
      </c>
      <c r="L236">
        <v>11238</v>
      </c>
      <c r="M236" t="s">
        <v>1670</v>
      </c>
      <c r="P236" t="s">
        <v>1790</v>
      </c>
      <c r="Q236" t="s">
        <v>1936</v>
      </c>
      <c r="R236" t="s">
        <v>1960</v>
      </c>
      <c r="T236" t="s">
        <v>1671</v>
      </c>
      <c r="V236" t="s">
        <v>1972</v>
      </c>
      <c r="W236" t="s">
        <v>1987</v>
      </c>
      <c r="X236" t="s">
        <v>315</v>
      </c>
      <c r="Y236">
        <v>892</v>
      </c>
      <c r="Z236" t="s">
        <v>2009</v>
      </c>
      <c r="AA236" t="s">
        <v>2020</v>
      </c>
      <c r="AC236" t="s">
        <v>2236</v>
      </c>
      <c r="AD236" t="s">
        <v>2662</v>
      </c>
      <c r="AE236">
        <v>44</v>
      </c>
      <c r="AF236" t="s">
        <v>2902</v>
      </c>
      <c r="AG236" t="s">
        <v>1754</v>
      </c>
      <c r="AH236">
        <v>13</v>
      </c>
      <c r="AJ236">
        <v>1</v>
      </c>
      <c r="AK236">
        <v>2</v>
      </c>
      <c r="AL236">
        <v>192.49</v>
      </c>
      <c r="AO236" t="s">
        <v>2926</v>
      </c>
      <c r="AP236">
        <v>40000</v>
      </c>
      <c r="AV236">
        <v>26.45</v>
      </c>
      <c r="AW236" t="s">
        <v>3034</v>
      </c>
      <c r="AX236" t="s">
        <v>3063</v>
      </c>
    </row>
    <row r="237" spans="1:50">
      <c r="A237" s="1">
        <f>HYPERLINK("https://lsnyc.legalserver.org/matter/dynamic-profile/view/1892227","19-1892227")</f>
        <v>0</v>
      </c>
      <c r="B237" t="s">
        <v>50</v>
      </c>
      <c r="C237" t="s">
        <v>111</v>
      </c>
      <c r="D237" t="s">
        <v>163</v>
      </c>
      <c r="E237" t="s">
        <v>316</v>
      </c>
      <c r="G237" t="s">
        <v>578</v>
      </c>
      <c r="H237" t="s">
        <v>937</v>
      </c>
      <c r="I237" t="s">
        <v>1260</v>
      </c>
      <c r="J237" t="s">
        <v>1581</v>
      </c>
      <c r="K237" t="s">
        <v>1641</v>
      </c>
      <c r="L237">
        <v>10453</v>
      </c>
      <c r="M237" t="s">
        <v>1670</v>
      </c>
      <c r="Q237" t="s">
        <v>1938</v>
      </c>
      <c r="R237" t="s">
        <v>1961</v>
      </c>
      <c r="T237" t="s">
        <v>1670</v>
      </c>
      <c r="V237" t="s">
        <v>1972</v>
      </c>
      <c r="X237" t="s">
        <v>283</v>
      </c>
      <c r="Y237">
        <v>968.91</v>
      </c>
      <c r="Z237" t="s">
        <v>2006</v>
      </c>
      <c r="AA237" t="s">
        <v>2015</v>
      </c>
      <c r="AC237" t="s">
        <v>2237</v>
      </c>
      <c r="AD237" t="s">
        <v>2663</v>
      </c>
      <c r="AE237">
        <v>49</v>
      </c>
      <c r="AF237" t="s">
        <v>2902</v>
      </c>
      <c r="AG237" t="s">
        <v>1754</v>
      </c>
      <c r="AH237">
        <v>14</v>
      </c>
      <c r="AJ237">
        <v>1</v>
      </c>
      <c r="AK237">
        <v>4</v>
      </c>
      <c r="AL237">
        <v>136.21</v>
      </c>
      <c r="AO237" t="s">
        <v>2926</v>
      </c>
      <c r="AP237">
        <v>41095</v>
      </c>
      <c r="AV237">
        <v>0</v>
      </c>
      <c r="AX237" t="s">
        <v>3046</v>
      </c>
    </row>
    <row r="238" spans="1:50">
      <c r="A238" s="1">
        <f>HYPERLINK("https://lsnyc.legalserver.org/matter/dynamic-profile/view/1887071","19-1887071")</f>
        <v>0</v>
      </c>
      <c r="B238" t="s">
        <v>50</v>
      </c>
      <c r="C238" t="s">
        <v>111</v>
      </c>
      <c r="D238" t="s">
        <v>163</v>
      </c>
      <c r="E238" t="s">
        <v>202</v>
      </c>
      <c r="G238" t="s">
        <v>578</v>
      </c>
      <c r="H238" t="s">
        <v>937</v>
      </c>
      <c r="I238" t="s">
        <v>1260</v>
      </c>
      <c r="J238" t="s">
        <v>1581</v>
      </c>
      <c r="K238" t="s">
        <v>1641</v>
      </c>
      <c r="L238">
        <v>10453</v>
      </c>
      <c r="M238" t="s">
        <v>1670</v>
      </c>
      <c r="Q238" t="s">
        <v>1675</v>
      </c>
      <c r="R238" t="s">
        <v>1959</v>
      </c>
      <c r="T238" t="s">
        <v>1670</v>
      </c>
      <c r="V238" t="s">
        <v>1972</v>
      </c>
      <c r="X238" t="s">
        <v>243</v>
      </c>
      <c r="Y238">
        <v>968.91</v>
      </c>
      <c r="Z238" t="s">
        <v>2006</v>
      </c>
      <c r="AA238" t="s">
        <v>2015</v>
      </c>
      <c r="AC238" t="s">
        <v>2237</v>
      </c>
      <c r="AD238" t="s">
        <v>2663</v>
      </c>
      <c r="AE238">
        <v>49</v>
      </c>
      <c r="AF238" t="s">
        <v>2902</v>
      </c>
      <c r="AG238" t="s">
        <v>1754</v>
      </c>
      <c r="AH238">
        <v>14</v>
      </c>
      <c r="AJ238">
        <v>1</v>
      </c>
      <c r="AK238">
        <v>4</v>
      </c>
      <c r="AL238">
        <v>139.68</v>
      </c>
      <c r="AO238" t="s">
        <v>2926</v>
      </c>
      <c r="AP238">
        <v>41095</v>
      </c>
      <c r="AV238">
        <v>0</v>
      </c>
      <c r="AX238" t="s">
        <v>3046</v>
      </c>
    </row>
    <row r="239" spans="1:50">
      <c r="A239" s="1">
        <f>HYPERLINK("https://lsnyc.legalserver.org/matter/dynamic-profile/view/1887051","19-1887051")</f>
        <v>0</v>
      </c>
      <c r="B239" t="s">
        <v>50</v>
      </c>
      <c r="C239" t="s">
        <v>111</v>
      </c>
      <c r="D239" t="s">
        <v>163</v>
      </c>
      <c r="E239" t="s">
        <v>202</v>
      </c>
      <c r="G239" t="s">
        <v>578</v>
      </c>
      <c r="H239" t="s">
        <v>937</v>
      </c>
      <c r="I239" t="s">
        <v>1260</v>
      </c>
      <c r="J239" t="s">
        <v>1581</v>
      </c>
      <c r="K239" t="s">
        <v>1641</v>
      </c>
      <c r="L239">
        <v>10453</v>
      </c>
      <c r="M239" t="s">
        <v>1670</v>
      </c>
      <c r="P239" t="s">
        <v>1778</v>
      </c>
      <c r="Q239" t="s">
        <v>1939</v>
      </c>
      <c r="R239" t="s">
        <v>1960</v>
      </c>
      <c r="T239" t="s">
        <v>1670</v>
      </c>
      <c r="V239" t="s">
        <v>1972</v>
      </c>
      <c r="X239" t="s">
        <v>283</v>
      </c>
      <c r="Y239">
        <v>968.91</v>
      </c>
      <c r="Z239" t="s">
        <v>2006</v>
      </c>
      <c r="AA239" t="s">
        <v>2015</v>
      </c>
      <c r="AC239" t="s">
        <v>2237</v>
      </c>
      <c r="AD239" t="s">
        <v>2663</v>
      </c>
      <c r="AE239">
        <v>49</v>
      </c>
      <c r="AF239" t="s">
        <v>2902</v>
      </c>
      <c r="AG239" t="s">
        <v>1754</v>
      </c>
      <c r="AH239">
        <v>14</v>
      </c>
      <c r="AJ239">
        <v>1</v>
      </c>
      <c r="AK239">
        <v>4</v>
      </c>
      <c r="AL239">
        <v>139.68</v>
      </c>
      <c r="AO239" t="s">
        <v>2926</v>
      </c>
      <c r="AP239">
        <v>41095</v>
      </c>
      <c r="AV239">
        <v>0</v>
      </c>
      <c r="AX239" t="s">
        <v>3046</v>
      </c>
    </row>
    <row r="240" spans="1:50">
      <c r="A240" s="1">
        <f>HYPERLINK("https://lsnyc.legalserver.org/matter/dynamic-profile/view/1893147","19-1893147")</f>
        <v>0</v>
      </c>
      <c r="B240" t="s">
        <v>50</v>
      </c>
      <c r="C240" t="s">
        <v>138</v>
      </c>
      <c r="D240" t="s">
        <v>163</v>
      </c>
      <c r="E240" t="s">
        <v>317</v>
      </c>
      <c r="G240" t="s">
        <v>579</v>
      </c>
      <c r="H240" t="s">
        <v>938</v>
      </c>
      <c r="I240" t="s">
        <v>1277</v>
      </c>
      <c r="J240" t="s">
        <v>1582</v>
      </c>
      <c r="K240" t="s">
        <v>1646</v>
      </c>
      <c r="L240">
        <v>10304</v>
      </c>
      <c r="M240" t="s">
        <v>1670</v>
      </c>
      <c r="P240" t="s">
        <v>1791</v>
      </c>
      <c r="Q240" t="s">
        <v>1936</v>
      </c>
      <c r="R240" t="s">
        <v>1960</v>
      </c>
      <c r="T240" t="s">
        <v>1671</v>
      </c>
      <c r="V240" t="s">
        <v>1972</v>
      </c>
      <c r="W240" t="s">
        <v>1984</v>
      </c>
      <c r="X240" t="s">
        <v>317</v>
      </c>
      <c r="Y240">
        <v>825</v>
      </c>
      <c r="Z240" t="s">
        <v>2010</v>
      </c>
      <c r="AA240" t="s">
        <v>2011</v>
      </c>
      <c r="AC240" t="s">
        <v>2238</v>
      </c>
      <c r="AD240" t="s">
        <v>2664</v>
      </c>
      <c r="AE240">
        <v>2</v>
      </c>
      <c r="AF240" t="s">
        <v>2903</v>
      </c>
      <c r="AG240" t="s">
        <v>1754</v>
      </c>
      <c r="AH240">
        <v>4</v>
      </c>
      <c r="AJ240">
        <v>3</v>
      </c>
      <c r="AK240">
        <v>1</v>
      </c>
      <c r="AL240">
        <v>67.51000000000001</v>
      </c>
      <c r="AO240" t="s">
        <v>2926</v>
      </c>
      <c r="AP240">
        <v>17384</v>
      </c>
      <c r="AV240">
        <v>18.75</v>
      </c>
      <c r="AW240" t="s">
        <v>401</v>
      </c>
      <c r="AX240" t="s">
        <v>3050</v>
      </c>
    </row>
    <row r="241" spans="1:50">
      <c r="A241" s="1">
        <f>HYPERLINK("https://lsnyc.legalserver.org/matter/dynamic-profile/view/1895458","19-1895458")</f>
        <v>0</v>
      </c>
      <c r="B241" t="s">
        <v>50</v>
      </c>
      <c r="C241" t="s">
        <v>131</v>
      </c>
      <c r="D241" t="s">
        <v>164</v>
      </c>
      <c r="E241" t="s">
        <v>283</v>
      </c>
      <c r="F241" t="s">
        <v>275</v>
      </c>
      <c r="G241" t="s">
        <v>580</v>
      </c>
      <c r="H241" t="s">
        <v>939</v>
      </c>
      <c r="I241" t="s">
        <v>1278</v>
      </c>
      <c r="J241" t="s">
        <v>1560</v>
      </c>
      <c r="K241" t="s">
        <v>1643</v>
      </c>
      <c r="L241">
        <v>10029</v>
      </c>
      <c r="M241" t="s">
        <v>1670</v>
      </c>
      <c r="Q241" t="s">
        <v>1944</v>
      </c>
      <c r="R241" t="s">
        <v>1959</v>
      </c>
      <c r="S241" t="s">
        <v>1966</v>
      </c>
      <c r="T241" t="s">
        <v>1671</v>
      </c>
      <c r="V241" t="s">
        <v>1976</v>
      </c>
      <c r="W241" t="s">
        <v>1984</v>
      </c>
      <c r="X241" t="s">
        <v>283</v>
      </c>
      <c r="Y241">
        <v>714</v>
      </c>
      <c r="Z241" t="s">
        <v>2008</v>
      </c>
      <c r="AA241" t="s">
        <v>2021</v>
      </c>
      <c r="AB241" t="s">
        <v>2039</v>
      </c>
      <c r="AC241" t="s">
        <v>2239</v>
      </c>
      <c r="AD241" t="s">
        <v>2665</v>
      </c>
      <c r="AE241">
        <v>48</v>
      </c>
      <c r="AF241" t="s">
        <v>2909</v>
      </c>
      <c r="AG241" t="s">
        <v>2915</v>
      </c>
      <c r="AH241">
        <v>0</v>
      </c>
      <c r="AJ241">
        <v>3</v>
      </c>
      <c r="AK241">
        <v>1</v>
      </c>
      <c r="AL241">
        <v>100.19</v>
      </c>
      <c r="AO241" t="s">
        <v>2927</v>
      </c>
      <c r="AP241">
        <v>25800</v>
      </c>
      <c r="AV241">
        <v>2.5</v>
      </c>
      <c r="AW241" t="s">
        <v>275</v>
      </c>
      <c r="AX241" t="s">
        <v>3051</v>
      </c>
    </row>
    <row r="242" spans="1:50">
      <c r="A242" s="1">
        <f>HYPERLINK("https://lsnyc.legalserver.org/matter/dynamic-profile/view/1877623","18-1877623")</f>
        <v>0</v>
      </c>
      <c r="B242" t="s">
        <v>50</v>
      </c>
      <c r="C242" t="s">
        <v>139</v>
      </c>
      <c r="D242" t="s">
        <v>164</v>
      </c>
      <c r="E242" t="s">
        <v>292</v>
      </c>
      <c r="F242" t="s">
        <v>186</v>
      </c>
      <c r="G242" t="s">
        <v>580</v>
      </c>
      <c r="H242" t="s">
        <v>939</v>
      </c>
      <c r="I242" t="s">
        <v>1278</v>
      </c>
      <c r="J242" t="s">
        <v>1560</v>
      </c>
      <c r="K242" t="s">
        <v>1643</v>
      </c>
      <c r="L242">
        <v>10029</v>
      </c>
      <c r="M242" t="s">
        <v>1670</v>
      </c>
      <c r="P242" t="s">
        <v>1792</v>
      </c>
      <c r="Q242" t="s">
        <v>1936</v>
      </c>
      <c r="R242" t="s">
        <v>1960</v>
      </c>
      <c r="S242" t="s">
        <v>1967</v>
      </c>
      <c r="T242" t="s">
        <v>1671</v>
      </c>
      <c r="V242" t="s">
        <v>1972</v>
      </c>
      <c r="W242" t="s">
        <v>1984</v>
      </c>
      <c r="X242" t="s">
        <v>298</v>
      </c>
      <c r="Y242">
        <v>1925</v>
      </c>
      <c r="Z242" t="s">
        <v>2008</v>
      </c>
      <c r="AA242" t="s">
        <v>2013</v>
      </c>
      <c r="AB242" t="s">
        <v>2042</v>
      </c>
      <c r="AC242" t="s">
        <v>2239</v>
      </c>
      <c r="AD242" t="s">
        <v>2665</v>
      </c>
      <c r="AE242">
        <v>38</v>
      </c>
      <c r="AF242" t="s">
        <v>2909</v>
      </c>
      <c r="AG242" t="s">
        <v>2915</v>
      </c>
      <c r="AH242">
        <v>14</v>
      </c>
      <c r="AJ242">
        <v>2</v>
      </c>
      <c r="AK242">
        <v>2</v>
      </c>
      <c r="AL242">
        <v>52.4</v>
      </c>
      <c r="AO242" t="s">
        <v>2927</v>
      </c>
      <c r="AP242">
        <v>13152</v>
      </c>
      <c r="AS242" t="s">
        <v>2988</v>
      </c>
      <c r="AT242" t="s">
        <v>2992</v>
      </c>
      <c r="AU242" t="s">
        <v>3015</v>
      </c>
      <c r="AV242">
        <v>25.14</v>
      </c>
      <c r="AW242" t="s">
        <v>390</v>
      </c>
      <c r="AX242" t="s">
        <v>3067</v>
      </c>
    </row>
    <row r="243" spans="1:50">
      <c r="A243" s="1">
        <f>HYPERLINK("https://lsnyc.legalserver.org/matter/dynamic-profile/view/1880006","18-1880006")</f>
        <v>0</v>
      </c>
      <c r="B243" t="s">
        <v>50</v>
      </c>
      <c r="C243" t="s">
        <v>107</v>
      </c>
      <c r="D243" t="s">
        <v>163</v>
      </c>
      <c r="E243" t="s">
        <v>318</v>
      </c>
      <c r="G243" t="s">
        <v>581</v>
      </c>
      <c r="H243" t="s">
        <v>940</v>
      </c>
      <c r="I243" t="s">
        <v>1279</v>
      </c>
      <c r="J243" t="s">
        <v>1539</v>
      </c>
      <c r="K243" t="s">
        <v>1644</v>
      </c>
      <c r="L243">
        <v>11212</v>
      </c>
      <c r="M243" t="s">
        <v>1670</v>
      </c>
      <c r="P243" t="s">
        <v>1793</v>
      </c>
      <c r="Q243" t="s">
        <v>1936</v>
      </c>
      <c r="R243" t="s">
        <v>1960</v>
      </c>
      <c r="T243" t="s">
        <v>1671</v>
      </c>
      <c r="V243" t="s">
        <v>1972</v>
      </c>
      <c r="W243" t="s">
        <v>1984</v>
      </c>
      <c r="X243" t="s">
        <v>178</v>
      </c>
      <c r="Y243">
        <v>1550</v>
      </c>
      <c r="Z243" t="s">
        <v>2009</v>
      </c>
      <c r="AA243" t="s">
        <v>2020</v>
      </c>
      <c r="AC243" t="s">
        <v>2240</v>
      </c>
      <c r="AD243" t="s">
        <v>2666</v>
      </c>
      <c r="AE243">
        <v>6</v>
      </c>
      <c r="AF243" t="s">
        <v>2902</v>
      </c>
      <c r="AG243" t="s">
        <v>1754</v>
      </c>
      <c r="AH243">
        <v>2</v>
      </c>
      <c r="AJ243">
        <v>1</v>
      </c>
      <c r="AK243">
        <v>2</v>
      </c>
      <c r="AL243">
        <v>146.3</v>
      </c>
      <c r="AO243" t="s">
        <v>2926</v>
      </c>
      <c r="AP243">
        <v>30402</v>
      </c>
      <c r="AV243">
        <v>45.4</v>
      </c>
      <c r="AW243" t="s">
        <v>1995</v>
      </c>
      <c r="AX243" t="s">
        <v>3060</v>
      </c>
    </row>
    <row r="244" spans="1:50">
      <c r="A244" s="1">
        <f>HYPERLINK("https://lsnyc.legalserver.org/matter/dynamic-profile/view/1899923","19-1899923")</f>
        <v>0</v>
      </c>
      <c r="B244" t="s">
        <v>50</v>
      </c>
      <c r="C244" t="s">
        <v>74</v>
      </c>
      <c r="D244" t="s">
        <v>163</v>
      </c>
      <c r="E244" t="s">
        <v>191</v>
      </c>
      <c r="G244" t="s">
        <v>453</v>
      </c>
      <c r="H244" t="s">
        <v>941</v>
      </c>
      <c r="I244" t="s">
        <v>1131</v>
      </c>
      <c r="J244" t="s">
        <v>1583</v>
      </c>
      <c r="K244" t="s">
        <v>1641</v>
      </c>
      <c r="L244">
        <v>10460</v>
      </c>
      <c r="M244" t="s">
        <v>1670</v>
      </c>
      <c r="P244" t="s">
        <v>1691</v>
      </c>
      <c r="Q244" t="s">
        <v>1675</v>
      </c>
      <c r="R244" t="s">
        <v>1959</v>
      </c>
      <c r="T244" t="s">
        <v>1670</v>
      </c>
      <c r="V244" t="s">
        <v>1972</v>
      </c>
      <c r="X244" t="s">
        <v>1991</v>
      </c>
      <c r="Y244">
        <v>751</v>
      </c>
      <c r="Z244" t="s">
        <v>2006</v>
      </c>
      <c r="AA244" t="s">
        <v>2015</v>
      </c>
      <c r="AC244" t="s">
        <v>2241</v>
      </c>
      <c r="AD244" t="s">
        <v>2667</v>
      </c>
      <c r="AE244">
        <v>168</v>
      </c>
      <c r="AF244" t="s">
        <v>2902</v>
      </c>
      <c r="AG244" t="s">
        <v>2915</v>
      </c>
      <c r="AH244">
        <v>15</v>
      </c>
      <c r="AJ244">
        <v>2</v>
      </c>
      <c r="AK244">
        <v>1</v>
      </c>
      <c r="AL244">
        <v>169.95</v>
      </c>
      <c r="AO244" t="s">
        <v>2926</v>
      </c>
      <c r="AP244">
        <v>36250</v>
      </c>
      <c r="AV244">
        <v>0</v>
      </c>
      <c r="AX244" t="s">
        <v>3054</v>
      </c>
    </row>
    <row r="245" spans="1:50">
      <c r="A245" s="1">
        <f>HYPERLINK("https://lsnyc.legalserver.org/matter/dynamic-profile/view/1893585","19-1893585")</f>
        <v>0</v>
      </c>
      <c r="B245" t="s">
        <v>50</v>
      </c>
      <c r="C245" t="s">
        <v>126</v>
      </c>
      <c r="D245" t="s">
        <v>163</v>
      </c>
      <c r="E245" t="s">
        <v>189</v>
      </c>
      <c r="G245" t="s">
        <v>453</v>
      </c>
      <c r="H245" t="s">
        <v>941</v>
      </c>
      <c r="I245" t="s">
        <v>1131</v>
      </c>
      <c r="J245" t="s">
        <v>1583</v>
      </c>
      <c r="K245" t="s">
        <v>1641</v>
      </c>
      <c r="L245">
        <v>10460</v>
      </c>
      <c r="M245" t="s">
        <v>1670</v>
      </c>
      <c r="P245" t="s">
        <v>1794</v>
      </c>
      <c r="Q245" t="s">
        <v>1936</v>
      </c>
      <c r="R245" t="s">
        <v>1960</v>
      </c>
      <c r="T245" t="s">
        <v>1671</v>
      </c>
      <c r="V245" t="s">
        <v>1972</v>
      </c>
      <c r="X245" t="s">
        <v>1991</v>
      </c>
      <c r="Y245">
        <v>751</v>
      </c>
      <c r="Z245" t="s">
        <v>2006</v>
      </c>
      <c r="AA245" t="s">
        <v>2015</v>
      </c>
      <c r="AC245" t="s">
        <v>2241</v>
      </c>
      <c r="AD245" t="s">
        <v>2667</v>
      </c>
      <c r="AE245">
        <v>169</v>
      </c>
      <c r="AF245" t="s">
        <v>2904</v>
      </c>
      <c r="AG245" t="s">
        <v>2915</v>
      </c>
      <c r="AH245">
        <v>15</v>
      </c>
      <c r="AJ245">
        <v>2</v>
      </c>
      <c r="AK245">
        <v>1</v>
      </c>
      <c r="AL245">
        <v>169.95</v>
      </c>
      <c r="AO245" t="s">
        <v>2926</v>
      </c>
      <c r="AP245">
        <v>36250</v>
      </c>
      <c r="AV245">
        <v>14.8</v>
      </c>
      <c r="AW245" t="s">
        <v>354</v>
      </c>
      <c r="AX245" t="s">
        <v>3047</v>
      </c>
    </row>
    <row r="246" spans="1:50">
      <c r="A246" s="1">
        <f>HYPERLINK("https://lsnyc.legalserver.org/matter/dynamic-profile/view/1886706","18-1886706")</f>
        <v>0</v>
      </c>
      <c r="B246" t="s">
        <v>50</v>
      </c>
      <c r="C246" t="s">
        <v>74</v>
      </c>
      <c r="D246" t="s">
        <v>163</v>
      </c>
      <c r="E246" t="s">
        <v>246</v>
      </c>
      <c r="G246" t="s">
        <v>453</v>
      </c>
      <c r="H246" t="s">
        <v>941</v>
      </c>
      <c r="I246" t="s">
        <v>1131</v>
      </c>
      <c r="J246" t="s">
        <v>1583</v>
      </c>
      <c r="K246" t="s">
        <v>1641</v>
      </c>
      <c r="L246">
        <v>10460</v>
      </c>
      <c r="M246" t="s">
        <v>1670</v>
      </c>
      <c r="P246" t="s">
        <v>1795</v>
      </c>
      <c r="Q246" t="s">
        <v>1939</v>
      </c>
      <c r="R246" t="s">
        <v>1960</v>
      </c>
      <c r="T246" t="s">
        <v>1670</v>
      </c>
      <c r="V246" t="s">
        <v>1972</v>
      </c>
      <c r="X246" t="s">
        <v>283</v>
      </c>
      <c r="Y246">
        <v>751</v>
      </c>
      <c r="Z246" t="s">
        <v>2006</v>
      </c>
      <c r="AA246" t="s">
        <v>2015</v>
      </c>
      <c r="AC246" t="s">
        <v>2241</v>
      </c>
      <c r="AD246" t="s">
        <v>2667</v>
      </c>
      <c r="AE246">
        <v>168</v>
      </c>
      <c r="AF246" t="s">
        <v>2904</v>
      </c>
      <c r="AG246" t="s">
        <v>2915</v>
      </c>
      <c r="AH246">
        <v>15</v>
      </c>
      <c r="AJ246">
        <v>2</v>
      </c>
      <c r="AK246">
        <v>1</v>
      </c>
      <c r="AL246">
        <v>174.45</v>
      </c>
      <c r="AO246" t="s">
        <v>2926</v>
      </c>
      <c r="AP246">
        <v>36250</v>
      </c>
      <c r="AV246">
        <v>0</v>
      </c>
      <c r="AX246" t="s">
        <v>76</v>
      </c>
    </row>
    <row r="247" spans="1:50">
      <c r="A247" s="1">
        <f>HYPERLINK("https://lsnyc.legalserver.org/matter/dynamic-profile/view/1894846","19-1894846")</f>
        <v>0</v>
      </c>
      <c r="B247" t="s">
        <v>50</v>
      </c>
      <c r="C247" t="s">
        <v>71</v>
      </c>
      <c r="D247" t="s">
        <v>163</v>
      </c>
      <c r="E247" t="s">
        <v>255</v>
      </c>
      <c r="G247" t="s">
        <v>582</v>
      </c>
      <c r="H247" t="s">
        <v>942</v>
      </c>
      <c r="I247" t="s">
        <v>1280</v>
      </c>
      <c r="J247" t="s">
        <v>1542</v>
      </c>
      <c r="K247" t="s">
        <v>1646</v>
      </c>
      <c r="L247">
        <v>10312</v>
      </c>
      <c r="M247" t="s">
        <v>1670</v>
      </c>
      <c r="P247" t="s">
        <v>1796</v>
      </c>
      <c r="Q247" t="s">
        <v>1940</v>
      </c>
      <c r="R247" t="s">
        <v>1960</v>
      </c>
      <c r="T247" t="s">
        <v>1671</v>
      </c>
      <c r="V247" t="s">
        <v>1972</v>
      </c>
      <c r="W247" t="s">
        <v>1984</v>
      </c>
      <c r="X247" t="s">
        <v>255</v>
      </c>
      <c r="Y247">
        <v>1975</v>
      </c>
      <c r="Z247" t="s">
        <v>2010</v>
      </c>
      <c r="AA247" t="s">
        <v>2013</v>
      </c>
      <c r="AC247" t="s">
        <v>2242</v>
      </c>
      <c r="AD247" t="s">
        <v>2668</v>
      </c>
      <c r="AE247">
        <v>2</v>
      </c>
      <c r="AF247" t="s">
        <v>2903</v>
      </c>
      <c r="AG247" t="s">
        <v>2917</v>
      </c>
      <c r="AH247">
        <v>1</v>
      </c>
      <c r="AJ247">
        <v>2</v>
      </c>
      <c r="AK247">
        <v>3</v>
      </c>
      <c r="AL247">
        <v>0</v>
      </c>
      <c r="AO247" t="s">
        <v>2926</v>
      </c>
      <c r="AP247">
        <v>0</v>
      </c>
      <c r="AR247" t="s">
        <v>2979</v>
      </c>
      <c r="AS247" t="s">
        <v>2989</v>
      </c>
      <c r="AT247" t="s">
        <v>2992</v>
      </c>
      <c r="AU247" t="s">
        <v>3016</v>
      </c>
      <c r="AV247">
        <v>11.65</v>
      </c>
      <c r="AW247" t="s">
        <v>354</v>
      </c>
      <c r="AX247" t="s">
        <v>3050</v>
      </c>
    </row>
    <row r="248" spans="1:50">
      <c r="A248" s="1">
        <f>HYPERLINK("https://lsnyc.legalserver.org/matter/dynamic-profile/view/1894868","19-1894868")</f>
        <v>0</v>
      </c>
      <c r="B248" t="s">
        <v>50</v>
      </c>
      <c r="C248" t="s">
        <v>97</v>
      </c>
      <c r="D248" t="s">
        <v>163</v>
      </c>
      <c r="E248" t="s">
        <v>283</v>
      </c>
      <c r="G248" t="s">
        <v>583</v>
      </c>
      <c r="H248" t="s">
        <v>943</v>
      </c>
      <c r="I248" t="s">
        <v>1244</v>
      </c>
      <c r="J248">
        <v>51</v>
      </c>
      <c r="K248" t="s">
        <v>1643</v>
      </c>
      <c r="L248">
        <v>10034</v>
      </c>
      <c r="M248" t="s">
        <v>1670</v>
      </c>
      <c r="P248" t="s">
        <v>1771</v>
      </c>
      <c r="Q248" t="s">
        <v>1939</v>
      </c>
      <c r="R248" t="s">
        <v>1960</v>
      </c>
      <c r="T248" t="s">
        <v>1670</v>
      </c>
      <c r="V248" t="s">
        <v>1972</v>
      </c>
      <c r="X248" t="s">
        <v>283</v>
      </c>
      <c r="Y248">
        <v>1023</v>
      </c>
      <c r="Z248" t="s">
        <v>2008</v>
      </c>
      <c r="AA248" t="s">
        <v>2013</v>
      </c>
      <c r="AC248" t="s">
        <v>2243</v>
      </c>
      <c r="AD248" t="s">
        <v>2669</v>
      </c>
      <c r="AE248">
        <v>25</v>
      </c>
      <c r="AF248" t="s">
        <v>2902</v>
      </c>
      <c r="AG248" t="s">
        <v>1754</v>
      </c>
      <c r="AH248">
        <v>38</v>
      </c>
      <c r="AJ248">
        <v>4</v>
      </c>
      <c r="AK248">
        <v>1</v>
      </c>
      <c r="AL248">
        <v>58.11</v>
      </c>
      <c r="AP248">
        <v>17532</v>
      </c>
      <c r="AV248">
        <v>0.8</v>
      </c>
      <c r="AW248" t="s">
        <v>283</v>
      </c>
      <c r="AX248" t="s">
        <v>3075</v>
      </c>
    </row>
    <row r="249" spans="1:50">
      <c r="A249" s="1">
        <f>HYPERLINK("https://lsnyc.legalserver.org/matter/dynamic-profile/view/1885973","18-1885973")</f>
        <v>0</v>
      </c>
      <c r="B249" t="s">
        <v>50</v>
      </c>
      <c r="C249" t="s">
        <v>90</v>
      </c>
      <c r="D249" t="s">
        <v>164</v>
      </c>
      <c r="E249" t="s">
        <v>319</v>
      </c>
      <c r="F249" t="s">
        <v>328</v>
      </c>
      <c r="G249" t="s">
        <v>469</v>
      </c>
      <c r="H249" t="s">
        <v>843</v>
      </c>
      <c r="I249" t="s">
        <v>1281</v>
      </c>
      <c r="J249">
        <v>2</v>
      </c>
      <c r="K249" t="s">
        <v>1646</v>
      </c>
      <c r="L249">
        <v>10301</v>
      </c>
      <c r="M249" t="s">
        <v>1670</v>
      </c>
      <c r="P249" t="s">
        <v>1797</v>
      </c>
      <c r="Q249" t="s">
        <v>1940</v>
      </c>
      <c r="R249" t="s">
        <v>1959</v>
      </c>
      <c r="S249" t="s">
        <v>1966</v>
      </c>
      <c r="V249" t="s">
        <v>1972</v>
      </c>
      <c r="W249" t="s">
        <v>1983</v>
      </c>
      <c r="X249" t="s">
        <v>319</v>
      </c>
      <c r="Y249">
        <v>1400</v>
      </c>
      <c r="Z249" t="s">
        <v>2010</v>
      </c>
      <c r="AB249" t="s">
        <v>2037</v>
      </c>
      <c r="AC249" t="s">
        <v>2244</v>
      </c>
      <c r="AD249" t="s">
        <v>2670</v>
      </c>
      <c r="AE249">
        <v>0</v>
      </c>
      <c r="AG249" t="s">
        <v>2915</v>
      </c>
      <c r="AH249">
        <v>1</v>
      </c>
      <c r="AJ249">
        <v>1</v>
      </c>
      <c r="AK249">
        <v>1</v>
      </c>
      <c r="AL249">
        <v>109.36</v>
      </c>
      <c r="AO249" t="s">
        <v>2926</v>
      </c>
      <c r="AP249">
        <v>18000</v>
      </c>
      <c r="AV249">
        <v>7.2</v>
      </c>
      <c r="AW249" t="s">
        <v>1999</v>
      </c>
      <c r="AX249" t="s">
        <v>3072</v>
      </c>
    </row>
    <row r="250" spans="1:50">
      <c r="A250" s="1">
        <f>HYPERLINK("https://lsnyc.legalserver.org/matter/dynamic-profile/view/1886871","19-1886871")</f>
        <v>0</v>
      </c>
      <c r="B250" t="s">
        <v>50</v>
      </c>
      <c r="C250" t="s">
        <v>59</v>
      </c>
      <c r="D250" t="s">
        <v>163</v>
      </c>
      <c r="E250" t="s">
        <v>214</v>
      </c>
      <c r="G250" t="s">
        <v>547</v>
      </c>
      <c r="H250" t="s">
        <v>944</v>
      </c>
      <c r="I250" t="s">
        <v>1114</v>
      </c>
      <c r="J250" t="s">
        <v>1584</v>
      </c>
      <c r="K250" t="s">
        <v>1641</v>
      </c>
      <c r="L250">
        <v>10456</v>
      </c>
      <c r="M250" t="s">
        <v>1670</v>
      </c>
      <c r="P250" t="s">
        <v>1798</v>
      </c>
      <c r="Q250" t="s">
        <v>1938</v>
      </c>
      <c r="R250" t="s">
        <v>1961</v>
      </c>
      <c r="T250" t="s">
        <v>1670</v>
      </c>
      <c r="V250" t="s">
        <v>1972</v>
      </c>
      <c r="X250" t="s">
        <v>283</v>
      </c>
      <c r="Y250">
        <v>1200.58</v>
      </c>
      <c r="Z250" t="s">
        <v>2006</v>
      </c>
      <c r="AA250" t="s">
        <v>2015</v>
      </c>
      <c r="AC250" t="s">
        <v>2245</v>
      </c>
      <c r="AD250" t="s">
        <v>2671</v>
      </c>
      <c r="AE250">
        <v>131</v>
      </c>
      <c r="AF250" t="s">
        <v>2902</v>
      </c>
      <c r="AG250" t="s">
        <v>1754</v>
      </c>
      <c r="AH250">
        <v>7</v>
      </c>
      <c r="AJ250">
        <v>3</v>
      </c>
      <c r="AK250">
        <v>1</v>
      </c>
      <c r="AL250">
        <v>102.96</v>
      </c>
      <c r="AO250" t="s">
        <v>2927</v>
      </c>
      <c r="AP250">
        <v>25844</v>
      </c>
      <c r="AV250">
        <v>0</v>
      </c>
      <c r="AX250" t="s">
        <v>3047</v>
      </c>
    </row>
    <row r="251" spans="1:50">
      <c r="A251" s="1">
        <f>HYPERLINK("https://lsnyc.legalserver.org/matter/dynamic-profile/view/1889700","19-1889700")</f>
        <v>0</v>
      </c>
      <c r="B251" t="s">
        <v>50</v>
      </c>
      <c r="C251" t="s">
        <v>59</v>
      </c>
      <c r="D251" t="s">
        <v>163</v>
      </c>
      <c r="E251" t="s">
        <v>320</v>
      </c>
      <c r="G251" t="s">
        <v>547</v>
      </c>
      <c r="H251" t="s">
        <v>944</v>
      </c>
      <c r="I251" t="s">
        <v>1114</v>
      </c>
      <c r="J251" t="s">
        <v>1584</v>
      </c>
      <c r="K251" t="s">
        <v>1641</v>
      </c>
      <c r="L251">
        <v>10456</v>
      </c>
      <c r="M251" t="s">
        <v>1670</v>
      </c>
      <c r="Q251" t="s">
        <v>1938</v>
      </c>
      <c r="R251" t="s">
        <v>1961</v>
      </c>
      <c r="T251" t="s">
        <v>1670</v>
      </c>
      <c r="V251" t="s">
        <v>1972</v>
      </c>
      <c r="X251" t="s">
        <v>283</v>
      </c>
      <c r="Y251">
        <v>1200.58</v>
      </c>
      <c r="Z251" t="s">
        <v>2006</v>
      </c>
      <c r="AA251" t="s">
        <v>2015</v>
      </c>
      <c r="AC251" t="s">
        <v>2245</v>
      </c>
      <c r="AD251" t="s">
        <v>2671</v>
      </c>
      <c r="AE251">
        <v>131</v>
      </c>
      <c r="AF251" t="s">
        <v>2902</v>
      </c>
      <c r="AG251" t="s">
        <v>1754</v>
      </c>
      <c r="AH251">
        <v>7</v>
      </c>
      <c r="AJ251">
        <v>3</v>
      </c>
      <c r="AK251">
        <v>1</v>
      </c>
      <c r="AL251">
        <v>127.58</v>
      </c>
      <c r="AO251" t="s">
        <v>2927</v>
      </c>
      <c r="AP251">
        <v>32852</v>
      </c>
      <c r="AV251">
        <v>0</v>
      </c>
      <c r="AX251" t="s">
        <v>3047</v>
      </c>
    </row>
    <row r="252" spans="1:50">
      <c r="A252" s="1">
        <f>HYPERLINK("https://lsnyc.legalserver.org/matter/dynamic-profile/view/1876850","18-1876850")</f>
        <v>0</v>
      </c>
      <c r="B252" t="s">
        <v>50</v>
      </c>
      <c r="C252" t="s">
        <v>59</v>
      </c>
      <c r="D252" t="s">
        <v>163</v>
      </c>
      <c r="E252" t="s">
        <v>184</v>
      </c>
      <c r="G252" t="s">
        <v>547</v>
      </c>
      <c r="H252" t="s">
        <v>944</v>
      </c>
      <c r="I252" t="s">
        <v>1114</v>
      </c>
      <c r="J252" t="s">
        <v>1584</v>
      </c>
      <c r="K252" t="s">
        <v>1641</v>
      </c>
      <c r="L252">
        <v>10456</v>
      </c>
      <c r="M252" t="s">
        <v>1670</v>
      </c>
      <c r="P252" t="s">
        <v>1681</v>
      </c>
      <c r="Q252" t="s">
        <v>1939</v>
      </c>
      <c r="R252" t="s">
        <v>1960</v>
      </c>
      <c r="T252" t="s">
        <v>1670</v>
      </c>
      <c r="V252" t="s">
        <v>1972</v>
      </c>
      <c r="X252" t="s">
        <v>372</v>
      </c>
      <c r="Y252">
        <v>1200.58</v>
      </c>
      <c r="Z252" t="s">
        <v>2006</v>
      </c>
      <c r="AA252" t="s">
        <v>2015</v>
      </c>
      <c r="AC252" t="s">
        <v>2245</v>
      </c>
      <c r="AD252" t="s">
        <v>2671</v>
      </c>
      <c r="AE252">
        <v>131</v>
      </c>
      <c r="AF252" t="s">
        <v>2902</v>
      </c>
      <c r="AG252" t="s">
        <v>1754</v>
      </c>
      <c r="AH252">
        <v>7</v>
      </c>
      <c r="AJ252">
        <v>3</v>
      </c>
      <c r="AK252">
        <v>1</v>
      </c>
      <c r="AL252">
        <v>130.88</v>
      </c>
      <c r="AO252" t="s">
        <v>2927</v>
      </c>
      <c r="AP252">
        <v>32852</v>
      </c>
      <c r="AV252">
        <v>0</v>
      </c>
      <c r="AX252" t="s">
        <v>3047</v>
      </c>
    </row>
    <row r="253" spans="1:50">
      <c r="A253" s="1">
        <f>HYPERLINK("https://lsnyc.legalserver.org/matter/dynamic-profile/view/1876956","18-1876956")</f>
        <v>0</v>
      </c>
      <c r="B253" t="s">
        <v>51</v>
      </c>
      <c r="C253" t="s">
        <v>126</v>
      </c>
      <c r="D253" t="s">
        <v>163</v>
      </c>
      <c r="E253" t="s">
        <v>173</v>
      </c>
      <c r="G253" t="s">
        <v>584</v>
      </c>
      <c r="H253" t="s">
        <v>945</v>
      </c>
      <c r="I253" t="s">
        <v>1282</v>
      </c>
      <c r="J253" t="s">
        <v>1585</v>
      </c>
      <c r="K253" t="s">
        <v>1641</v>
      </c>
      <c r="L253">
        <v>10459</v>
      </c>
      <c r="M253" t="s">
        <v>1670</v>
      </c>
      <c r="Q253" t="s">
        <v>1940</v>
      </c>
      <c r="R253" t="s">
        <v>1960</v>
      </c>
      <c r="T253" t="s">
        <v>1671</v>
      </c>
      <c r="V253" t="s">
        <v>1972</v>
      </c>
      <c r="X253" t="s">
        <v>173</v>
      </c>
      <c r="Y253">
        <v>1720</v>
      </c>
      <c r="Z253" t="s">
        <v>2006</v>
      </c>
      <c r="AA253" t="s">
        <v>2012</v>
      </c>
      <c r="AC253" t="s">
        <v>2246</v>
      </c>
      <c r="AD253" t="s">
        <v>2672</v>
      </c>
      <c r="AE253">
        <v>128</v>
      </c>
      <c r="AF253" t="s">
        <v>2902</v>
      </c>
      <c r="AG253" t="s">
        <v>1754</v>
      </c>
      <c r="AH253">
        <v>11</v>
      </c>
      <c r="AJ253">
        <v>2</v>
      </c>
      <c r="AK253">
        <v>2</v>
      </c>
      <c r="AL253">
        <v>134.5</v>
      </c>
      <c r="AM253" t="s">
        <v>2923</v>
      </c>
      <c r="AN253" t="s">
        <v>2924</v>
      </c>
      <c r="AO253" t="s">
        <v>2926</v>
      </c>
      <c r="AP253">
        <v>33760</v>
      </c>
      <c r="AV253">
        <v>30.1</v>
      </c>
      <c r="AW253" t="s">
        <v>346</v>
      </c>
      <c r="AX253" t="s">
        <v>3080</v>
      </c>
    </row>
    <row r="254" spans="1:50">
      <c r="A254" s="1">
        <f>HYPERLINK("https://lsnyc.legalserver.org/matter/dynamic-profile/view/1882204","18-1882204")</f>
        <v>0</v>
      </c>
      <c r="B254" t="s">
        <v>50</v>
      </c>
      <c r="C254" t="s">
        <v>79</v>
      </c>
      <c r="D254" t="s">
        <v>163</v>
      </c>
      <c r="E254" t="s">
        <v>252</v>
      </c>
      <c r="G254" t="s">
        <v>585</v>
      </c>
      <c r="H254" t="s">
        <v>896</v>
      </c>
      <c r="I254" t="s">
        <v>1140</v>
      </c>
      <c r="J254" t="s">
        <v>1509</v>
      </c>
      <c r="K254" t="s">
        <v>1644</v>
      </c>
      <c r="L254">
        <v>11233</v>
      </c>
      <c r="M254" t="s">
        <v>1670</v>
      </c>
      <c r="P254" t="s">
        <v>1675</v>
      </c>
      <c r="Q254" t="s">
        <v>1937</v>
      </c>
      <c r="R254" t="s">
        <v>1962</v>
      </c>
      <c r="T254" t="s">
        <v>1670</v>
      </c>
      <c r="V254" t="s">
        <v>1972</v>
      </c>
      <c r="W254" t="s">
        <v>1984</v>
      </c>
      <c r="X254" t="s">
        <v>375</v>
      </c>
      <c r="Y254">
        <v>1290</v>
      </c>
      <c r="Z254" t="s">
        <v>2009</v>
      </c>
      <c r="AA254" t="s">
        <v>2020</v>
      </c>
      <c r="AC254" t="s">
        <v>2247</v>
      </c>
      <c r="AD254" t="s">
        <v>2673</v>
      </c>
      <c r="AE254">
        <v>6</v>
      </c>
      <c r="AF254" t="s">
        <v>2902</v>
      </c>
      <c r="AG254" t="s">
        <v>2917</v>
      </c>
      <c r="AH254">
        <v>13</v>
      </c>
      <c r="AJ254">
        <v>3</v>
      </c>
      <c r="AK254">
        <v>4</v>
      </c>
      <c r="AL254">
        <v>81.98</v>
      </c>
      <c r="AO254" t="s">
        <v>2926</v>
      </c>
      <c r="AP254">
        <v>31200</v>
      </c>
      <c r="AV254">
        <v>0.2</v>
      </c>
      <c r="AW254" t="s">
        <v>288</v>
      </c>
      <c r="AX254" t="s">
        <v>3060</v>
      </c>
    </row>
    <row r="255" spans="1:50">
      <c r="A255" s="1">
        <f>HYPERLINK("https://lsnyc.legalserver.org/matter/dynamic-profile/view/1875239","18-1875239")</f>
        <v>0</v>
      </c>
      <c r="B255" t="s">
        <v>50</v>
      </c>
      <c r="C255" t="s">
        <v>79</v>
      </c>
      <c r="D255" t="s">
        <v>164</v>
      </c>
      <c r="E255" t="s">
        <v>321</v>
      </c>
      <c r="F255" t="s">
        <v>330</v>
      </c>
      <c r="G255" t="s">
        <v>585</v>
      </c>
      <c r="H255" t="s">
        <v>896</v>
      </c>
      <c r="I255" t="s">
        <v>1140</v>
      </c>
      <c r="J255" t="s">
        <v>1509</v>
      </c>
      <c r="K255" t="s">
        <v>1644</v>
      </c>
      <c r="L255">
        <v>11233</v>
      </c>
      <c r="M255" t="s">
        <v>1670</v>
      </c>
      <c r="P255" t="s">
        <v>1799</v>
      </c>
      <c r="Q255" t="s">
        <v>1940</v>
      </c>
      <c r="R255" t="s">
        <v>1960</v>
      </c>
      <c r="S255" t="s">
        <v>1969</v>
      </c>
      <c r="T255" t="s">
        <v>1670</v>
      </c>
      <c r="V255" t="s">
        <v>1972</v>
      </c>
      <c r="W255" t="s">
        <v>1984</v>
      </c>
      <c r="X255" t="s">
        <v>321</v>
      </c>
      <c r="Y255">
        <v>1290</v>
      </c>
      <c r="Z255" t="s">
        <v>2009</v>
      </c>
      <c r="AA255" t="s">
        <v>2011</v>
      </c>
      <c r="AB255" t="s">
        <v>2032</v>
      </c>
      <c r="AC255" t="s">
        <v>2247</v>
      </c>
      <c r="AD255" t="s">
        <v>2673</v>
      </c>
      <c r="AE255">
        <v>6</v>
      </c>
      <c r="AF255" t="s">
        <v>2902</v>
      </c>
      <c r="AG255" t="s">
        <v>2917</v>
      </c>
      <c r="AH255">
        <v>13</v>
      </c>
      <c r="AJ255">
        <v>3</v>
      </c>
      <c r="AK255">
        <v>4</v>
      </c>
      <c r="AL255">
        <v>81.98</v>
      </c>
      <c r="AO255" t="s">
        <v>2926</v>
      </c>
      <c r="AP255">
        <v>31200</v>
      </c>
      <c r="AV255">
        <v>13.05</v>
      </c>
      <c r="AW255" t="s">
        <v>330</v>
      </c>
      <c r="AX255" t="s">
        <v>3060</v>
      </c>
    </row>
    <row r="256" spans="1:50">
      <c r="A256" s="1">
        <f>HYPERLINK("https://lsnyc.legalserver.org/matter/dynamic-profile/view/1883042","18-1883042")</f>
        <v>0</v>
      </c>
      <c r="B256" t="s">
        <v>50</v>
      </c>
      <c r="C256" t="s">
        <v>66</v>
      </c>
      <c r="D256" t="s">
        <v>164</v>
      </c>
      <c r="E256" t="s">
        <v>196</v>
      </c>
      <c r="F256" t="s">
        <v>306</v>
      </c>
      <c r="G256" t="s">
        <v>586</v>
      </c>
      <c r="H256" t="s">
        <v>946</v>
      </c>
      <c r="I256" t="s">
        <v>1283</v>
      </c>
      <c r="K256" t="s">
        <v>1644</v>
      </c>
      <c r="L256">
        <v>11207</v>
      </c>
      <c r="M256" t="s">
        <v>1670</v>
      </c>
      <c r="P256" t="s">
        <v>1687</v>
      </c>
      <c r="Q256" t="s">
        <v>1943</v>
      </c>
      <c r="R256" t="s">
        <v>1962</v>
      </c>
      <c r="S256" t="s">
        <v>1968</v>
      </c>
      <c r="T256" t="s">
        <v>1671</v>
      </c>
      <c r="V256" t="s">
        <v>1972</v>
      </c>
      <c r="W256" t="s">
        <v>1984</v>
      </c>
      <c r="X256" t="s">
        <v>252</v>
      </c>
      <c r="Y256">
        <v>1500</v>
      </c>
      <c r="Z256" t="s">
        <v>2009</v>
      </c>
      <c r="AB256" t="s">
        <v>2029</v>
      </c>
      <c r="AC256" t="s">
        <v>2248</v>
      </c>
      <c r="AD256" t="s">
        <v>2674</v>
      </c>
      <c r="AE256">
        <v>2</v>
      </c>
      <c r="AG256" t="s">
        <v>2915</v>
      </c>
      <c r="AH256">
        <v>7</v>
      </c>
      <c r="AJ256">
        <v>2</v>
      </c>
      <c r="AK256">
        <v>2</v>
      </c>
      <c r="AL256">
        <v>94.41</v>
      </c>
      <c r="AO256" t="s">
        <v>2927</v>
      </c>
      <c r="AP256">
        <v>23698</v>
      </c>
      <c r="AV256">
        <v>1</v>
      </c>
      <c r="AW256" t="s">
        <v>196</v>
      </c>
      <c r="AX256" t="s">
        <v>66</v>
      </c>
    </row>
    <row r="257" spans="1:50">
      <c r="A257" s="1">
        <f>HYPERLINK("https://lsnyc.legalserver.org/matter/dynamic-profile/view/1897745","19-1897745")</f>
        <v>0</v>
      </c>
      <c r="B257" t="s">
        <v>50</v>
      </c>
      <c r="C257" t="s">
        <v>101</v>
      </c>
      <c r="D257" t="s">
        <v>163</v>
      </c>
      <c r="E257" t="s">
        <v>213</v>
      </c>
      <c r="G257" t="s">
        <v>587</v>
      </c>
      <c r="H257" t="s">
        <v>947</v>
      </c>
      <c r="I257" t="s">
        <v>1173</v>
      </c>
      <c r="J257" t="s">
        <v>1538</v>
      </c>
      <c r="K257" t="s">
        <v>1643</v>
      </c>
      <c r="L257">
        <v>10035</v>
      </c>
      <c r="M257" t="s">
        <v>1670</v>
      </c>
      <c r="Q257" t="s">
        <v>1675</v>
      </c>
      <c r="R257" t="s">
        <v>1962</v>
      </c>
      <c r="T257" t="s">
        <v>1670</v>
      </c>
      <c r="V257" t="s">
        <v>1972</v>
      </c>
      <c r="W257" t="s">
        <v>1984</v>
      </c>
      <c r="X257" t="s">
        <v>186</v>
      </c>
      <c r="Y257">
        <v>1350</v>
      </c>
      <c r="Z257" t="s">
        <v>2008</v>
      </c>
      <c r="AA257" t="s">
        <v>2019</v>
      </c>
      <c r="AC257" t="s">
        <v>2249</v>
      </c>
      <c r="AD257" t="s">
        <v>2675</v>
      </c>
      <c r="AE257">
        <v>60</v>
      </c>
      <c r="AF257" t="s">
        <v>2902</v>
      </c>
      <c r="AG257" t="s">
        <v>1754</v>
      </c>
      <c r="AH257">
        <v>7</v>
      </c>
      <c r="AJ257">
        <v>2</v>
      </c>
      <c r="AK257">
        <v>4</v>
      </c>
      <c r="AL257">
        <v>98.87</v>
      </c>
      <c r="AO257" t="s">
        <v>2926</v>
      </c>
      <c r="AP257">
        <v>34200</v>
      </c>
      <c r="AV257">
        <v>0</v>
      </c>
      <c r="AX257" t="s">
        <v>3051</v>
      </c>
    </row>
    <row r="258" spans="1:50">
      <c r="A258" s="1">
        <f>HYPERLINK("https://lsnyc.legalserver.org/matter/dynamic-profile/view/1884294","18-1884294")</f>
        <v>0</v>
      </c>
      <c r="B258" t="s">
        <v>50</v>
      </c>
      <c r="C258" t="s">
        <v>59</v>
      </c>
      <c r="D258" t="s">
        <v>163</v>
      </c>
      <c r="E258" t="s">
        <v>224</v>
      </c>
      <c r="G258" t="s">
        <v>470</v>
      </c>
      <c r="H258" t="s">
        <v>948</v>
      </c>
      <c r="I258" t="s">
        <v>1284</v>
      </c>
      <c r="J258" t="s">
        <v>1586</v>
      </c>
      <c r="K258" t="s">
        <v>1641</v>
      </c>
      <c r="L258">
        <v>10452</v>
      </c>
      <c r="M258" t="s">
        <v>1670</v>
      </c>
      <c r="Q258" t="s">
        <v>1936</v>
      </c>
      <c r="R258" t="s">
        <v>1960</v>
      </c>
      <c r="T258" t="s">
        <v>1671</v>
      </c>
      <c r="V258" t="s">
        <v>1972</v>
      </c>
      <c r="X258" t="s">
        <v>1991</v>
      </c>
      <c r="Y258">
        <v>1031</v>
      </c>
      <c r="Z258" t="s">
        <v>2006</v>
      </c>
      <c r="AA258" t="s">
        <v>2011</v>
      </c>
      <c r="AC258" t="s">
        <v>2250</v>
      </c>
      <c r="AD258" t="s">
        <v>2676</v>
      </c>
      <c r="AE258">
        <v>49</v>
      </c>
      <c r="AF258" t="s">
        <v>2902</v>
      </c>
      <c r="AG258" t="s">
        <v>1754</v>
      </c>
      <c r="AH258">
        <v>5</v>
      </c>
      <c r="AJ258">
        <v>2</v>
      </c>
      <c r="AK258">
        <v>2</v>
      </c>
      <c r="AL258">
        <v>186.45</v>
      </c>
      <c r="AO258" t="s">
        <v>2926</v>
      </c>
      <c r="AP258">
        <v>46800</v>
      </c>
      <c r="AV258">
        <v>48.6</v>
      </c>
      <c r="AW258" t="s">
        <v>365</v>
      </c>
      <c r="AX258" t="s">
        <v>3047</v>
      </c>
    </row>
    <row r="259" spans="1:50">
      <c r="A259" s="1">
        <f>HYPERLINK("https://lsnyc.legalserver.org/matter/dynamic-profile/view/1900989","19-1900989")</f>
        <v>0</v>
      </c>
      <c r="B259" t="s">
        <v>51</v>
      </c>
      <c r="C259" t="s">
        <v>90</v>
      </c>
      <c r="D259" t="s">
        <v>164</v>
      </c>
      <c r="E259" t="s">
        <v>290</v>
      </c>
      <c r="F259" t="s">
        <v>361</v>
      </c>
      <c r="G259" t="s">
        <v>588</v>
      </c>
      <c r="H259" t="s">
        <v>949</v>
      </c>
      <c r="I259" t="s">
        <v>1285</v>
      </c>
      <c r="K259" t="s">
        <v>1646</v>
      </c>
      <c r="L259">
        <v>10314</v>
      </c>
      <c r="M259" t="s">
        <v>1670</v>
      </c>
      <c r="Q259" t="s">
        <v>1675</v>
      </c>
      <c r="R259" t="s">
        <v>1958</v>
      </c>
      <c r="S259" t="s">
        <v>1965</v>
      </c>
      <c r="T259" t="s">
        <v>1671</v>
      </c>
      <c r="V259" t="s">
        <v>1972</v>
      </c>
      <c r="W259" t="s">
        <v>1984</v>
      </c>
      <c r="X259" t="s">
        <v>290</v>
      </c>
      <c r="Y259">
        <v>0</v>
      </c>
      <c r="Z259" t="s">
        <v>2010</v>
      </c>
      <c r="AA259" t="s">
        <v>2012</v>
      </c>
      <c r="AB259" t="s">
        <v>2029</v>
      </c>
      <c r="AC259" t="s">
        <v>2251</v>
      </c>
      <c r="AD259" t="s">
        <v>2677</v>
      </c>
      <c r="AE259">
        <v>0</v>
      </c>
      <c r="AH259">
        <v>3</v>
      </c>
      <c r="AJ259">
        <v>1</v>
      </c>
      <c r="AK259">
        <v>2</v>
      </c>
      <c r="AL259">
        <v>95.81</v>
      </c>
      <c r="AM259" t="s">
        <v>2923</v>
      </c>
      <c r="AN259" t="s">
        <v>2924</v>
      </c>
      <c r="AO259" t="s">
        <v>2926</v>
      </c>
      <c r="AP259">
        <v>20436</v>
      </c>
      <c r="AV259">
        <v>2</v>
      </c>
      <c r="AW259" t="s">
        <v>290</v>
      </c>
      <c r="AX259" t="s">
        <v>90</v>
      </c>
    </row>
    <row r="260" spans="1:50">
      <c r="A260" s="1">
        <f>HYPERLINK("https://lsnyc.legalserver.org/matter/dynamic-profile/view/1874997","18-1874997")</f>
        <v>0</v>
      </c>
      <c r="B260" t="s">
        <v>50</v>
      </c>
      <c r="C260" t="s">
        <v>71</v>
      </c>
      <c r="D260" t="s">
        <v>164</v>
      </c>
      <c r="E260" t="s">
        <v>166</v>
      </c>
      <c r="F260" t="s">
        <v>210</v>
      </c>
      <c r="G260" t="s">
        <v>589</v>
      </c>
      <c r="H260" t="s">
        <v>877</v>
      </c>
      <c r="I260" t="s">
        <v>1286</v>
      </c>
      <c r="J260">
        <v>2</v>
      </c>
      <c r="K260" t="s">
        <v>1646</v>
      </c>
      <c r="L260">
        <v>10301</v>
      </c>
      <c r="M260" t="s">
        <v>1670</v>
      </c>
      <c r="P260" t="s">
        <v>1800</v>
      </c>
      <c r="Q260" t="s">
        <v>1940</v>
      </c>
      <c r="R260" t="s">
        <v>1960</v>
      </c>
      <c r="S260" t="s">
        <v>1969</v>
      </c>
      <c r="T260" t="s">
        <v>1671</v>
      </c>
      <c r="V260" t="s">
        <v>1972</v>
      </c>
      <c r="W260" t="s">
        <v>1984</v>
      </c>
      <c r="X260" t="s">
        <v>166</v>
      </c>
      <c r="Y260">
        <v>975</v>
      </c>
      <c r="Z260" t="s">
        <v>2010</v>
      </c>
      <c r="AA260" t="s">
        <v>2013</v>
      </c>
      <c r="AB260" t="s">
        <v>2033</v>
      </c>
      <c r="AC260" t="s">
        <v>2252</v>
      </c>
      <c r="AD260" t="s">
        <v>2678</v>
      </c>
      <c r="AE260">
        <v>2</v>
      </c>
      <c r="AF260" t="s">
        <v>2903</v>
      </c>
      <c r="AG260" t="s">
        <v>1754</v>
      </c>
      <c r="AH260">
        <v>1</v>
      </c>
      <c r="AJ260">
        <v>1</v>
      </c>
      <c r="AK260">
        <v>2</v>
      </c>
      <c r="AL260">
        <v>136.63</v>
      </c>
      <c r="AO260" t="s">
        <v>2926</v>
      </c>
      <c r="AP260">
        <v>28392</v>
      </c>
      <c r="AR260" t="s">
        <v>2978</v>
      </c>
      <c r="AS260" t="s">
        <v>2017</v>
      </c>
      <c r="AT260" t="s">
        <v>2993</v>
      </c>
      <c r="AU260" t="s">
        <v>3002</v>
      </c>
      <c r="AV260">
        <v>26.9</v>
      </c>
      <c r="AW260" t="s">
        <v>210</v>
      </c>
      <c r="AX260" t="s">
        <v>3062</v>
      </c>
    </row>
    <row r="261" spans="1:50">
      <c r="A261" s="1">
        <f>HYPERLINK("https://lsnyc.legalserver.org/matter/dynamic-profile/view/1898681","19-1898681")</f>
        <v>0</v>
      </c>
      <c r="B261" t="s">
        <v>50</v>
      </c>
      <c r="C261" t="s">
        <v>140</v>
      </c>
      <c r="D261" t="s">
        <v>163</v>
      </c>
      <c r="E261" t="s">
        <v>322</v>
      </c>
      <c r="G261" t="s">
        <v>590</v>
      </c>
      <c r="H261" t="s">
        <v>950</v>
      </c>
      <c r="I261" t="s">
        <v>1287</v>
      </c>
      <c r="J261" t="s">
        <v>1497</v>
      </c>
      <c r="K261" t="s">
        <v>1647</v>
      </c>
      <c r="L261">
        <v>11432</v>
      </c>
      <c r="M261" t="s">
        <v>1670</v>
      </c>
      <c r="P261" t="s">
        <v>1801</v>
      </c>
      <c r="Q261" t="s">
        <v>1936</v>
      </c>
      <c r="R261" t="s">
        <v>1960</v>
      </c>
      <c r="T261" t="s">
        <v>1671</v>
      </c>
      <c r="V261" t="s">
        <v>1972</v>
      </c>
      <c r="W261" t="s">
        <v>1987</v>
      </c>
      <c r="X261" t="s">
        <v>322</v>
      </c>
      <c r="Y261">
        <v>1486</v>
      </c>
      <c r="Z261" t="s">
        <v>2007</v>
      </c>
      <c r="AA261" t="s">
        <v>2014</v>
      </c>
      <c r="AC261" t="s">
        <v>2253</v>
      </c>
      <c r="AD261" t="s">
        <v>2679</v>
      </c>
      <c r="AE261">
        <v>7</v>
      </c>
      <c r="AF261" t="s">
        <v>2902</v>
      </c>
      <c r="AG261" t="s">
        <v>1754</v>
      </c>
      <c r="AH261">
        <v>6</v>
      </c>
      <c r="AJ261">
        <v>1</v>
      </c>
      <c r="AK261">
        <v>3</v>
      </c>
      <c r="AL261">
        <v>107.18</v>
      </c>
      <c r="AO261" t="s">
        <v>2926</v>
      </c>
      <c r="AP261">
        <v>27600</v>
      </c>
      <c r="AV261">
        <v>3.3</v>
      </c>
      <c r="AW261" t="s">
        <v>3037</v>
      </c>
      <c r="AX261" t="s">
        <v>3044</v>
      </c>
    </row>
    <row r="262" spans="1:50">
      <c r="A262" s="1">
        <f>HYPERLINK("https://lsnyc.legalserver.org/matter/dynamic-profile/view/1871517","18-1871517")</f>
        <v>0</v>
      </c>
      <c r="B262" t="s">
        <v>50</v>
      </c>
      <c r="C262" t="s">
        <v>141</v>
      </c>
      <c r="D262" t="s">
        <v>164</v>
      </c>
      <c r="E262" t="s">
        <v>201</v>
      </c>
      <c r="F262" t="s">
        <v>270</v>
      </c>
      <c r="G262" t="s">
        <v>591</v>
      </c>
      <c r="H262" t="s">
        <v>951</v>
      </c>
      <c r="I262" t="s">
        <v>1288</v>
      </c>
      <c r="J262">
        <v>1906</v>
      </c>
      <c r="K262" t="s">
        <v>1649</v>
      </c>
      <c r="L262">
        <v>11692</v>
      </c>
      <c r="M262" t="s">
        <v>1670</v>
      </c>
      <c r="P262" t="s">
        <v>1802</v>
      </c>
      <c r="Q262" t="s">
        <v>1936</v>
      </c>
      <c r="R262" t="s">
        <v>1958</v>
      </c>
      <c r="S262" t="s">
        <v>1965</v>
      </c>
      <c r="T262" t="s">
        <v>1671</v>
      </c>
      <c r="V262" t="s">
        <v>1972</v>
      </c>
      <c r="W262" t="s">
        <v>1984</v>
      </c>
      <c r="X262" t="s">
        <v>201</v>
      </c>
      <c r="Y262">
        <v>1150</v>
      </c>
      <c r="Z262" t="s">
        <v>2007</v>
      </c>
      <c r="AA262" t="s">
        <v>2014</v>
      </c>
      <c r="AB262" t="s">
        <v>2029</v>
      </c>
      <c r="AC262" t="s">
        <v>2254</v>
      </c>
      <c r="AD262" t="s">
        <v>2680</v>
      </c>
      <c r="AE262">
        <v>228</v>
      </c>
      <c r="AF262" t="s">
        <v>2906</v>
      </c>
      <c r="AG262" t="s">
        <v>2915</v>
      </c>
      <c r="AH262">
        <v>5</v>
      </c>
      <c r="AJ262">
        <v>1</v>
      </c>
      <c r="AK262">
        <v>1</v>
      </c>
      <c r="AL262">
        <v>188.34</v>
      </c>
      <c r="AN262" t="s">
        <v>2925</v>
      </c>
      <c r="AO262" t="s">
        <v>2926</v>
      </c>
      <c r="AP262">
        <v>31000</v>
      </c>
      <c r="AV262">
        <v>1</v>
      </c>
      <c r="AW262" t="s">
        <v>380</v>
      </c>
      <c r="AX262" t="s">
        <v>3044</v>
      </c>
    </row>
    <row r="263" spans="1:50">
      <c r="A263" s="1">
        <f>HYPERLINK("https://lsnyc.legalserver.org/matter/dynamic-profile/view/1875086","18-1875086")</f>
        <v>0</v>
      </c>
      <c r="B263" t="s">
        <v>50</v>
      </c>
      <c r="C263" t="s">
        <v>52</v>
      </c>
      <c r="D263" t="s">
        <v>164</v>
      </c>
      <c r="E263" t="s">
        <v>323</v>
      </c>
      <c r="F263" t="s">
        <v>292</v>
      </c>
      <c r="G263" t="s">
        <v>521</v>
      </c>
      <c r="H263" t="s">
        <v>952</v>
      </c>
      <c r="I263" t="s">
        <v>1289</v>
      </c>
      <c r="J263">
        <v>509</v>
      </c>
      <c r="K263" t="s">
        <v>1641</v>
      </c>
      <c r="L263">
        <v>10457</v>
      </c>
      <c r="M263" t="s">
        <v>1670</v>
      </c>
      <c r="P263" t="s">
        <v>1691</v>
      </c>
      <c r="Q263" t="s">
        <v>1937</v>
      </c>
      <c r="R263" t="s">
        <v>1962</v>
      </c>
      <c r="S263" t="s">
        <v>1968</v>
      </c>
      <c r="T263" t="s">
        <v>1671</v>
      </c>
      <c r="V263" t="s">
        <v>1972</v>
      </c>
      <c r="X263" t="s">
        <v>323</v>
      </c>
      <c r="Y263">
        <v>1529.46</v>
      </c>
      <c r="Z263" t="s">
        <v>2006</v>
      </c>
      <c r="AA263" t="s">
        <v>2021</v>
      </c>
      <c r="AB263" t="s">
        <v>2030</v>
      </c>
      <c r="AC263" t="s">
        <v>180</v>
      </c>
      <c r="AD263" t="s">
        <v>2681</v>
      </c>
      <c r="AE263">
        <v>0</v>
      </c>
      <c r="AF263" t="s">
        <v>2902</v>
      </c>
      <c r="AG263" t="s">
        <v>1754</v>
      </c>
      <c r="AH263">
        <v>7</v>
      </c>
      <c r="AJ263">
        <v>2</v>
      </c>
      <c r="AK263">
        <v>4</v>
      </c>
      <c r="AL263">
        <v>144.99</v>
      </c>
      <c r="AO263" t="s">
        <v>2927</v>
      </c>
      <c r="AP263">
        <v>48920.82</v>
      </c>
      <c r="AU263" t="s">
        <v>3017</v>
      </c>
      <c r="AV263">
        <v>1</v>
      </c>
      <c r="AW263" t="s">
        <v>351</v>
      </c>
      <c r="AX263" t="s">
        <v>3081</v>
      </c>
    </row>
    <row r="264" spans="1:50">
      <c r="A264" s="1">
        <f>HYPERLINK("https://lsnyc.legalserver.org/matter/dynamic-profile/view/1891783","19-1891783")</f>
        <v>0</v>
      </c>
      <c r="B264" t="s">
        <v>50</v>
      </c>
      <c r="C264" t="s">
        <v>142</v>
      </c>
      <c r="D264" t="s">
        <v>163</v>
      </c>
      <c r="E264" t="s">
        <v>324</v>
      </c>
      <c r="G264" t="s">
        <v>544</v>
      </c>
      <c r="H264" t="s">
        <v>953</v>
      </c>
      <c r="I264" t="s">
        <v>1260</v>
      </c>
      <c r="J264" t="s">
        <v>1544</v>
      </c>
      <c r="K264" t="s">
        <v>1641</v>
      </c>
      <c r="L264">
        <v>10453</v>
      </c>
      <c r="M264" t="s">
        <v>1670</v>
      </c>
      <c r="P264" t="s">
        <v>1803</v>
      </c>
      <c r="Q264" t="s">
        <v>1939</v>
      </c>
      <c r="R264" t="s">
        <v>1960</v>
      </c>
      <c r="T264" t="s">
        <v>1670</v>
      </c>
      <c r="V264" t="s">
        <v>1972</v>
      </c>
      <c r="X264" t="s">
        <v>283</v>
      </c>
      <c r="Y264">
        <v>748</v>
      </c>
      <c r="Z264" t="s">
        <v>2006</v>
      </c>
      <c r="AA264" t="s">
        <v>2015</v>
      </c>
      <c r="AC264" t="s">
        <v>2255</v>
      </c>
      <c r="AD264" t="s">
        <v>2682</v>
      </c>
      <c r="AE264">
        <v>49</v>
      </c>
      <c r="AF264" t="s">
        <v>2902</v>
      </c>
      <c r="AG264" t="s">
        <v>1754</v>
      </c>
      <c r="AH264">
        <v>25</v>
      </c>
      <c r="AJ264">
        <v>1</v>
      </c>
      <c r="AK264">
        <v>1</v>
      </c>
      <c r="AL264">
        <v>177.41</v>
      </c>
      <c r="AO264" t="s">
        <v>2927</v>
      </c>
      <c r="AP264">
        <v>30000</v>
      </c>
      <c r="AV264">
        <v>0.3</v>
      </c>
      <c r="AW264" t="s">
        <v>384</v>
      </c>
      <c r="AX264" t="s">
        <v>3054</v>
      </c>
    </row>
    <row r="265" spans="1:50">
      <c r="A265" s="1">
        <f>HYPERLINK("https://lsnyc.legalserver.org/matter/dynamic-profile/view/1904242","19-1904242")</f>
        <v>0</v>
      </c>
      <c r="B265" t="s">
        <v>50</v>
      </c>
      <c r="C265" t="s">
        <v>132</v>
      </c>
      <c r="D265" t="s">
        <v>163</v>
      </c>
      <c r="E265" t="s">
        <v>325</v>
      </c>
      <c r="G265" t="s">
        <v>592</v>
      </c>
      <c r="H265" t="s">
        <v>954</v>
      </c>
      <c r="I265" t="s">
        <v>1290</v>
      </c>
      <c r="J265" t="s">
        <v>1488</v>
      </c>
      <c r="K265" t="s">
        <v>1644</v>
      </c>
      <c r="L265">
        <v>11221</v>
      </c>
      <c r="M265" t="s">
        <v>1671</v>
      </c>
      <c r="P265" t="s">
        <v>1691</v>
      </c>
      <c r="Q265" t="s">
        <v>1937</v>
      </c>
      <c r="R265" t="s">
        <v>1962</v>
      </c>
      <c r="T265" t="s">
        <v>1670</v>
      </c>
      <c r="V265" t="s">
        <v>1977</v>
      </c>
      <c r="W265" t="s">
        <v>1984</v>
      </c>
      <c r="X265" t="s">
        <v>266</v>
      </c>
      <c r="Y265">
        <v>834</v>
      </c>
      <c r="Z265" t="s">
        <v>2009</v>
      </c>
      <c r="AA265" t="s">
        <v>2015</v>
      </c>
      <c r="AC265" t="s">
        <v>2256</v>
      </c>
      <c r="AD265" t="s">
        <v>2683</v>
      </c>
      <c r="AE265">
        <v>12</v>
      </c>
      <c r="AF265" t="s">
        <v>2902</v>
      </c>
      <c r="AG265" t="s">
        <v>1754</v>
      </c>
      <c r="AH265">
        <v>26</v>
      </c>
      <c r="AJ265">
        <v>5</v>
      </c>
      <c r="AK265">
        <v>2</v>
      </c>
      <c r="AL265">
        <v>133.3</v>
      </c>
      <c r="AO265" t="s">
        <v>2926</v>
      </c>
      <c r="AP265">
        <v>52000</v>
      </c>
      <c r="AV265">
        <v>0</v>
      </c>
      <c r="AX265" t="s">
        <v>3060</v>
      </c>
    </row>
    <row r="266" spans="1:50">
      <c r="A266" s="1">
        <f>HYPERLINK("https://lsnyc.legalserver.org/matter/dynamic-profile/view/1895340","19-1895340")</f>
        <v>0</v>
      </c>
      <c r="B266" t="s">
        <v>50</v>
      </c>
      <c r="C266" t="s">
        <v>143</v>
      </c>
      <c r="D266" t="s">
        <v>163</v>
      </c>
      <c r="E266" t="s">
        <v>326</v>
      </c>
      <c r="G266" t="s">
        <v>592</v>
      </c>
      <c r="H266" t="s">
        <v>954</v>
      </c>
      <c r="I266" t="s">
        <v>1290</v>
      </c>
      <c r="J266" t="s">
        <v>1488</v>
      </c>
      <c r="K266" t="s">
        <v>1644</v>
      </c>
      <c r="L266">
        <v>11221</v>
      </c>
      <c r="M266" t="s">
        <v>1670</v>
      </c>
      <c r="Q266" t="s">
        <v>1946</v>
      </c>
      <c r="R266" t="s">
        <v>1964</v>
      </c>
      <c r="T266" t="s">
        <v>1670</v>
      </c>
      <c r="V266" t="s">
        <v>1978</v>
      </c>
      <c r="X266" t="s">
        <v>326</v>
      </c>
      <c r="Y266">
        <v>834</v>
      </c>
      <c r="Z266" t="s">
        <v>2009</v>
      </c>
      <c r="AA266" t="s">
        <v>2015</v>
      </c>
      <c r="AC266" t="s">
        <v>2256</v>
      </c>
      <c r="AD266" t="s">
        <v>2683</v>
      </c>
      <c r="AE266">
        <v>12</v>
      </c>
      <c r="AF266" t="s">
        <v>2902</v>
      </c>
      <c r="AG266" t="s">
        <v>1754</v>
      </c>
      <c r="AH266">
        <v>26</v>
      </c>
      <c r="AJ266">
        <v>5</v>
      </c>
      <c r="AK266">
        <v>2</v>
      </c>
      <c r="AL266">
        <v>133.3</v>
      </c>
      <c r="AO266" t="s">
        <v>2926</v>
      </c>
      <c r="AP266">
        <v>52000</v>
      </c>
      <c r="AV266">
        <v>3</v>
      </c>
      <c r="AW266" t="s">
        <v>390</v>
      </c>
      <c r="AX266" t="s">
        <v>3060</v>
      </c>
    </row>
    <row r="267" spans="1:50">
      <c r="A267" s="1">
        <f>HYPERLINK("https://lsnyc.legalserver.org/matter/dynamic-profile/view/1904231","19-1904231")</f>
        <v>0</v>
      </c>
      <c r="B267" t="s">
        <v>50</v>
      </c>
      <c r="C267" t="s">
        <v>143</v>
      </c>
      <c r="D267" t="s">
        <v>163</v>
      </c>
      <c r="E267" t="s">
        <v>325</v>
      </c>
      <c r="G267" t="s">
        <v>592</v>
      </c>
      <c r="H267" t="s">
        <v>954</v>
      </c>
      <c r="I267" t="s">
        <v>1290</v>
      </c>
      <c r="J267" t="s">
        <v>1488</v>
      </c>
      <c r="K267" t="s">
        <v>1644</v>
      </c>
      <c r="L267">
        <v>11221</v>
      </c>
      <c r="M267" t="s">
        <v>1671</v>
      </c>
      <c r="P267" t="s">
        <v>1804</v>
      </c>
      <c r="Q267" t="s">
        <v>1936</v>
      </c>
      <c r="R267" t="s">
        <v>1960</v>
      </c>
      <c r="T267" t="s">
        <v>1671</v>
      </c>
      <c r="V267" t="s">
        <v>1972</v>
      </c>
      <c r="W267" t="s">
        <v>1984</v>
      </c>
      <c r="X267" t="s">
        <v>266</v>
      </c>
      <c r="Y267">
        <v>834</v>
      </c>
      <c r="Z267" t="s">
        <v>2009</v>
      </c>
      <c r="AA267" t="s">
        <v>2015</v>
      </c>
      <c r="AC267" t="s">
        <v>2256</v>
      </c>
      <c r="AD267" t="s">
        <v>2683</v>
      </c>
      <c r="AE267">
        <v>12</v>
      </c>
      <c r="AF267" t="s">
        <v>2902</v>
      </c>
      <c r="AG267" t="s">
        <v>1754</v>
      </c>
      <c r="AH267">
        <v>26</v>
      </c>
      <c r="AJ267">
        <v>5</v>
      </c>
      <c r="AK267">
        <v>2</v>
      </c>
      <c r="AL267">
        <v>133.3</v>
      </c>
      <c r="AO267" t="s">
        <v>2926</v>
      </c>
      <c r="AP267">
        <v>52000</v>
      </c>
      <c r="AV267">
        <v>0</v>
      </c>
      <c r="AX267" t="s">
        <v>3060</v>
      </c>
    </row>
    <row r="268" spans="1:50">
      <c r="A268" s="1">
        <f>HYPERLINK("https://lsnyc.legalserver.org/matter/dynamic-profile/view/1879063","18-1879063")</f>
        <v>0</v>
      </c>
      <c r="B268" t="s">
        <v>50</v>
      </c>
      <c r="C268" t="s">
        <v>132</v>
      </c>
      <c r="D268" t="s">
        <v>164</v>
      </c>
      <c r="E268" t="s">
        <v>227</v>
      </c>
      <c r="F268" t="s">
        <v>394</v>
      </c>
      <c r="G268" t="s">
        <v>592</v>
      </c>
      <c r="H268" t="s">
        <v>954</v>
      </c>
      <c r="I268" t="s">
        <v>1290</v>
      </c>
      <c r="J268" t="s">
        <v>1488</v>
      </c>
      <c r="K268" t="s">
        <v>1644</v>
      </c>
      <c r="L268">
        <v>11221</v>
      </c>
      <c r="M268" t="s">
        <v>1670</v>
      </c>
      <c r="Q268" t="s">
        <v>1937</v>
      </c>
      <c r="R268" t="s">
        <v>1962</v>
      </c>
      <c r="S268" t="s">
        <v>1968</v>
      </c>
      <c r="T268" t="s">
        <v>1670</v>
      </c>
      <c r="V268" t="s">
        <v>1972</v>
      </c>
      <c r="X268" t="s">
        <v>360</v>
      </c>
      <c r="Y268">
        <v>834</v>
      </c>
      <c r="Z268" t="s">
        <v>2009</v>
      </c>
      <c r="AA268" t="s">
        <v>2015</v>
      </c>
      <c r="AB268" t="s">
        <v>2031</v>
      </c>
      <c r="AC268" t="s">
        <v>2256</v>
      </c>
      <c r="AD268" t="s">
        <v>2683</v>
      </c>
      <c r="AE268">
        <v>12</v>
      </c>
      <c r="AG268" t="s">
        <v>1754</v>
      </c>
      <c r="AH268">
        <v>26</v>
      </c>
      <c r="AJ268">
        <v>5</v>
      </c>
      <c r="AK268">
        <v>2</v>
      </c>
      <c r="AL268">
        <v>136.63</v>
      </c>
      <c r="AO268" t="s">
        <v>2926</v>
      </c>
      <c r="AP268">
        <v>52000</v>
      </c>
      <c r="AQ268" t="s">
        <v>2953</v>
      </c>
      <c r="AV268">
        <v>0.08</v>
      </c>
      <c r="AW268" t="s">
        <v>367</v>
      </c>
      <c r="AX268" t="s">
        <v>3060</v>
      </c>
    </row>
    <row r="269" spans="1:50">
      <c r="A269" s="1">
        <f>HYPERLINK("https://lsnyc.legalserver.org/matter/dynamic-profile/view/1879082","18-1879082")</f>
        <v>0</v>
      </c>
      <c r="B269" t="s">
        <v>50</v>
      </c>
      <c r="C269" t="s">
        <v>132</v>
      </c>
      <c r="D269" t="s">
        <v>163</v>
      </c>
      <c r="E269" t="s">
        <v>227</v>
      </c>
      <c r="G269" t="s">
        <v>592</v>
      </c>
      <c r="H269" t="s">
        <v>954</v>
      </c>
      <c r="I269" t="s">
        <v>1290</v>
      </c>
      <c r="J269" t="s">
        <v>1488</v>
      </c>
      <c r="K269" t="s">
        <v>1644</v>
      </c>
      <c r="L269">
        <v>11221</v>
      </c>
      <c r="M269" t="s">
        <v>1670</v>
      </c>
      <c r="Q269" t="s">
        <v>1938</v>
      </c>
      <c r="R269" t="s">
        <v>1961</v>
      </c>
      <c r="T269" t="s">
        <v>1670</v>
      </c>
      <c r="V269" t="s">
        <v>1972</v>
      </c>
      <c r="X269" t="s">
        <v>360</v>
      </c>
      <c r="Y269">
        <v>834</v>
      </c>
      <c r="Z269" t="s">
        <v>2009</v>
      </c>
      <c r="AA269" t="s">
        <v>2015</v>
      </c>
      <c r="AC269" t="s">
        <v>2256</v>
      </c>
      <c r="AD269" t="s">
        <v>2683</v>
      </c>
      <c r="AE269">
        <v>12</v>
      </c>
      <c r="AF269" t="s">
        <v>2902</v>
      </c>
      <c r="AG269" t="s">
        <v>1754</v>
      </c>
      <c r="AH269">
        <v>26</v>
      </c>
      <c r="AJ269">
        <v>5</v>
      </c>
      <c r="AK269">
        <v>2</v>
      </c>
      <c r="AL269">
        <v>136.63</v>
      </c>
      <c r="AO269" t="s">
        <v>2926</v>
      </c>
      <c r="AP269">
        <v>52000</v>
      </c>
      <c r="AQ269" t="s">
        <v>2954</v>
      </c>
      <c r="AV269">
        <v>0</v>
      </c>
      <c r="AX269" t="s">
        <v>3060</v>
      </c>
    </row>
    <row r="270" spans="1:50">
      <c r="A270" s="1">
        <f>HYPERLINK("https://lsnyc.legalserver.org/matter/dynamic-profile/view/1879085","18-1879085")</f>
        <v>0</v>
      </c>
      <c r="B270" t="s">
        <v>50</v>
      </c>
      <c r="C270" t="s">
        <v>132</v>
      </c>
      <c r="D270" t="s">
        <v>163</v>
      </c>
      <c r="E270" t="s">
        <v>227</v>
      </c>
      <c r="G270" t="s">
        <v>592</v>
      </c>
      <c r="H270" t="s">
        <v>954</v>
      </c>
      <c r="I270" t="s">
        <v>1290</v>
      </c>
      <c r="J270" t="s">
        <v>1488</v>
      </c>
      <c r="K270" t="s">
        <v>1644</v>
      </c>
      <c r="L270">
        <v>11221</v>
      </c>
      <c r="M270" t="s">
        <v>1670</v>
      </c>
      <c r="Q270" t="s">
        <v>1939</v>
      </c>
      <c r="R270" t="s">
        <v>1960</v>
      </c>
      <c r="T270" t="s">
        <v>1670</v>
      </c>
      <c r="V270" t="s">
        <v>1972</v>
      </c>
      <c r="X270" t="s">
        <v>360</v>
      </c>
      <c r="Y270">
        <v>834</v>
      </c>
      <c r="Z270" t="s">
        <v>2009</v>
      </c>
      <c r="AA270" t="s">
        <v>2015</v>
      </c>
      <c r="AC270" t="s">
        <v>2256</v>
      </c>
      <c r="AD270" t="s">
        <v>2683</v>
      </c>
      <c r="AE270">
        <v>12</v>
      </c>
      <c r="AF270" t="s">
        <v>2902</v>
      </c>
      <c r="AG270" t="s">
        <v>1754</v>
      </c>
      <c r="AH270">
        <v>26</v>
      </c>
      <c r="AJ270">
        <v>5</v>
      </c>
      <c r="AK270">
        <v>2</v>
      </c>
      <c r="AL270">
        <v>136.63</v>
      </c>
      <c r="AO270" t="s">
        <v>2926</v>
      </c>
      <c r="AP270">
        <v>52000</v>
      </c>
      <c r="AQ270" t="s">
        <v>2955</v>
      </c>
      <c r="AV270">
        <v>1</v>
      </c>
      <c r="AW270" t="s">
        <v>3038</v>
      </c>
      <c r="AX270" t="s">
        <v>3060</v>
      </c>
    </row>
    <row r="271" spans="1:50">
      <c r="A271" s="1">
        <f>HYPERLINK("https://lsnyc.legalserver.org/matter/dynamic-profile/view/1896860","19-1896860")</f>
        <v>0</v>
      </c>
      <c r="B271" t="s">
        <v>50</v>
      </c>
      <c r="C271" t="s">
        <v>57</v>
      </c>
      <c r="D271" t="s">
        <v>164</v>
      </c>
      <c r="E271" t="s">
        <v>327</v>
      </c>
      <c r="F271" t="s">
        <v>220</v>
      </c>
      <c r="G271" t="s">
        <v>469</v>
      </c>
      <c r="H271" t="s">
        <v>955</v>
      </c>
      <c r="I271" t="s">
        <v>1291</v>
      </c>
      <c r="J271" t="s">
        <v>1587</v>
      </c>
      <c r="K271" t="s">
        <v>1641</v>
      </c>
      <c r="L271">
        <v>10460</v>
      </c>
      <c r="M271" t="s">
        <v>1670</v>
      </c>
      <c r="P271" t="s">
        <v>1805</v>
      </c>
      <c r="Q271" t="s">
        <v>1936</v>
      </c>
      <c r="R271" t="s">
        <v>1958</v>
      </c>
      <c r="S271" t="s">
        <v>1965</v>
      </c>
      <c r="T271" t="s">
        <v>1671</v>
      </c>
      <c r="V271" t="s">
        <v>1972</v>
      </c>
      <c r="W271" t="s">
        <v>1988</v>
      </c>
      <c r="X271" t="s">
        <v>400</v>
      </c>
      <c r="Y271">
        <v>600</v>
      </c>
      <c r="Z271" t="s">
        <v>2006</v>
      </c>
      <c r="AA271" t="s">
        <v>2013</v>
      </c>
      <c r="AB271" t="s">
        <v>2029</v>
      </c>
      <c r="AC271" t="s">
        <v>2257</v>
      </c>
      <c r="AD271" t="s">
        <v>2684</v>
      </c>
      <c r="AE271">
        <v>84</v>
      </c>
      <c r="AF271" t="s">
        <v>2902</v>
      </c>
      <c r="AG271" t="s">
        <v>1754</v>
      </c>
      <c r="AH271">
        <v>28</v>
      </c>
      <c r="AJ271">
        <v>2</v>
      </c>
      <c r="AK271">
        <v>1</v>
      </c>
      <c r="AL271">
        <v>127.39</v>
      </c>
      <c r="AO271" t="s">
        <v>2926</v>
      </c>
      <c r="AP271">
        <v>27172</v>
      </c>
      <c r="AV271">
        <v>0.6</v>
      </c>
      <c r="AW271" t="s">
        <v>220</v>
      </c>
      <c r="AX271" t="s">
        <v>3068</v>
      </c>
    </row>
    <row r="272" spans="1:50">
      <c r="A272" s="1">
        <f>HYPERLINK("https://lsnyc.legalserver.org/matter/dynamic-profile/view/1890376","19-1890376")</f>
        <v>0</v>
      </c>
      <c r="B272" t="s">
        <v>50</v>
      </c>
      <c r="C272" t="s">
        <v>90</v>
      </c>
      <c r="D272" t="s">
        <v>164</v>
      </c>
      <c r="E272" t="s">
        <v>210</v>
      </c>
      <c r="F272" t="s">
        <v>361</v>
      </c>
      <c r="G272" t="s">
        <v>593</v>
      </c>
      <c r="H272" t="s">
        <v>956</v>
      </c>
      <c r="I272" t="s">
        <v>1292</v>
      </c>
      <c r="J272" t="s">
        <v>1534</v>
      </c>
      <c r="K272" t="s">
        <v>1646</v>
      </c>
      <c r="L272">
        <v>10304</v>
      </c>
      <c r="M272" t="s">
        <v>1670</v>
      </c>
      <c r="P272" t="s">
        <v>1806</v>
      </c>
      <c r="Q272" t="s">
        <v>1936</v>
      </c>
      <c r="R272" t="s">
        <v>1960</v>
      </c>
      <c r="S272" t="s">
        <v>1969</v>
      </c>
      <c r="T272" t="s">
        <v>1671</v>
      </c>
      <c r="V272" t="s">
        <v>1972</v>
      </c>
      <c r="W272" t="s">
        <v>1984</v>
      </c>
      <c r="X272" t="s">
        <v>210</v>
      </c>
      <c r="Y272">
        <v>480</v>
      </c>
      <c r="Z272" t="s">
        <v>2010</v>
      </c>
      <c r="AA272" t="s">
        <v>2020</v>
      </c>
      <c r="AB272" t="s">
        <v>2032</v>
      </c>
      <c r="AC272" t="s">
        <v>2258</v>
      </c>
      <c r="AD272" t="s">
        <v>2685</v>
      </c>
      <c r="AE272">
        <v>0</v>
      </c>
      <c r="AF272" t="s">
        <v>2902</v>
      </c>
      <c r="AG272" t="s">
        <v>2916</v>
      </c>
      <c r="AH272">
        <v>3</v>
      </c>
      <c r="AJ272">
        <v>1</v>
      </c>
      <c r="AK272">
        <v>2</v>
      </c>
      <c r="AL272">
        <v>169.49</v>
      </c>
      <c r="AO272" t="s">
        <v>2926</v>
      </c>
      <c r="AP272">
        <v>36153</v>
      </c>
      <c r="AV272">
        <v>15.3</v>
      </c>
      <c r="AW272" t="s">
        <v>290</v>
      </c>
      <c r="AX272" t="s">
        <v>3057</v>
      </c>
    </row>
    <row r="273" spans="1:50">
      <c r="A273" s="1">
        <f>HYPERLINK("https://lsnyc.legalserver.org/matter/dynamic-profile/view/1897237","19-1897237")</f>
        <v>0</v>
      </c>
      <c r="B273" t="s">
        <v>50</v>
      </c>
      <c r="C273" t="s">
        <v>73</v>
      </c>
      <c r="D273" t="s">
        <v>163</v>
      </c>
      <c r="E273" t="s">
        <v>203</v>
      </c>
      <c r="G273" t="s">
        <v>525</v>
      </c>
      <c r="H273" t="s">
        <v>957</v>
      </c>
      <c r="I273" t="s">
        <v>1293</v>
      </c>
      <c r="J273" t="s">
        <v>1581</v>
      </c>
      <c r="K273" t="s">
        <v>1645</v>
      </c>
      <c r="L273">
        <v>11691</v>
      </c>
      <c r="M273" t="s">
        <v>1670</v>
      </c>
      <c r="Q273" t="s">
        <v>1938</v>
      </c>
      <c r="R273" t="s">
        <v>1961</v>
      </c>
      <c r="T273" t="s">
        <v>1670</v>
      </c>
      <c r="V273" t="s">
        <v>1972</v>
      </c>
      <c r="X273" t="s">
        <v>203</v>
      </c>
      <c r="Y273">
        <v>819</v>
      </c>
      <c r="Z273" t="s">
        <v>2007</v>
      </c>
      <c r="AA273" t="s">
        <v>2016</v>
      </c>
      <c r="AC273" t="s">
        <v>2259</v>
      </c>
      <c r="AD273" t="s">
        <v>2686</v>
      </c>
      <c r="AE273">
        <v>43</v>
      </c>
      <c r="AF273" t="s">
        <v>2902</v>
      </c>
      <c r="AG273" t="s">
        <v>1754</v>
      </c>
      <c r="AH273">
        <v>15</v>
      </c>
      <c r="AJ273">
        <v>2</v>
      </c>
      <c r="AK273">
        <v>3</v>
      </c>
      <c r="AL273">
        <v>72.26000000000001</v>
      </c>
      <c r="AO273" t="s">
        <v>2927</v>
      </c>
      <c r="AP273">
        <v>21800</v>
      </c>
      <c r="AV273">
        <v>0</v>
      </c>
      <c r="AX273" t="s">
        <v>3044</v>
      </c>
    </row>
    <row r="274" spans="1:50">
      <c r="A274" s="1">
        <f>HYPERLINK("https://lsnyc.legalserver.org/matter/dynamic-profile/view/1897238","19-1897238")</f>
        <v>0</v>
      </c>
      <c r="B274" t="s">
        <v>50</v>
      </c>
      <c r="C274" t="s">
        <v>73</v>
      </c>
      <c r="D274" t="s">
        <v>163</v>
      </c>
      <c r="E274" t="s">
        <v>203</v>
      </c>
      <c r="G274" t="s">
        <v>525</v>
      </c>
      <c r="H274" t="s">
        <v>957</v>
      </c>
      <c r="I274" t="s">
        <v>1293</v>
      </c>
      <c r="J274" t="s">
        <v>1581</v>
      </c>
      <c r="K274" t="s">
        <v>1645</v>
      </c>
      <c r="L274">
        <v>11691</v>
      </c>
      <c r="M274" t="s">
        <v>1670</v>
      </c>
      <c r="Q274" t="s">
        <v>1941</v>
      </c>
      <c r="R274" t="s">
        <v>1962</v>
      </c>
      <c r="T274" t="s">
        <v>1670</v>
      </c>
      <c r="V274" t="s">
        <v>1972</v>
      </c>
      <c r="X274" t="s">
        <v>203</v>
      </c>
      <c r="Y274">
        <v>819</v>
      </c>
      <c r="Z274" t="s">
        <v>2007</v>
      </c>
      <c r="AA274" t="s">
        <v>2016</v>
      </c>
      <c r="AC274" t="s">
        <v>2259</v>
      </c>
      <c r="AD274" t="s">
        <v>2686</v>
      </c>
      <c r="AE274">
        <v>43</v>
      </c>
      <c r="AF274" t="s">
        <v>2902</v>
      </c>
      <c r="AG274" t="s">
        <v>1754</v>
      </c>
      <c r="AH274">
        <v>15</v>
      </c>
      <c r="AJ274">
        <v>2</v>
      </c>
      <c r="AK274">
        <v>3</v>
      </c>
      <c r="AL274">
        <v>112.03</v>
      </c>
      <c r="AO274" t="s">
        <v>2927</v>
      </c>
      <c r="AP274">
        <v>33800</v>
      </c>
      <c r="AV274">
        <v>0</v>
      </c>
      <c r="AX274" t="s">
        <v>3044</v>
      </c>
    </row>
    <row r="275" spans="1:50">
      <c r="A275" s="1">
        <f>HYPERLINK("https://lsnyc.legalserver.org/matter/dynamic-profile/view/1896516","19-1896516")</f>
        <v>0</v>
      </c>
      <c r="B275" t="s">
        <v>50</v>
      </c>
      <c r="C275" t="s">
        <v>126</v>
      </c>
      <c r="D275" t="s">
        <v>163</v>
      </c>
      <c r="E275" t="s">
        <v>235</v>
      </c>
      <c r="G275" t="s">
        <v>594</v>
      </c>
      <c r="H275" t="s">
        <v>780</v>
      </c>
      <c r="I275" t="s">
        <v>1112</v>
      </c>
      <c r="J275" t="s">
        <v>1588</v>
      </c>
      <c r="K275" t="s">
        <v>1641</v>
      </c>
      <c r="L275">
        <v>10453</v>
      </c>
      <c r="M275" t="s">
        <v>1670</v>
      </c>
      <c r="P275" t="s">
        <v>1807</v>
      </c>
      <c r="Q275" t="s">
        <v>1936</v>
      </c>
      <c r="R275" t="s">
        <v>1960</v>
      </c>
      <c r="T275" t="s">
        <v>1671</v>
      </c>
      <c r="V275" t="s">
        <v>1972</v>
      </c>
      <c r="X275" t="s">
        <v>392</v>
      </c>
      <c r="Y275">
        <v>1011.37</v>
      </c>
      <c r="Z275" t="s">
        <v>2006</v>
      </c>
      <c r="AA275" t="s">
        <v>2020</v>
      </c>
      <c r="AC275" t="s">
        <v>2260</v>
      </c>
      <c r="AD275" t="s">
        <v>2687</v>
      </c>
      <c r="AE275">
        <v>0</v>
      </c>
      <c r="AF275" t="s">
        <v>2902</v>
      </c>
      <c r="AG275" t="s">
        <v>2917</v>
      </c>
      <c r="AH275">
        <v>12</v>
      </c>
      <c r="AJ275">
        <v>3</v>
      </c>
      <c r="AK275">
        <v>3</v>
      </c>
      <c r="AL275">
        <v>42.19</v>
      </c>
      <c r="AO275" t="s">
        <v>2927</v>
      </c>
      <c r="AP275">
        <v>14592</v>
      </c>
      <c r="AV275">
        <v>10.75</v>
      </c>
      <c r="AW275" t="s">
        <v>337</v>
      </c>
      <c r="AX275" t="s">
        <v>3047</v>
      </c>
    </row>
    <row r="276" spans="1:50">
      <c r="A276" s="1">
        <f>HYPERLINK("https://lsnyc.legalserver.org/matter/dynamic-profile/view/1900604","19-1900604")</f>
        <v>0</v>
      </c>
      <c r="B276" t="s">
        <v>50</v>
      </c>
      <c r="C276" t="s">
        <v>74</v>
      </c>
      <c r="D276" t="s">
        <v>163</v>
      </c>
      <c r="E276" t="s">
        <v>328</v>
      </c>
      <c r="G276" t="s">
        <v>595</v>
      </c>
      <c r="H276" t="s">
        <v>958</v>
      </c>
      <c r="I276" t="s">
        <v>1131</v>
      </c>
      <c r="J276" t="s">
        <v>1589</v>
      </c>
      <c r="K276" t="s">
        <v>1641</v>
      </c>
      <c r="L276">
        <v>10460</v>
      </c>
      <c r="M276" t="s">
        <v>1670</v>
      </c>
      <c r="Q276" t="s">
        <v>1675</v>
      </c>
      <c r="R276" t="s">
        <v>1959</v>
      </c>
      <c r="T276" t="s">
        <v>1670</v>
      </c>
      <c r="V276" t="s">
        <v>1972</v>
      </c>
      <c r="X276" t="s">
        <v>1991</v>
      </c>
      <c r="Y276">
        <v>970</v>
      </c>
      <c r="Z276" t="s">
        <v>2006</v>
      </c>
      <c r="AA276" t="s">
        <v>2015</v>
      </c>
      <c r="AC276" t="s">
        <v>2261</v>
      </c>
      <c r="AD276" t="s">
        <v>2688</v>
      </c>
      <c r="AE276">
        <v>168</v>
      </c>
      <c r="AF276" t="s">
        <v>2902</v>
      </c>
      <c r="AG276" t="s">
        <v>1754</v>
      </c>
      <c r="AH276">
        <v>11</v>
      </c>
      <c r="AJ276">
        <v>1</v>
      </c>
      <c r="AK276">
        <v>1</v>
      </c>
      <c r="AL276">
        <v>153.45</v>
      </c>
      <c r="AO276" t="s">
        <v>2926</v>
      </c>
      <c r="AP276">
        <v>25948</v>
      </c>
      <c r="AV276">
        <v>0</v>
      </c>
      <c r="AX276" t="s">
        <v>3046</v>
      </c>
    </row>
    <row r="277" spans="1:50">
      <c r="A277" s="1">
        <f>HYPERLINK("https://lsnyc.legalserver.org/matter/dynamic-profile/view/1889928","19-1889928")</f>
        <v>0</v>
      </c>
      <c r="B277" t="s">
        <v>50</v>
      </c>
      <c r="C277" t="s">
        <v>74</v>
      </c>
      <c r="D277" t="s">
        <v>163</v>
      </c>
      <c r="E277" t="s">
        <v>170</v>
      </c>
      <c r="G277" t="s">
        <v>595</v>
      </c>
      <c r="H277" t="s">
        <v>958</v>
      </c>
      <c r="I277" t="s">
        <v>1131</v>
      </c>
      <c r="J277" t="s">
        <v>1589</v>
      </c>
      <c r="K277" t="s">
        <v>1641</v>
      </c>
      <c r="L277">
        <v>10460</v>
      </c>
      <c r="M277" t="s">
        <v>1672</v>
      </c>
      <c r="Q277" t="s">
        <v>1936</v>
      </c>
      <c r="R277" t="s">
        <v>1960</v>
      </c>
      <c r="T277" t="s">
        <v>1671</v>
      </c>
      <c r="V277" t="s">
        <v>1972</v>
      </c>
      <c r="W277" t="s">
        <v>1984</v>
      </c>
      <c r="X277" t="s">
        <v>1991</v>
      </c>
      <c r="Y277">
        <v>970</v>
      </c>
      <c r="Z277" t="s">
        <v>2006</v>
      </c>
      <c r="AA277" t="s">
        <v>2020</v>
      </c>
      <c r="AC277" t="s">
        <v>2261</v>
      </c>
      <c r="AD277" t="s">
        <v>2688</v>
      </c>
      <c r="AE277">
        <v>168</v>
      </c>
      <c r="AF277" t="s">
        <v>2902</v>
      </c>
      <c r="AG277" t="s">
        <v>1754</v>
      </c>
      <c r="AH277">
        <v>11</v>
      </c>
      <c r="AJ277">
        <v>1</v>
      </c>
      <c r="AK277">
        <v>1</v>
      </c>
      <c r="AL277">
        <v>153.45</v>
      </c>
      <c r="AO277" t="s">
        <v>2926</v>
      </c>
      <c r="AP277">
        <v>25948</v>
      </c>
      <c r="AQ277" t="s">
        <v>2956</v>
      </c>
      <c r="AV277">
        <v>8.300000000000001</v>
      </c>
      <c r="AW277" t="s">
        <v>369</v>
      </c>
      <c r="AX277" t="s">
        <v>3054</v>
      </c>
    </row>
    <row r="278" spans="1:50">
      <c r="A278" s="1">
        <f>HYPERLINK("https://lsnyc.legalserver.org/matter/dynamic-profile/view/1885747","18-1885747")</f>
        <v>0</v>
      </c>
      <c r="B278" t="s">
        <v>50</v>
      </c>
      <c r="C278" t="s">
        <v>74</v>
      </c>
      <c r="D278" t="s">
        <v>163</v>
      </c>
      <c r="E278" t="s">
        <v>306</v>
      </c>
      <c r="G278" t="s">
        <v>595</v>
      </c>
      <c r="H278" t="s">
        <v>958</v>
      </c>
      <c r="I278" t="s">
        <v>1131</v>
      </c>
      <c r="J278" t="s">
        <v>1589</v>
      </c>
      <c r="K278" t="s">
        <v>1641</v>
      </c>
      <c r="L278">
        <v>10460</v>
      </c>
      <c r="M278" t="s">
        <v>1670</v>
      </c>
      <c r="P278" t="s">
        <v>1692</v>
      </c>
      <c r="Q278" t="s">
        <v>1939</v>
      </c>
      <c r="R278" t="s">
        <v>1960</v>
      </c>
      <c r="T278" t="s">
        <v>1670</v>
      </c>
      <c r="V278" t="s">
        <v>1972</v>
      </c>
      <c r="X278" t="s">
        <v>283</v>
      </c>
      <c r="Y278">
        <v>970</v>
      </c>
      <c r="Z278" t="s">
        <v>2006</v>
      </c>
      <c r="AA278" t="s">
        <v>2015</v>
      </c>
      <c r="AC278" t="s">
        <v>2261</v>
      </c>
      <c r="AD278" t="s">
        <v>2688</v>
      </c>
      <c r="AE278">
        <v>168</v>
      </c>
      <c r="AF278" t="s">
        <v>2902</v>
      </c>
      <c r="AG278" t="s">
        <v>1754</v>
      </c>
      <c r="AH278">
        <v>11</v>
      </c>
      <c r="AJ278">
        <v>1</v>
      </c>
      <c r="AK278">
        <v>1</v>
      </c>
      <c r="AL278">
        <v>157.64</v>
      </c>
      <c r="AO278" t="s">
        <v>2926</v>
      </c>
      <c r="AP278">
        <v>25948</v>
      </c>
      <c r="AV278">
        <v>0</v>
      </c>
      <c r="AX278" t="s">
        <v>3046</v>
      </c>
    </row>
    <row r="279" spans="1:50">
      <c r="A279" s="1">
        <f>HYPERLINK("https://lsnyc.legalserver.org/matter/dynamic-profile/view/1899594","19-1899594")</f>
        <v>0</v>
      </c>
      <c r="B279" t="s">
        <v>50</v>
      </c>
      <c r="C279" t="s">
        <v>144</v>
      </c>
      <c r="D279" t="s">
        <v>164</v>
      </c>
      <c r="E279" t="s">
        <v>291</v>
      </c>
      <c r="F279" t="s">
        <v>290</v>
      </c>
      <c r="G279" t="s">
        <v>596</v>
      </c>
      <c r="H279" t="s">
        <v>959</v>
      </c>
      <c r="I279" t="s">
        <v>1294</v>
      </c>
      <c r="J279" t="s">
        <v>1590</v>
      </c>
      <c r="K279" t="s">
        <v>1641</v>
      </c>
      <c r="L279">
        <v>10457</v>
      </c>
      <c r="M279" t="s">
        <v>1670</v>
      </c>
      <c r="Q279" t="s">
        <v>1943</v>
      </c>
      <c r="R279" t="s">
        <v>1958</v>
      </c>
      <c r="S279" t="s">
        <v>1965</v>
      </c>
      <c r="T279" t="s">
        <v>1671</v>
      </c>
      <c r="V279" t="s">
        <v>1972</v>
      </c>
      <c r="X279" t="s">
        <v>369</v>
      </c>
      <c r="Y279">
        <v>1975</v>
      </c>
      <c r="Z279" t="s">
        <v>2006</v>
      </c>
      <c r="AB279" t="s">
        <v>2029</v>
      </c>
      <c r="AC279" t="s">
        <v>2262</v>
      </c>
      <c r="AD279" t="s">
        <v>2689</v>
      </c>
      <c r="AE279">
        <v>12</v>
      </c>
      <c r="AF279" t="s">
        <v>2902</v>
      </c>
      <c r="AG279" t="s">
        <v>2915</v>
      </c>
      <c r="AH279">
        <v>7</v>
      </c>
      <c r="AJ279">
        <v>1</v>
      </c>
      <c r="AK279">
        <v>4</v>
      </c>
      <c r="AL279">
        <v>76.76000000000001</v>
      </c>
      <c r="AO279" t="s">
        <v>2926</v>
      </c>
      <c r="AP279">
        <v>23160</v>
      </c>
      <c r="AV279">
        <v>2.6</v>
      </c>
      <c r="AW279" t="s">
        <v>290</v>
      </c>
      <c r="AX279" t="s">
        <v>3047</v>
      </c>
    </row>
    <row r="280" spans="1:50">
      <c r="A280" s="1">
        <f>HYPERLINK("https://lsnyc.legalserver.org/matter/dynamic-profile/view/1875069","18-1875069")</f>
        <v>0</v>
      </c>
      <c r="B280" t="s">
        <v>50</v>
      </c>
      <c r="C280" t="s">
        <v>103</v>
      </c>
      <c r="D280" t="s">
        <v>163</v>
      </c>
      <c r="E280" t="s">
        <v>323</v>
      </c>
      <c r="G280" t="s">
        <v>520</v>
      </c>
      <c r="H280" t="s">
        <v>960</v>
      </c>
      <c r="I280" t="s">
        <v>1295</v>
      </c>
      <c r="J280" t="s">
        <v>1591</v>
      </c>
      <c r="K280" t="s">
        <v>1644</v>
      </c>
      <c r="L280">
        <v>11233</v>
      </c>
      <c r="M280" t="s">
        <v>1670</v>
      </c>
      <c r="Q280" t="s">
        <v>1936</v>
      </c>
      <c r="R280" t="s">
        <v>1960</v>
      </c>
      <c r="T280" t="s">
        <v>1671</v>
      </c>
      <c r="V280" t="s">
        <v>1972</v>
      </c>
      <c r="X280" t="s">
        <v>323</v>
      </c>
      <c r="Y280">
        <v>925</v>
      </c>
      <c r="Z280" t="s">
        <v>2009</v>
      </c>
      <c r="AA280" t="s">
        <v>2026</v>
      </c>
      <c r="AC280" t="s">
        <v>2263</v>
      </c>
      <c r="AD280" t="s">
        <v>2690</v>
      </c>
      <c r="AE280">
        <v>101</v>
      </c>
      <c r="AF280" t="s">
        <v>2904</v>
      </c>
      <c r="AG280" t="s">
        <v>1754</v>
      </c>
      <c r="AH280">
        <v>1</v>
      </c>
      <c r="AJ280">
        <v>2</v>
      </c>
      <c r="AK280">
        <v>1</v>
      </c>
      <c r="AL280">
        <v>64.97</v>
      </c>
      <c r="AO280" t="s">
        <v>2927</v>
      </c>
      <c r="AP280">
        <v>13500</v>
      </c>
      <c r="AV280">
        <v>36</v>
      </c>
      <c r="AW280" t="s">
        <v>401</v>
      </c>
      <c r="AX280" t="s">
        <v>3060</v>
      </c>
    </row>
    <row r="281" spans="1:50">
      <c r="A281" s="1">
        <f>HYPERLINK("https://lsnyc.legalserver.org/matter/dynamic-profile/view/1893584","19-1893584")</f>
        <v>0</v>
      </c>
      <c r="B281" t="s">
        <v>50</v>
      </c>
      <c r="C281" t="s">
        <v>71</v>
      </c>
      <c r="D281" t="s">
        <v>163</v>
      </c>
      <c r="E281" t="s">
        <v>310</v>
      </c>
      <c r="G281" t="s">
        <v>488</v>
      </c>
      <c r="H281" t="s">
        <v>810</v>
      </c>
      <c r="I281" t="s">
        <v>1296</v>
      </c>
      <c r="J281" t="s">
        <v>1508</v>
      </c>
      <c r="K281" t="s">
        <v>1646</v>
      </c>
      <c r="L281">
        <v>10305</v>
      </c>
      <c r="M281" t="s">
        <v>1670</v>
      </c>
      <c r="P281" t="s">
        <v>1808</v>
      </c>
      <c r="Q281" t="s">
        <v>1936</v>
      </c>
      <c r="R281" t="s">
        <v>1960</v>
      </c>
      <c r="T281" t="s">
        <v>1671</v>
      </c>
      <c r="V281" t="s">
        <v>1972</v>
      </c>
      <c r="W281" t="s">
        <v>1984</v>
      </c>
      <c r="X281" t="s">
        <v>310</v>
      </c>
      <c r="Y281">
        <v>1200</v>
      </c>
      <c r="Z281" t="s">
        <v>2010</v>
      </c>
      <c r="AA281" t="s">
        <v>2011</v>
      </c>
      <c r="AC281" t="s">
        <v>2264</v>
      </c>
      <c r="AD281" t="s">
        <v>2691</v>
      </c>
      <c r="AE281">
        <v>5</v>
      </c>
      <c r="AF281" t="s">
        <v>2903</v>
      </c>
      <c r="AG281" t="s">
        <v>1754</v>
      </c>
      <c r="AH281">
        <v>1</v>
      </c>
      <c r="AJ281">
        <v>1</v>
      </c>
      <c r="AK281">
        <v>2</v>
      </c>
      <c r="AL281">
        <v>19.69</v>
      </c>
      <c r="AO281" t="s">
        <v>2926</v>
      </c>
      <c r="AP281">
        <v>4200</v>
      </c>
      <c r="AV281">
        <v>11.9</v>
      </c>
      <c r="AW281" t="s">
        <v>361</v>
      </c>
      <c r="AX281" t="s">
        <v>3056</v>
      </c>
    </row>
    <row r="282" spans="1:50">
      <c r="A282" s="1">
        <f>HYPERLINK("https://lsnyc.legalserver.org/matter/dynamic-profile/view/1891115","19-1891115")</f>
        <v>0</v>
      </c>
      <c r="B282" t="s">
        <v>50</v>
      </c>
      <c r="C282" t="s">
        <v>90</v>
      </c>
      <c r="D282" t="s">
        <v>164</v>
      </c>
      <c r="E282" t="s">
        <v>263</v>
      </c>
      <c r="F282" t="s">
        <v>230</v>
      </c>
      <c r="G282" t="s">
        <v>597</v>
      </c>
      <c r="H282" t="s">
        <v>961</v>
      </c>
      <c r="I282" t="s">
        <v>1297</v>
      </c>
      <c r="J282" t="s">
        <v>1592</v>
      </c>
      <c r="K282" t="s">
        <v>1646</v>
      </c>
      <c r="L282">
        <v>10301</v>
      </c>
      <c r="M282" t="s">
        <v>1670</v>
      </c>
      <c r="Q282" t="s">
        <v>1936</v>
      </c>
      <c r="R282" t="s">
        <v>1960</v>
      </c>
      <c r="S282" t="s">
        <v>1969</v>
      </c>
      <c r="V282" t="s">
        <v>1972</v>
      </c>
      <c r="X282" t="s">
        <v>263</v>
      </c>
      <c r="Y282">
        <v>0</v>
      </c>
      <c r="Z282" t="s">
        <v>2010</v>
      </c>
      <c r="AB282" t="s">
        <v>2032</v>
      </c>
      <c r="AC282" t="s">
        <v>2265</v>
      </c>
      <c r="AD282" t="s">
        <v>2692</v>
      </c>
      <c r="AE282">
        <v>0</v>
      </c>
      <c r="AH282">
        <v>0</v>
      </c>
      <c r="AJ282">
        <v>3</v>
      </c>
      <c r="AK282">
        <v>1</v>
      </c>
      <c r="AL282">
        <v>136.33</v>
      </c>
      <c r="AO282" t="s">
        <v>2926</v>
      </c>
      <c r="AP282">
        <v>35104</v>
      </c>
      <c r="AV282">
        <v>14.8</v>
      </c>
      <c r="AW282" t="s">
        <v>203</v>
      </c>
      <c r="AX282" t="s">
        <v>3072</v>
      </c>
    </row>
    <row r="283" spans="1:50">
      <c r="A283" s="1">
        <f>HYPERLINK("https://lsnyc.legalserver.org/matter/dynamic-profile/view/1881758","18-1881758")</f>
        <v>0</v>
      </c>
      <c r="B283" t="s">
        <v>50</v>
      </c>
      <c r="C283" t="s">
        <v>61</v>
      </c>
      <c r="D283" t="s">
        <v>163</v>
      </c>
      <c r="E283" t="s">
        <v>329</v>
      </c>
      <c r="G283" t="s">
        <v>598</v>
      </c>
      <c r="H283" t="s">
        <v>962</v>
      </c>
      <c r="I283" t="s">
        <v>1298</v>
      </c>
      <c r="J283">
        <v>26</v>
      </c>
      <c r="K283" t="s">
        <v>1644</v>
      </c>
      <c r="L283">
        <v>11215</v>
      </c>
      <c r="M283" t="s">
        <v>1670</v>
      </c>
      <c r="P283" t="s">
        <v>1809</v>
      </c>
      <c r="Q283" t="s">
        <v>1940</v>
      </c>
      <c r="R283" t="s">
        <v>1960</v>
      </c>
      <c r="T283" t="s">
        <v>1671</v>
      </c>
      <c r="V283" t="s">
        <v>1972</v>
      </c>
      <c r="W283" t="s">
        <v>1984</v>
      </c>
      <c r="X283" t="s">
        <v>252</v>
      </c>
      <c r="Y283">
        <v>1380</v>
      </c>
      <c r="Z283" t="s">
        <v>2009</v>
      </c>
      <c r="AA283" t="s">
        <v>2014</v>
      </c>
      <c r="AC283" t="s">
        <v>2266</v>
      </c>
      <c r="AD283" t="s">
        <v>2693</v>
      </c>
      <c r="AE283">
        <v>26</v>
      </c>
      <c r="AF283" t="s">
        <v>2902</v>
      </c>
      <c r="AG283" t="s">
        <v>1754</v>
      </c>
      <c r="AH283">
        <v>7</v>
      </c>
      <c r="AJ283">
        <v>1</v>
      </c>
      <c r="AK283">
        <v>2</v>
      </c>
      <c r="AL283">
        <v>187.68</v>
      </c>
      <c r="AO283" t="s">
        <v>2926</v>
      </c>
      <c r="AP283">
        <v>39000</v>
      </c>
      <c r="AV283">
        <v>132.4</v>
      </c>
      <c r="AW283" t="s">
        <v>397</v>
      </c>
      <c r="AX283" t="s">
        <v>3063</v>
      </c>
    </row>
    <row r="284" spans="1:50">
      <c r="A284" s="1">
        <f>HYPERLINK("https://lsnyc.legalserver.org/matter/dynamic-profile/view/1880858","18-1880858")</f>
        <v>0</v>
      </c>
      <c r="B284" t="s">
        <v>50</v>
      </c>
      <c r="C284" t="s">
        <v>57</v>
      </c>
      <c r="D284" t="s">
        <v>163</v>
      </c>
      <c r="E284" t="s">
        <v>247</v>
      </c>
      <c r="G284" t="s">
        <v>599</v>
      </c>
      <c r="H284" t="s">
        <v>963</v>
      </c>
      <c r="I284" t="s">
        <v>1299</v>
      </c>
      <c r="J284" t="s">
        <v>1510</v>
      </c>
      <c r="K284" t="s">
        <v>1641</v>
      </c>
      <c r="L284">
        <v>10468</v>
      </c>
      <c r="M284" t="s">
        <v>1670</v>
      </c>
      <c r="Q284" t="s">
        <v>1936</v>
      </c>
      <c r="R284" t="s">
        <v>1958</v>
      </c>
      <c r="V284" t="s">
        <v>1972</v>
      </c>
      <c r="X284" t="s">
        <v>247</v>
      </c>
      <c r="Y284">
        <v>0</v>
      </c>
      <c r="Z284" t="s">
        <v>2006</v>
      </c>
      <c r="AC284" t="s">
        <v>2267</v>
      </c>
      <c r="AD284" t="s">
        <v>2694</v>
      </c>
      <c r="AE284">
        <v>0</v>
      </c>
      <c r="AH284">
        <v>0</v>
      </c>
      <c r="AJ284">
        <v>1</v>
      </c>
      <c r="AK284">
        <v>2</v>
      </c>
      <c r="AL284">
        <v>45.51</v>
      </c>
      <c r="AO284" t="s">
        <v>2926</v>
      </c>
      <c r="AP284">
        <v>9456</v>
      </c>
      <c r="AV284">
        <v>0.5</v>
      </c>
      <c r="AW284" t="s">
        <v>247</v>
      </c>
      <c r="AX284" t="s">
        <v>128</v>
      </c>
    </row>
    <row r="285" spans="1:50">
      <c r="A285" s="1">
        <f>HYPERLINK("https://lsnyc.legalserver.org/matter/dynamic-profile/view/1886581","18-1886581")</f>
        <v>0</v>
      </c>
      <c r="B285" t="s">
        <v>50</v>
      </c>
      <c r="C285" t="s">
        <v>53</v>
      </c>
      <c r="D285" t="s">
        <v>164</v>
      </c>
      <c r="E285" t="s">
        <v>330</v>
      </c>
      <c r="F285" t="s">
        <v>395</v>
      </c>
      <c r="G285" t="s">
        <v>600</v>
      </c>
      <c r="H285" t="s">
        <v>964</v>
      </c>
      <c r="I285" t="s">
        <v>1300</v>
      </c>
      <c r="J285" t="s">
        <v>1593</v>
      </c>
      <c r="K285" t="s">
        <v>1658</v>
      </c>
      <c r="L285">
        <v>11415</v>
      </c>
      <c r="M285" t="s">
        <v>1670</v>
      </c>
      <c r="P285" t="s">
        <v>1810</v>
      </c>
      <c r="Q285" t="s">
        <v>1940</v>
      </c>
      <c r="R285" t="s">
        <v>1958</v>
      </c>
      <c r="S285" t="s">
        <v>1965</v>
      </c>
      <c r="T285" t="s">
        <v>1671</v>
      </c>
      <c r="V285" t="s">
        <v>1972</v>
      </c>
      <c r="W285" t="s">
        <v>1984</v>
      </c>
      <c r="X285" t="s">
        <v>330</v>
      </c>
      <c r="Y285">
        <v>1995</v>
      </c>
      <c r="Z285" t="s">
        <v>2007</v>
      </c>
      <c r="AA285" t="s">
        <v>2014</v>
      </c>
      <c r="AB285" t="s">
        <v>2029</v>
      </c>
      <c r="AC285" t="s">
        <v>2268</v>
      </c>
      <c r="AD285" t="s">
        <v>2695</v>
      </c>
      <c r="AE285">
        <v>20</v>
      </c>
      <c r="AF285" t="s">
        <v>2911</v>
      </c>
      <c r="AG285" t="s">
        <v>1754</v>
      </c>
      <c r="AH285">
        <v>6</v>
      </c>
      <c r="AJ285">
        <v>1</v>
      </c>
      <c r="AK285">
        <v>3</v>
      </c>
      <c r="AL285">
        <v>99.59999999999999</v>
      </c>
      <c r="AO285" t="s">
        <v>2926</v>
      </c>
      <c r="AP285">
        <v>25000</v>
      </c>
      <c r="AV285">
        <v>0.9</v>
      </c>
      <c r="AW285" t="s">
        <v>271</v>
      </c>
      <c r="AX285" t="s">
        <v>3044</v>
      </c>
    </row>
    <row r="286" spans="1:50">
      <c r="A286" s="1">
        <f>HYPERLINK("https://lsnyc.legalserver.org/matter/dynamic-profile/view/1884197","18-1884197")</f>
        <v>0</v>
      </c>
      <c r="B286" t="s">
        <v>50</v>
      </c>
      <c r="C286" t="s">
        <v>97</v>
      </c>
      <c r="D286" t="s">
        <v>163</v>
      </c>
      <c r="E286" t="s">
        <v>331</v>
      </c>
      <c r="G286" t="s">
        <v>601</v>
      </c>
      <c r="H286" t="s">
        <v>965</v>
      </c>
      <c r="I286" t="s">
        <v>1301</v>
      </c>
      <c r="J286">
        <v>21</v>
      </c>
      <c r="K286" t="s">
        <v>1643</v>
      </c>
      <c r="L286">
        <v>10034</v>
      </c>
      <c r="M286" t="s">
        <v>1670</v>
      </c>
      <c r="P286" t="s">
        <v>1811</v>
      </c>
      <c r="Q286" t="s">
        <v>1941</v>
      </c>
      <c r="R286" t="s">
        <v>1960</v>
      </c>
      <c r="T286" t="s">
        <v>1671</v>
      </c>
      <c r="V286" t="s">
        <v>1972</v>
      </c>
      <c r="W286" t="s">
        <v>1983</v>
      </c>
      <c r="X286" t="s">
        <v>331</v>
      </c>
      <c r="Y286">
        <v>1382</v>
      </c>
      <c r="Z286" t="s">
        <v>2008</v>
      </c>
      <c r="AA286" t="s">
        <v>2013</v>
      </c>
      <c r="AC286" t="s">
        <v>2269</v>
      </c>
      <c r="AD286" t="s">
        <v>2696</v>
      </c>
      <c r="AE286">
        <v>93</v>
      </c>
      <c r="AF286" t="s">
        <v>2902</v>
      </c>
      <c r="AG286" t="s">
        <v>1754</v>
      </c>
      <c r="AH286">
        <v>5</v>
      </c>
      <c r="AJ286">
        <v>1</v>
      </c>
      <c r="AK286">
        <v>2</v>
      </c>
      <c r="AL286">
        <v>25.02</v>
      </c>
      <c r="AO286" t="s">
        <v>2926</v>
      </c>
      <c r="AP286">
        <v>5200</v>
      </c>
      <c r="AV286">
        <v>67.18000000000001</v>
      </c>
      <c r="AW286" t="s">
        <v>289</v>
      </c>
      <c r="AX286" t="s">
        <v>3042</v>
      </c>
    </row>
    <row r="287" spans="1:50">
      <c r="A287" s="1">
        <f>HYPERLINK("https://lsnyc.legalserver.org/matter/dynamic-profile/view/1892752","19-1892752")</f>
        <v>0</v>
      </c>
      <c r="B287" t="s">
        <v>50</v>
      </c>
      <c r="C287" t="s">
        <v>107</v>
      </c>
      <c r="D287" t="s">
        <v>163</v>
      </c>
      <c r="E287" t="s">
        <v>256</v>
      </c>
      <c r="G287" t="s">
        <v>602</v>
      </c>
      <c r="H287" t="s">
        <v>966</v>
      </c>
      <c r="I287" t="s">
        <v>1302</v>
      </c>
      <c r="J287" t="s">
        <v>1562</v>
      </c>
      <c r="K287" t="s">
        <v>1644</v>
      </c>
      <c r="L287">
        <v>11207</v>
      </c>
      <c r="M287" t="s">
        <v>1670</v>
      </c>
      <c r="P287" t="s">
        <v>1812</v>
      </c>
      <c r="Q287" t="s">
        <v>1936</v>
      </c>
      <c r="R287" t="s">
        <v>1962</v>
      </c>
      <c r="T287" t="s">
        <v>1671</v>
      </c>
      <c r="V287" t="s">
        <v>1972</v>
      </c>
      <c r="X287" t="s">
        <v>249</v>
      </c>
      <c r="Y287">
        <v>1900</v>
      </c>
      <c r="Z287" t="s">
        <v>2009</v>
      </c>
      <c r="AA287" t="s">
        <v>2013</v>
      </c>
      <c r="AB287" t="s">
        <v>2029</v>
      </c>
      <c r="AC287" t="s">
        <v>2270</v>
      </c>
      <c r="AD287" t="s">
        <v>2697</v>
      </c>
      <c r="AE287">
        <v>4</v>
      </c>
      <c r="AF287" t="s">
        <v>2909</v>
      </c>
      <c r="AG287" t="s">
        <v>2915</v>
      </c>
      <c r="AH287">
        <v>4</v>
      </c>
      <c r="AJ287">
        <v>1</v>
      </c>
      <c r="AK287">
        <v>2</v>
      </c>
      <c r="AL287">
        <v>14.29</v>
      </c>
      <c r="AO287" t="s">
        <v>2930</v>
      </c>
      <c r="AP287">
        <v>3048</v>
      </c>
      <c r="AV287">
        <v>2</v>
      </c>
      <c r="AW287" t="s">
        <v>249</v>
      </c>
      <c r="AX287" t="s">
        <v>3058</v>
      </c>
    </row>
    <row r="288" spans="1:50">
      <c r="A288" s="1">
        <f>HYPERLINK("https://lsnyc.legalserver.org/matter/dynamic-profile/view/1895311","19-1895311")</f>
        <v>0</v>
      </c>
      <c r="B288" t="s">
        <v>50</v>
      </c>
      <c r="C288" t="s">
        <v>145</v>
      </c>
      <c r="D288" t="s">
        <v>164</v>
      </c>
      <c r="E288" t="s">
        <v>326</v>
      </c>
      <c r="F288" t="s">
        <v>396</v>
      </c>
      <c r="G288" t="s">
        <v>603</v>
      </c>
      <c r="H288" t="s">
        <v>967</v>
      </c>
      <c r="I288" t="s">
        <v>1248</v>
      </c>
      <c r="J288" t="s">
        <v>1486</v>
      </c>
      <c r="K288" t="s">
        <v>1644</v>
      </c>
      <c r="L288">
        <v>11213</v>
      </c>
      <c r="M288" t="s">
        <v>1670</v>
      </c>
      <c r="Q288" t="s">
        <v>1946</v>
      </c>
      <c r="R288" t="s">
        <v>1964</v>
      </c>
      <c r="S288" t="s">
        <v>1965</v>
      </c>
      <c r="T288" t="s">
        <v>1670</v>
      </c>
      <c r="V288" t="s">
        <v>1978</v>
      </c>
      <c r="X288" t="s">
        <v>326</v>
      </c>
      <c r="Y288">
        <v>643.51</v>
      </c>
      <c r="Z288" t="s">
        <v>2009</v>
      </c>
      <c r="AA288" t="s">
        <v>2017</v>
      </c>
      <c r="AB288" t="s">
        <v>2035</v>
      </c>
      <c r="AC288" t="s">
        <v>2271</v>
      </c>
      <c r="AD288" t="s">
        <v>2698</v>
      </c>
      <c r="AE288">
        <v>19</v>
      </c>
      <c r="AF288" t="s">
        <v>2902</v>
      </c>
      <c r="AG288" t="s">
        <v>1754</v>
      </c>
      <c r="AH288">
        <v>7</v>
      </c>
      <c r="AJ288">
        <v>2</v>
      </c>
      <c r="AK288">
        <v>2</v>
      </c>
      <c r="AL288">
        <v>3.96</v>
      </c>
      <c r="AO288" t="s">
        <v>2926</v>
      </c>
      <c r="AP288">
        <v>1020</v>
      </c>
      <c r="AV288">
        <v>0.2</v>
      </c>
      <c r="AW288" t="s">
        <v>275</v>
      </c>
      <c r="AX288" t="s">
        <v>3059</v>
      </c>
    </row>
    <row r="289" spans="1:50">
      <c r="A289" s="1">
        <f>HYPERLINK("https://lsnyc.legalserver.org/matter/dynamic-profile/view/1887906","19-1887906")</f>
        <v>0</v>
      </c>
      <c r="B289" t="s">
        <v>50</v>
      </c>
      <c r="C289" t="s">
        <v>132</v>
      </c>
      <c r="D289" t="s">
        <v>163</v>
      </c>
      <c r="E289" t="s">
        <v>332</v>
      </c>
      <c r="G289" t="s">
        <v>603</v>
      </c>
      <c r="H289" t="s">
        <v>967</v>
      </c>
      <c r="I289" t="s">
        <v>1248</v>
      </c>
      <c r="J289" t="s">
        <v>1486</v>
      </c>
      <c r="K289" t="s">
        <v>1644</v>
      </c>
      <c r="L289">
        <v>11213</v>
      </c>
      <c r="M289" t="s">
        <v>1670</v>
      </c>
      <c r="Q289" t="s">
        <v>1938</v>
      </c>
      <c r="R289" t="s">
        <v>1961</v>
      </c>
      <c r="T289" t="s">
        <v>1670</v>
      </c>
      <c r="V289" t="s">
        <v>1972</v>
      </c>
      <c r="X289" t="s">
        <v>1992</v>
      </c>
      <c r="Y289">
        <v>643.51</v>
      </c>
      <c r="Z289" t="s">
        <v>2009</v>
      </c>
      <c r="AA289" t="s">
        <v>2017</v>
      </c>
      <c r="AC289" t="s">
        <v>2271</v>
      </c>
      <c r="AD289" t="s">
        <v>2698</v>
      </c>
      <c r="AE289">
        <v>19</v>
      </c>
      <c r="AF289" t="s">
        <v>2902</v>
      </c>
      <c r="AG289" t="s">
        <v>1754</v>
      </c>
      <c r="AH289">
        <v>7</v>
      </c>
      <c r="AJ289">
        <v>2</v>
      </c>
      <c r="AK289">
        <v>2</v>
      </c>
      <c r="AL289">
        <v>4.06</v>
      </c>
      <c r="AO289" t="s">
        <v>2926</v>
      </c>
      <c r="AP289">
        <v>1020</v>
      </c>
      <c r="AV289">
        <v>0</v>
      </c>
      <c r="AX289" t="s">
        <v>3059</v>
      </c>
    </row>
    <row r="290" spans="1:50">
      <c r="A290" s="1">
        <f>HYPERLINK("https://lsnyc.legalserver.org/matter/dynamic-profile/view/1887898","19-1887898")</f>
        <v>0</v>
      </c>
      <c r="B290" t="s">
        <v>50</v>
      </c>
      <c r="C290" t="s">
        <v>132</v>
      </c>
      <c r="D290" t="s">
        <v>164</v>
      </c>
      <c r="E290" t="s">
        <v>332</v>
      </c>
      <c r="F290" t="s">
        <v>394</v>
      </c>
      <c r="G290" t="s">
        <v>603</v>
      </c>
      <c r="H290" t="s">
        <v>967</v>
      </c>
      <c r="I290" t="s">
        <v>1248</v>
      </c>
      <c r="J290" t="s">
        <v>1486</v>
      </c>
      <c r="K290" t="s">
        <v>1644</v>
      </c>
      <c r="L290">
        <v>11213</v>
      </c>
      <c r="M290" t="s">
        <v>1670</v>
      </c>
      <c r="Q290" t="s">
        <v>1937</v>
      </c>
      <c r="R290" t="s">
        <v>1962</v>
      </c>
      <c r="S290" t="s">
        <v>1968</v>
      </c>
      <c r="T290" t="s">
        <v>1670</v>
      </c>
      <c r="V290" t="s">
        <v>1972</v>
      </c>
      <c r="X290" t="s">
        <v>372</v>
      </c>
      <c r="Y290">
        <v>643.51</v>
      </c>
      <c r="Z290" t="s">
        <v>2009</v>
      </c>
      <c r="AA290" t="s">
        <v>2017</v>
      </c>
      <c r="AB290" t="s">
        <v>2031</v>
      </c>
      <c r="AC290" t="s">
        <v>2271</v>
      </c>
      <c r="AD290" t="s">
        <v>2698</v>
      </c>
      <c r="AE290">
        <v>19</v>
      </c>
      <c r="AF290" t="s">
        <v>2902</v>
      </c>
      <c r="AG290" t="s">
        <v>1754</v>
      </c>
      <c r="AH290">
        <v>7</v>
      </c>
      <c r="AJ290">
        <v>2</v>
      </c>
      <c r="AK290">
        <v>2</v>
      </c>
      <c r="AL290">
        <v>40.64</v>
      </c>
      <c r="AO290" t="s">
        <v>2926</v>
      </c>
      <c r="AP290">
        <v>10200</v>
      </c>
      <c r="AV290">
        <v>0.08</v>
      </c>
      <c r="AW290" t="s">
        <v>332</v>
      </c>
      <c r="AX290" t="s">
        <v>3059</v>
      </c>
    </row>
    <row r="291" spans="1:50">
      <c r="A291" s="1">
        <f>HYPERLINK("https://lsnyc.legalserver.org/matter/dynamic-profile/view/1887903","19-1887903")</f>
        <v>0</v>
      </c>
      <c r="B291" t="s">
        <v>50</v>
      </c>
      <c r="C291" t="s">
        <v>132</v>
      </c>
      <c r="D291" t="s">
        <v>163</v>
      </c>
      <c r="E291" t="s">
        <v>332</v>
      </c>
      <c r="G291" t="s">
        <v>603</v>
      </c>
      <c r="H291" t="s">
        <v>967</v>
      </c>
      <c r="I291" t="s">
        <v>1248</v>
      </c>
      <c r="J291" t="s">
        <v>1486</v>
      </c>
      <c r="K291" t="s">
        <v>1644</v>
      </c>
      <c r="L291">
        <v>11213</v>
      </c>
      <c r="M291" t="s">
        <v>1670</v>
      </c>
      <c r="P291" t="s">
        <v>1813</v>
      </c>
      <c r="Q291" t="s">
        <v>1939</v>
      </c>
      <c r="R291" t="s">
        <v>1960</v>
      </c>
      <c r="T291" t="s">
        <v>1670</v>
      </c>
      <c r="V291" t="s">
        <v>1972</v>
      </c>
      <c r="X291" t="s">
        <v>372</v>
      </c>
      <c r="Y291">
        <v>643.51</v>
      </c>
      <c r="Z291" t="s">
        <v>2009</v>
      </c>
      <c r="AA291" t="s">
        <v>2017</v>
      </c>
      <c r="AC291" t="s">
        <v>2271</v>
      </c>
      <c r="AD291" t="s">
        <v>2698</v>
      </c>
      <c r="AE291">
        <v>19</v>
      </c>
      <c r="AF291" t="s">
        <v>2902</v>
      </c>
      <c r="AG291" t="s">
        <v>1754</v>
      </c>
      <c r="AH291">
        <v>7</v>
      </c>
      <c r="AJ291">
        <v>2</v>
      </c>
      <c r="AK291">
        <v>2</v>
      </c>
      <c r="AL291">
        <v>40.64</v>
      </c>
      <c r="AO291" t="s">
        <v>2926</v>
      </c>
      <c r="AP291">
        <v>10200</v>
      </c>
      <c r="AV291">
        <v>0</v>
      </c>
      <c r="AX291" t="s">
        <v>3059</v>
      </c>
    </row>
    <row r="292" spans="1:50">
      <c r="A292" s="1">
        <f>HYPERLINK("https://lsnyc.legalserver.org/matter/dynamic-profile/view/1897453","19-1897453")</f>
        <v>0</v>
      </c>
      <c r="B292" t="s">
        <v>50</v>
      </c>
      <c r="C292" t="s">
        <v>78</v>
      </c>
      <c r="D292" t="s">
        <v>163</v>
      </c>
      <c r="E292" t="s">
        <v>269</v>
      </c>
      <c r="G292" t="s">
        <v>604</v>
      </c>
      <c r="H292" t="s">
        <v>968</v>
      </c>
      <c r="I292" t="s">
        <v>1303</v>
      </c>
      <c r="K292" t="s">
        <v>1646</v>
      </c>
      <c r="L292">
        <v>10304</v>
      </c>
      <c r="M292" t="s">
        <v>1670</v>
      </c>
      <c r="P292" t="s">
        <v>1814</v>
      </c>
      <c r="Q292" t="s">
        <v>1954</v>
      </c>
      <c r="R292" t="s">
        <v>1960</v>
      </c>
      <c r="T292" t="s">
        <v>1671</v>
      </c>
      <c r="V292" t="s">
        <v>1972</v>
      </c>
      <c r="W292" t="s">
        <v>1984</v>
      </c>
      <c r="X292" t="s">
        <v>269</v>
      </c>
      <c r="Y292">
        <v>0</v>
      </c>
      <c r="Z292" t="s">
        <v>2010</v>
      </c>
      <c r="AA292" t="s">
        <v>2011</v>
      </c>
      <c r="AB292" t="s">
        <v>2043</v>
      </c>
      <c r="AC292" t="s">
        <v>2272</v>
      </c>
      <c r="AD292" t="s">
        <v>2699</v>
      </c>
      <c r="AE292">
        <v>1</v>
      </c>
      <c r="AH292">
        <v>-1</v>
      </c>
      <c r="AJ292">
        <v>2</v>
      </c>
      <c r="AK292">
        <v>2</v>
      </c>
      <c r="AL292">
        <v>0</v>
      </c>
      <c r="AO292" t="s">
        <v>2926</v>
      </c>
      <c r="AP292">
        <v>0</v>
      </c>
      <c r="AR292" t="s">
        <v>2978</v>
      </c>
      <c r="AS292" t="s">
        <v>2017</v>
      </c>
      <c r="AT292" t="s">
        <v>2992</v>
      </c>
      <c r="AU292" t="s">
        <v>3018</v>
      </c>
      <c r="AV292">
        <v>2</v>
      </c>
      <c r="AW292" t="s">
        <v>393</v>
      </c>
      <c r="AX292" t="s">
        <v>3050</v>
      </c>
    </row>
    <row r="293" spans="1:50">
      <c r="A293" s="1">
        <f>HYPERLINK("https://lsnyc.legalserver.org/matter/dynamic-profile/view/1903566","19-1903566")</f>
        <v>0</v>
      </c>
      <c r="B293" t="s">
        <v>50</v>
      </c>
      <c r="C293" t="s">
        <v>68</v>
      </c>
      <c r="D293" t="s">
        <v>163</v>
      </c>
      <c r="E293" t="s">
        <v>333</v>
      </c>
      <c r="G293" t="s">
        <v>605</v>
      </c>
      <c r="H293" t="s">
        <v>939</v>
      </c>
      <c r="I293" t="s">
        <v>1304</v>
      </c>
      <c r="J293">
        <v>21</v>
      </c>
      <c r="K293" t="s">
        <v>1643</v>
      </c>
      <c r="L293">
        <v>10034</v>
      </c>
      <c r="M293" t="s">
        <v>1670</v>
      </c>
      <c r="R293" t="s">
        <v>1963</v>
      </c>
      <c r="T293" t="s">
        <v>1670</v>
      </c>
      <c r="V293" t="s">
        <v>1972</v>
      </c>
      <c r="X293" t="s">
        <v>333</v>
      </c>
      <c r="Y293">
        <v>1540</v>
      </c>
      <c r="Z293" t="s">
        <v>2008</v>
      </c>
      <c r="AA293" t="s">
        <v>2020</v>
      </c>
      <c r="AC293" t="s">
        <v>2273</v>
      </c>
      <c r="AD293" t="s">
        <v>2700</v>
      </c>
      <c r="AE293">
        <v>20</v>
      </c>
      <c r="AF293" t="s">
        <v>2902</v>
      </c>
      <c r="AG293" t="s">
        <v>1754</v>
      </c>
      <c r="AH293">
        <v>23</v>
      </c>
      <c r="AJ293">
        <v>2</v>
      </c>
      <c r="AK293">
        <v>2</v>
      </c>
      <c r="AL293">
        <v>116.5</v>
      </c>
      <c r="AO293" t="s">
        <v>2927</v>
      </c>
      <c r="AP293">
        <v>30000</v>
      </c>
      <c r="AV293">
        <v>0</v>
      </c>
      <c r="AX293" t="s">
        <v>3042</v>
      </c>
    </row>
    <row r="294" spans="1:50">
      <c r="A294" s="1">
        <f>HYPERLINK("https://lsnyc.legalserver.org/matter/dynamic-profile/view/1889914","19-1889914")</f>
        <v>0</v>
      </c>
      <c r="B294" t="s">
        <v>50</v>
      </c>
      <c r="C294" t="s">
        <v>54</v>
      </c>
      <c r="D294" t="s">
        <v>164</v>
      </c>
      <c r="E294" t="s">
        <v>170</v>
      </c>
      <c r="F294" t="s">
        <v>379</v>
      </c>
      <c r="G294" t="s">
        <v>606</v>
      </c>
      <c r="H294" t="s">
        <v>969</v>
      </c>
      <c r="I294" t="s">
        <v>1305</v>
      </c>
      <c r="J294" t="s">
        <v>1486</v>
      </c>
      <c r="K294" t="s">
        <v>1643</v>
      </c>
      <c r="L294">
        <v>10034</v>
      </c>
      <c r="M294" t="s">
        <v>1670</v>
      </c>
      <c r="Q294" t="s">
        <v>1941</v>
      </c>
      <c r="R294" t="s">
        <v>1960</v>
      </c>
      <c r="S294" t="s">
        <v>1969</v>
      </c>
      <c r="T294" t="s">
        <v>1671</v>
      </c>
      <c r="V294" t="s">
        <v>1972</v>
      </c>
      <c r="X294" t="s">
        <v>170</v>
      </c>
      <c r="Y294">
        <v>792.86</v>
      </c>
      <c r="Z294" t="s">
        <v>2008</v>
      </c>
      <c r="AA294" t="s">
        <v>2013</v>
      </c>
      <c r="AB294" t="s">
        <v>2032</v>
      </c>
      <c r="AC294" t="s">
        <v>2274</v>
      </c>
      <c r="AD294" t="s">
        <v>2701</v>
      </c>
      <c r="AE294">
        <v>31</v>
      </c>
      <c r="AF294" t="s">
        <v>2902</v>
      </c>
      <c r="AG294" t="s">
        <v>1754</v>
      </c>
      <c r="AH294">
        <v>35</v>
      </c>
      <c r="AJ294">
        <v>3</v>
      </c>
      <c r="AK294">
        <v>2</v>
      </c>
      <c r="AL294">
        <v>99.44</v>
      </c>
      <c r="AO294" t="s">
        <v>2927</v>
      </c>
      <c r="AP294">
        <v>30000</v>
      </c>
      <c r="AV294">
        <v>37.5</v>
      </c>
      <c r="AW294" t="s">
        <v>364</v>
      </c>
      <c r="AX294" t="s">
        <v>3042</v>
      </c>
    </row>
    <row r="295" spans="1:50">
      <c r="A295" s="1">
        <f>HYPERLINK("https://lsnyc.legalserver.org/matter/dynamic-profile/view/1880073","18-1880073")</f>
        <v>0</v>
      </c>
      <c r="B295" t="s">
        <v>50</v>
      </c>
      <c r="C295" t="s">
        <v>73</v>
      </c>
      <c r="D295" t="s">
        <v>164</v>
      </c>
      <c r="E295" t="s">
        <v>318</v>
      </c>
      <c r="F295" t="s">
        <v>340</v>
      </c>
      <c r="G295" t="s">
        <v>607</v>
      </c>
      <c r="H295" t="s">
        <v>909</v>
      </c>
      <c r="I295" t="s">
        <v>1306</v>
      </c>
      <c r="K295" t="s">
        <v>1659</v>
      </c>
      <c r="L295">
        <v>11411</v>
      </c>
      <c r="M295" t="s">
        <v>1670</v>
      </c>
      <c r="P295" t="s">
        <v>1815</v>
      </c>
      <c r="Q295" t="s">
        <v>1940</v>
      </c>
      <c r="R295" t="s">
        <v>1962</v>
      </c>
      <c r="S295" t="s">
        <v>1965</v>
      </c>
      <c r="T295" t="s">
        <v>1671</v>
      </c>
      <c r="V295" t="s">
        <v>1972</v>
      </c>
      <c r="W295" t="s">
        <v>1984</v>
      </c>
      <c r="X295" t="s">
        <v>318</v>
      </c>
      <c r="Y295">
        <v>0</v>
      </c>
      <c r="Z295" t="s">
        <v>2007</v>
      </c>
      <c r="AA295" t="s">
        <v>2014</v>
      </c>
      <c r="AB295" t="s">
        <v>2029</v>
      </c>
      <c r="AC295" t="s">
        <v>2083</v>
      </c>
      <c r="AD295" t="s">
        <v>2702</v>
      </c>
      <c r="AE295">
        <v>1</v>
      </c>
      <c r="AF295" t="s">
        <v>2903</v>
      </c>
      <c r="AG295" t="s">
        <v>1754</v>
      </c>
      <c r="AH295">
        <v>46</v>
      </c>
      <c r="AJ295">
        <v>2</v>
      </c>
      <c r="AK295">
        <v>1</v>
      </c>
      <c r="AL295">
        <v>200</v>
      </c>
      <c r="AO295" t="s">
        <v>2926</v>
      </c>
      <c r="AP295">
        <v>41560</v>
      </c>
      <c r="AV295">
        <v>1</v>
      </c>
      <c r="AW295" t="s">
        <v>340</v>
      </c>
      <c r="AX295" t="s">
        <v>85</v>
      </c>
    </row>
    <row r="296" spans="1:50">
      <c r="A296" s="1">
        <f>HYPERLINK("https://lsnyc.legalserver.org/matter/dynamic-profile/view/1901697","19-1901697")</f>
        <v>0</v>
      </c>
      <c r="B296" t="s">
        <v>51</v>
      </c>
      <c r="C296" t="s">
        <v>138</v>
      </c>
      <c r="D296" t="s">
        <v>163</v>
      </c>
      <c r="E296" t="s">
        <v>334</v>
      </c>
      <c r="G296" t="s">
        <v>608</v>
      </c>
      <c r="H296" t="s">
        <v>970</v>
      </c>
      <c r="I296" t="s">
        <v>1307</v>
      </c>
      <c r="J296" t="s">
        <v>1542</v>
      </c>
      <c r="K296" t="s">
        <v>1646</v>
      </c>
      <c r="L296">
        <v>10305</v>
      </c>
      <c r="M296" t="s">
        <v>1670</v>
      </c>
      <c r="P296" t="s">
        <v>1816</v>
      </c>
      <c r="Q296" t="s">
        <v>1940</v>
      </c>
      <c r="R296" t="s">
        <v>1963</v>
      </c>
      <c r="T296" t="s">
        <v>1671</v>
      </c>
      <c r="V296" t="s">
        <v>1972</v>
      </c>
      <c r="W296" t="s">
        <v>1984</v>
      </c>
      <c r="X296" t="s">
        <v>1995</v>
      </c>
      <c r="Y296">
        <v>1700</v>
      </c>
      <c r="Z296" t="s">
        <v>2010</v>
      </c>
      <c r="AA296" t="s">
        <v>2012</v>
      </c>
      <c r="AC296" t="s">
        <v>2275</v>
      </c>
      <c r="AD296" t="s">
        <v>2703</v>
      </c>
      <c r="AE296">
        <v>2</v>
      </c>
      <c r="AH296">
        <v>5</v>
      </c>
      <c r="AJ296">
        <v>1</v>
      </c>
      <c r="AK296">
        <v>3</v>
      </c>
      <c r="AL296">
        <v>111.07</v>
      </c>
      <c r="AM296" t="s">
        <v>331</v>
      </c>
      <c r="AN296" t="s">
        <v>2924</v>
      </c>
      <c r="AO296" t="s">
        <v>2926</v>
      </c>
      <c r="AP296">
        <v>28600</v>
      </c>
      <c r="AV296">
        <v>7</v>
      </c>
      <c r="AW296" t="s">
        <v>222</v>
      </c>
      <c r="AX296" t="s">
        <v>138</v>
      </c>
    </row>
    <row r="297" spans="1:50">
      <c r="A297" s="1">
        <f>HYPERLINK("https://lsnyc.legalserver.org/matter/dynamic-profile/view/1892268","19-1892268")</f>
        <v>0</v>
      </c>
      <c r="B297" t="s">
        <v>50</v>
      </c>
      <c r="C297" t="s">
        <v>105</v>
      </c>
      <c r="D297" t="s">
        <v>163</v>
      </c>
      <c r="E297" t="s">
        <v>316</v>
      </c>
      <c r="G297" t="s">
        <v>609</v>
      </c>
      <c r="H297" t="s">
        <v>971</v>
      </c>
      <c r="I297" t="s">
        <v>1308</v>
      </c>
      <c r="J297" t="s">
        <v>1507</v>
      </c>
      <c r="K297" t="s">
        <v>1641</v>
      </c>
      <c r="L297">
        <v>10452</v>
      </c>
      <c r="M297" t="s">
        <v>1670</v>
      </c>
      <c r="R297" t="s">
        <v>1958</v>
      </c>
      <c r="V297" t="s">
        <v>1972</v>
      </c>
      <c r="X297" t="s">
        <v>316</v>
      </c>
      <c r="Y297">
        <v>0</v>
      </c>
      <c r="Z297" t="s">
        <v>2006</v>
      </c>
      <c r="AA297" t="s">
        <v>2016</v>
      </c>
      <c r="AC297" t="s">
        <v>2276</v>
      </c>
      <c r="AD297" t="s">
        <v>2704</v>
      </c>
      <c r="AE297">
        <v>0</v>
      </c>
      <c r="AG297" t="s">
        <v>2017</v>
      </c>
      <c r="AH297">
        <v>7</v>
      </c>
      <c r="AJ297">
        <v>2</v>
      </c>
      <c r="AK297">
        <v>2</v>
      </c>
      <c r="AL297">
        <v>16.31</v>
      </c>
      <c r="AO297" t="s">
        <v>2926</v>
      </c>
      <c r="AP297">
        <v>4200</v>
      </c>
      <c r="AV297">
        <v>1.3</v>
      </c>
      <c r="AW297" t="s">
        <v>333</v>
      </c>
      <c r="AX297" t="s">
        <v>105</v>
      </c>
    </row>
    <row r="298" spans="1:50">
      <c r="A298" s="1">
        <f>HYPERLINK("https://lsnyc.legalserver.org/matter/dynamic-profile/view/1876340","18-1876340")</f>
        <v>0</v>
      </c>
      <c r="B298" t="s">
        <v>50</v>
      </c>
      <c r="C298" t="s">
        <v>146</v>
      </c>
      <c r="D298" t="s">
        <v>164</v>
      </c>
      <c r="E298" t="s">
        <v>232</v>
      </c>
      <c r="F298" t="s">
        <v>335</v>
      </c>
      <c r="G298" t="s">
        <v>610</v>
      </c>
      <c r="H298" t="s">
        <v>972</v>
      </c>
      <c r="I298" t="s">
        <v>1309</v>
      </c>
      <c r="J298" t="s">
        <v>1594</v>
      </c>
      <c r="K298" t="s">
        <v>1641</v>
      </c>
      <c r="L298">
        <v>10452</v>
      </c>
      <c r="M298" t="s">
        <v>1670</v>
      </c>
      <c r="Q298" t="s">
        <v>1675</v>
      </c>
      <c r="R298" t="s">
        <v>1962</v>
      </c>
      <c r="S298" t="s">
        <v>1968</v>
      </c>
      <c r="T298" t="s">
        <v>1671</v>
      </c>
      <c r="V298" t="s">
        <v>1972</v>
      </c>
      <c r="X298" t="s">
        <v>335</v>
      </c>
      <c r="Y298">
        <v>888</v>
      </c>
      <c r="Z298" t="s">
        <v>2006</v>
      </c>
      <c r="AA298" t="s">
        <v>2013</v>
      </c>
      <c r="AB298" t="s">
        <v>2036</v>
      </c>
      <c r="AC298" t="s">
        <v>2277</v>
      </c>
      <c r="AD298" t="s">
        <v>2705</v>
      </c>
      <c r="AE298">
        <v>55</v>
      </c>
      <c r="AF298" t="s">
        <v>2902</v>
      </c>
      <c r="AG298" t="s">
        <v>1754</v>
      </c>
      <c r="AH298">
        <v>10</v>
      </c>
      <c r="AJ298">
        <v>2</v>
      </c>
      <c r="AK298">
        <v>1</v>
      </c>
      <c r="AL298">
        <v>118.24</v>
      </c>
      <c r="AO298" t="s">
        <v>2926</v>
      </c>
      <c r="AP298">
        <v>24570</v>
      </c>
      <c r="AV298">
        <v>0.2</v>
      </c>
      <c r="AW298" t="s">
        <v>335</v>
      </c>
      <c r="AX298" t="s">
        <v>3047</v>
      </c>
    </row>
    <row r="299" spans="1:50">
      <c r="A299" s="1">
        <f>HYPERLINK("https://lsnyc.legalserver.org/matter/dynamic-profile/view/1881313","18-1881313")</f>
        <v>0</v>
      </c>
      <c r="B299" t="s">
        <v>50</v>
      </c>
      <c r="C299" t="s">
        <v>96</v>
      </c>
      <c r="D299" t="s">
        <v>164</v>
      </c>
      <c r="E299" t="s">
        <v>335</v>
      </c>
      <c r="F299" t="s">
        <v>335</v>
      </c>
      <c r="G299" t="s">
        <v>611</v>
      </c>
      <c r="H299" t="s">
        <v>973</v>
      </c>
      <c r="I299" t="s">
        <v>1310</v>
      </c>
      <c r="J299" t="s">
        <v>1595</v>
      </c>
      <c r="K299" t="s">
        <v>1644</v>
      </c>
      <c r="L299">
        <v>11208</v>
      </c>
      <c r="M299" t="s">
        <v>1670</v>
      </c>
      <c r="P299" t="s">
        <v>1817</v>
      </c>
      <c r="Q299" t="s">
        <v>1940</v>
      </c>
      <c r="R299" t="s">
        <v>1962</v>
      </c>
      <c r="S299" t="s">
        <v>1968</v>
      </c>
      <c r="T299" t="s">
        <v>1671</v>
      </c>
      <c r="V299" t="s">
        <v>1972</v>
      </c>
      <c r="W299" t="s">
        <v>1983</v>
      </c>
      <c r="X299" t="s">
        <v>335</v>
      </c>
      <c r="Y299">
        <v>1650</v>
      </c>
      <c r="Z299" t="s">
        <v>2009</v>
      </c>
      <c r="AA299" t="s">
        <v>2011</v>
      </c>
      <c r="AB299" t="s">
        <v>2029</v>
      </c>
      <c r="AC299" t="s">
        <v>2278</v>
      </c>
      <c r="AD299" t="s">
        <v>2706</v>
      </c>
      <c r="AE299">
        <v>4</v>
      </c>
      <c r="AF299" t="s">
        <v>2903</v>
      </c>
      <c r="AH299">
        <v>4</v>
      </c>
      <c r="AJ299">
        <v>3</v>
      </c>
      <c r="AK299">
        <v>1</v>
      </c>
      <c r="AL299">
        <v>137.32</v>
      </c>
      <c r="AO299" t="s">
        <v>2926</v>
      </c>
      <c r="AP299">
        <v>34468</v>
      </c>
      <c r="AV299">
        <v>3</v>
      </c>
      <c r="AW299" t="s">
        <v>335</v>
      </c>
      <c r="AX299" t="s">
        <v>3049</v>
      </c>
    </row>
    <row r="300" spans="1:50">
      <c r="A300" s="1">
        <f>HYPERLINK("https://lsnyc.legalserver.org/matter/dynamic-profile/view/1874432","18-1874432")</f>
        <v>0</v>
      </c>
      <c r="B300" t="s">
        <v>50</v>
      </c>
      <c r="C300" t="s">
        <v>93</v>
      </c>
      <c r="D300" t="s">
        <v>163</v>
      </c>
      <c r="E300" t="s">
        <v>314</v>
      </c>
      <c r="G300" t="s">
        <v>612</v>
      </c>
      <c r="H300" t="s">
        <v>974</v>
      </c>
      <c r="I300" t="s">
        <v>1311</v>
      </c>
      <c r="J300" t="s">
        <v>1542</v>
      </c>
      <c r="K300" t="s">
        <v>1645</v>
      </c>
      <c r="L300">
        <v>11692</v>
      </c>
      <c r="M300" t="s">
        <v>1670</v>
      </c>
      <c r="P300" t="s">
        <v>1818</v>
      </c>
      <c r="Q300" t="s">
        <v>1936</v>
      </c>
      <c r="R300" t="s">
        <v>1958</v>
      </c>
      <c r="T300" t="s">
        <v>1671</v>
      </c>
      <c r="V300" t="s">
        <v>1972</v>
      </c>
      <c r="W300" t="s">
        <v>1983</v>
      </c>
      <c r="X300" t="s">
        <v>314</v>
      </c>
      <c r="Y300">
        <v>1930</v>
      </c>
      <c r="Z300" t="s">
        <v>2007</v>
      </c>
      <c r="AA300" t="s">
        <v>2014</v>
      </c>
      <c r="AC300" t="s">
        <v>2279</v>
      </c>
      <c r="AD300" t="s">
        <v>2707</v>
      </c>
      <c r="AE300">
        <v>3</v>
      </c>
      <c r="AF300" t="s">
        <v>2904</v>
      </c>
      <c r="AG300" t="s">
        <v>2915</v>
      </c>
      <c r="AH300">
        <v>5</v>
      </c>
      <c r="AJ300">
        <v>3</v>
      </c>
      <c r="AK300">
        <v>4</v>
      </c>
      <c r="AL300">
        <v>0</v>
      </c>
      <c r="AO300" t="s">
        <v>2926</v>
      </c>
      <c r="AP300">
        <v>0</v>
      </c>
      <c r="AV300">
        <v>0.1</v>
      </c>
      <c r="AW300" t="s">
        <v>326</v>
      </c>
      <c r="AX300" t="s">
        <v>93</v>
      </c>
    </row>
    <row r="301" spans="1:50">
      <c r="A301" s="1">
        <f>HYPERLINK("https://lsnyc.legalserver.org/matter/dynamic-profile/view/1887015","19-1887015")</f>
        <v>0</v>
      </c>
      <c r="B301" t="s">
        <v>50</v>
      </c>
      <c r="C301" t="s">
        <v>105</v>
      </c>
      <c r="D301" t="s">
        <v>163</v>
      </c>
      <c r="E301" t="s">
        <v>267</v>
      </c>
      <c r="G301" t="s">
        <v>613</v>
      </c>
      <c r="H301" t="s">
        <v>975</v>
      </c>
      <c r="I301" t="s">
        <v>1312</v>
      </c>
      <c r="J301" t="s">
        <v>1522</v>
      </c>
      <c r="K301" t="s">
        <v>1641</v>
      </c>
      <c r="L301">
        <v>10459</v>
      </c>
      <c r="M301" t="s">
        <v>1670</v>
      </c>
      <c r="Q301" t="s">
        <v>1939</v>
      </c>
      <c r="R301" t="s">
        <v>1960</v>
      </c>
      <c r="T301" t="s">
        <v>1670</v>
      </c>
      <c r="V301" t="s">
        <v>1972</v>
      </c>
      <c r="X301" t="s">
        <v>307</v>
      </c>
      <c r="Y301">
        <v>520</v>
      </c>
      <c r="Z301" t="s">
        <v>2006</v>
      </c>
      <c r="AA301" t="s">
        <v>2016</v>
      </c>
      <c r="AC301" t="s">
        <v>2280</v>
      </c>
      <c r="AD301" t="s">
        <v>2708</v>
      </c>
      <c r="AE301">
        <v>48</v>
      </c>
      <c r="AF301" t="s">
        <v>2909</v>
      </c>
      <c r="AH301">
        <v>28</v>
      </c>
      <c r="AJ301">
        <v>1</v>
      </c>
      <c r="AK301">
        <v>1</v>
      </c>
      <c r="AL301">
        <v>130.32</v>
      </c>
      <c r="AO301" t="s">
        <v>2926</v>
      </c>
      <c r="AP301">
        <v>21450</v>
      </c>
      <c r="AV301">
        <v>6</v>
      </c>
      <c r="AW301" t="s">
        <v>188</v>
      </c>
      <c r="AX301" t="s">
        <v>3047</v>
      </c>
    </row>
    <row r="302" spans="1:50">
      <c r="A302" s="1">
        <f>HYPERLINK("https://lsnyc.legalserver.org/matter/dynamic-profile/view/1889819","19-1889819")</f>
        <v>0</v>
      </c>
      <c r="B302" t="s">
        <v>50</v>
      </c>
      <c r="C302" t="s">
        <v>57</v>
      </c>
      <c r="D302" t="s">
        <v>164</v>
      </c>
      <c r="E302" t="s">
        <v>336</v>
      </c>
      <c r="F302" t="s">
        <v>396</v>
      </c>
      <c r="G302" t="s">
        <v>614</v>
      </c>
      <c r="H302" t="s">
        <v>780</v>
      </c>
      <c r="I302" t="s">
        <v>1313</v>
      </c>
      <c r="K302" t="s">
        <v>1641</v>
      </c>
      <c r="L302">
        <v>10463</v>
      </c>
      <c r="M302" t="s">
        <v>1670</v>
      </c>
      <c r="Q302" t="s">
        <v>1940</v>
      </c>
      <c r="R302" t="s">
        <v>1958</v>
      </c>
      <c r="S302" t="s">
        <v>1965</v>
      </c>
      <c r="T302" t="s">
        <v>1671</v>
      </c>
      <c r="V302" t="s">
        <v>1972</v>
      </c>
      <c r="X302" t="s">
        <v>1991</v>
      </c>
      <c r="Y302">
        <v>900</v>
      </c>
      <c r="Z302" t="s">
        <v>2006</v>
      </c>
      <c r="AA302" t="s">
        <v>2015</v>
      </c>
      <c r="AB302" t="s">
        <v>2029</v>
      </c>
      <c r="AC302" t="s">
        <v>2281</v>
      </c>
      <c r="AD302" t="s">
        <v>2709</v>
      </c>
      <c r="AE302">
        <v>61</v>
      </c>
      <c r="AF302" t="s">
        <v>2904</v>
      </c>
      <c r="AG302" t="s">
        <v>1754</v>
      </c>
      <c r="AH302">
        <v>10</v>
      </c>
      <c r="AJ302">
        <v>2</v>
      </c>
      <c r="AK302">
        <v>1</v>
      </c>
      <c r="AL302">
        <v>142.09</v>
      </c>
      <c r="AO302" t="s">
        <v>2927</v>
      </c>
      <c r="AP302">
        <v>30308</v>
      </c>
      <c r="AV302">
        <v>0.1</v>
      </c>
      <c r="AW302" t="s">
        <v>396</v>
      </c>
      <c r="AX302" t="s">
        <v>3046</v>
      </c>
    </row>
    <row r="303" spans="1:50">
      <c r="A303" s="1">
        <f>HYPERLINK("https://lsnyc.legalserver.org/matter/dynamic-profile/view/1874415","18-1874415")</f>
        <v>0</v>
      </c>
      <c r="B303" t="s">
        <v>50</v>
      </c>
      <c r="C303" t="s">
        <v>63</v>
      </c>
      <c r="D303" t="s">
        <v>163</v>
      </c>
      <c r="E303" t="s">
        <v>314</v>
      </c>
      <c r="G303" t="s">
        <v>615</v>
      </c>
      <c r="H303" t="s">
        <v>976</v>
      </c>
      <c r="I303" t="s">
        <v>1314</v>
      </c>
      <c r="J303" t="s">
        <v>1596</v>
      </c>
      <c r="K303" t="s">
        <v>1641</v>
      </c>
      <c r="L303">
        <v>10452</v>
      </c>
      <c r="M303" t="s">
        <v>1670</v>
      </c>
      <c r="P303" t="s">
        <v>1819</v>
      </c>
      <c r="Q303" t="s">
        <v>1936</v>
      </c>
      <c r="R303" t="s">
        <v>1960</v>
      </c>
      <c r="T303" t="s">
        <v>1671</v>
      </c>
      <c r="V303" t="s">
        <v>1972</v>
      </c>
      <c r="W303" t="s">
        <v>1984</v>
      </c>
      <c r="X303" t="s">
        <v>342</v>
      </c>
      <c r="Y303">
        <v>1285</v>
      </c>
      <c r="Z303" t="s">
        <v>2006</v>
      </c>
      <c r="AA303" t="s">
        <v>2020</v>
      </c>
      <c r="AC303" t="s">
        <v>2282</v>
      </c>
      <c r="AD303" t="s">
        <v>2710</v>
      </c>
      <c r="AE303">
        <v>71</v>
      </c>
      <c r="AF303" t="s">
        <v>2902</v>
      </c>
      <c r="AG303" t="s">
        <v>1754</v>
      </c>
      <c r="AH303">
        <v>15</v>
      </c>
      <c r="AJ303">
        <v>1</v>
      </c>
      <c r="AK303">
        <v>4</v>
      </c>
      <c r="AL303">
        <v>84.95999999999999</v>
      </c>
      <c r="AO303" t="s">
        <v>2932</v>
      </c>
      <c r="AP303">
        <v>24996</v>
      </c>
      <c r="AV303">
        <v>17.9</v>
      </c>
      <c r="AW303" t="s">
        <v>329</v>
      </c>
      <c r="AX303" t="s">
        <v>76</v>
      </c>
    </row>
    <row r="304" spans="1:50">
      <c r="A304" s="1">
        <f>HYPERLINK("https://lsnyc.legalserver.org/matter/dynamic-profile/view/1891182","19-1891182")</f>
        <v>0</v>
      </c>
      <c r="B304" t="s">
        <v>50</v>
      </c>
      <c r="C304" t="s">
        <v>100</v>
      </c>
      <c r="D304" t="s">
        <v>164</v>
      </c>
      <c r="E304" t="s">
        <v>263</v>
      </c>
      <c r="F304" t="s">
        <v>354</v>
      </c>
      <c r="G304" t="s">
        <v>532</v>
      </c>
      <c r="H304" t="s">
        <v>977</v>
      </c>
      <c r="I304" t="s">
        <v>1315</v>
      </c>
      <c r="J304" t="s">
        <v>1508</v>
      </c>
      <c r="K304" t="s">
        <v>1643</v>
      </c>
      <c r="L304">
        <v>10040</v>
      </c>
      <c r="M304" t="s">
        <v>1670</v>
      </c>
      <c r="R304" t="s">
        <v>1958</v>
      </c>
      <c r="S304" t="s">
        <v>1965</v>
      </c>
      <c r="T304" t="s">
        <v>1671</v>
      </c>
      <c r="V304" t="s">
        <v>1972</v>
      </c>
      <c r="X304" t="s">
        <v>263</v>
      </c>
      <c r="Y304">
        <v>1796.11</v>
      </c>
      <c r="Z304" t="s">
        <v>2008</v>
      </c>
      <c r="AA304" t="s">
        <v>2013</v>
      </c>
      <c r="AB304" t="s">
        <v>2029</v>
      </c>
      <c r="AC304" t="s">
        <v>2283</v>
      </c>
      <c r="AD304" t="s">
        <v>2711</v>
      </c>
      <c r="AE304">
        <v>21</v>
      </c>
      <c r="AF304" t="s">
        <v>2902</v>
      </c>
      <c r="AG304" t="s">
        <v>1754</v>
      </c>
      <c r="AH304">
        <v>13</v>
      </c>
      <c r="AJ304">
        <v>3</v>
      </c>
      <c r="AK304">
        <v>1</v>
      </c>
      <c r="AL304">
        <v>141.36</v>
      </c>
      <c r="AO304" t="s">
        <v>2927</v>
      </c>
      <c r="AP304">
        <v>36400</v>
      </c>
      <c r="AV304">
        <v>0.1</v>
      </c>
      <c r="AW304" t="s">
        <v>263</v>
      </c>
      <c r="AX304" t="s">
        <v>3042</v>
      </c>
    </row>
    <row r="305" spans="1:50">
      <c r="A305" s="1">
        <f>HYPERLINK("https://lsnyc.legalserver.org/matter/dynamic-profile/view/1898568","19-1898568")</f>
        <v>0</v>
      </c>
      <c r="B305" t="s">
        <v>50</v>
      </c>
      <c r="C305" t="s">
        <v>101</v>
      </c>
      <c r="D305" t="s">
        <v>163</v>
      </c>
      <c r="E305" t="s">
        <v>275</v>
      </c>
      <c r="G305" t="s">
        <v>591</v>
      </c>
      <c r="H305" t="s">
        <v>978</v>
      </c>
      <c r="I305" t="s">
        <v>1173</v>
      </c>
      <c r="J305" t="s">
        <v>1544</v>
      </c>
      <c r="K305" t="s">
        <v>1643</v>
      </c>
      <c r="L305">
        <v>10035</v>
      </c>
      <c r="M305" t="s">
        <v>1670</v>
      </c>
      <c r="Q305" t="s">
        <v>1675</v>
      </c>
      <c r="R305" t="s">
        <v>1962</v>
      </c>
      <c r="T305" t="s">
        <v>1670</v>
      </c>
      <c r="V305" t="s">
        <v>1972</v>
      </c>
      <c r="W305" t="s">
        <v>1984</v>
      </c>
      <c r="X305" t="s">
        <v>220</v>
      </c>
      <c r="Y305">
        <v>847</v>
      </c>
      <c r="Z305" t="s">
        <v>2008</v>
      </c>
      <c r="AA305" t="s">
        <v>2019</v>
      </c>
      <c r="AC305" t="s">
        <v>2284</v>
      </c>
      <c r="AD305" t="s">
        <v>2712</v>
      </c>
      <c r="AE305">
        <v>60</v>
      </c>
      <c r="AF305" t="s">
        <v>2902</v>
      </c>
      <c r="AG305" t="s">
        <v>2915</v>
      </c>
      <c r="AH305">
        <v>14</v>
      </c>
      <c r="AJ305">
        <v>1</v>
      </c>
      <c r="AK305">
        <v>2</v>
      </c>
      <c r="AL305">
        <v>170.65</v>
      </c>
      <c r="AO305" t="s">
        <v>2926</v>
      </c>
      <c r="AP305">
        <v>36400</v>
      </c>
      <c r="AV305">
        <v>19.8</v>
      </c>
      <c r="AW305" t="s">
        <v>346</v>
      </c>
      <c r="AX305" t="s">
        <v>3051</v>
      </c>
    </row>
    <row r="306" spans="1:50">
      <c r="A306" s="1">
        <f>HYPERLINK("https://lsnyc.legalserver.org/matter/dynamic-profile/view/1902748","19-1902748")</f>
        <v>0</v>
      </c>
      <c r="B306" t="s">
        <v>50</v>
      </c>
      <c r="C306" t="s">
        <v>147</v>
      </c>
      <c r="D306" t="s">
        <v>163</v>
      </c>
      <c r="E306" t="s">
        <v>337</v>
      </c>
      <c r="G306" t="s">
        <v>591</v>
      </c>
      <c r="H306" t="s">
        <v>978</v>
      </c>
      <c r="I306" t="s">
        <v>1173</v>
      </c>
      <c r="J306" t="s">
        <v>1544</v>
      </c>
      <c r="K306" t="s">
        <v>1643</v>
      </c>
      <c r="L306">
        <v>10035</v>
      </c>
      <c r="M306" t="s">
        <v>1670</v>
      </c>
      <c r="Q306" t="s">
        <v>1944</v>
      </c>
      <c r="R306" t="s">
        <v>1963</v>
      </c>
      <c r="T306" t="s">
        <v>1671</v>
      </c>
      <c r="V306" t="s">
        <v>1976</v>
      </c>
      <c r="W306" t="s">
        <v>1984</v>
      </c>
      <c r="X306" t="s">
        <v>337</v>
      </c>
      <c r="Y306">
        <v>847</v>
      </c>
      <c r="Z306" t="s">
        <v>2008</v>
      </c>
      <c r="AA306" t="s">
        <v>2021</v>
      </c>
      <c r="AC306" t="s">
        <v>2284</v>
      </c>
      <c r="AD306" t="s">
        <v>2712</v>
      </c>
      <c r="AE306">
        <v>60</v>
      </c>
      <c r="AF306" t="s">
        <v>2902</v>
      </c>
      <c r="AG306" t="s">
        <v>2915</v>
      </c>
      <c r="AH306">
        <v>14</v>
      </c>
      <c r="AJ306">
        <v>1</v>
      </c>
      <c r="AK306">
        <v>3</v>
      </c>
      <c r="AL306">
        <v>141.36</v>
      </c>
      <c r="AO306" t="s">
        <v>2926</v>
      </c>
      <c r="AP306">
        <v>36400</v>
      </c>
      <c r="AV306">
        <v>16.5</v>
      </c>
      <c r="AW306" t="s">
        <v>3034</v>
      </c>
      <c r="AX306" t="s">
        <v>3051</v>
      </c>
    </row>
    <row r="307" spans="1:50">
      <c r="A307" s="1">
        <f>HYPERLINK("https://lsnyc.legalserver.org/matter/dynamic-profile/view/1887294","19-1887294")</f>
        <v>0</v>
      </c>
      <c r="B307" t="s">
        <v>50</v>
      </c>
      <c r="C307" t="s">
        <v>105</v>
      </c>
      <c r="D307" t="s">
        <v>163</v>
      </c>
      <c r="E307" t="s">
        <v>307</v>
      </c>
      <c r="G307" t="s">
        <v>616</v>
      </c>
      <c r="H307" t="s">
        <v>979</v>
      </c>
      <c r="I307" t="s">
        <v>1312</v>
      </c>
      <c r="J307" t="s">
        <v>1560</v>
      </c>
      <c r="K307" t="s">
        <v>1641</v>
      </c>
      <c r="L307">
        <v>10459</v>
      </c>
      <c r="M307" t="s">
        <v>1670</v>
      </c>
      <c r="Q307" t="s">
        <v>1939</v>
      </c>
      <c r="R307" t="s">
        <v>1960</v>
      </c>
      <c r="T307" t="s">
        <v>1670</v>
      </c>
      <c r="V307" t="s">
        <v>1972</v>
      </c>
      <c r="X307" t="s">
        <v>307</v>
      </c>
      <c r="Y307">
        <v>461</v>
      </c>
      <c r="Z307" t="s">
        <v>2006</v>
      </c>
      <c r="AA307" t="s">
        <v>2015</v>
      </c>
      <c r="AC307" t="s">
        <v>2285</v>
      </c>
      <c r="AD307" t="s">
        <v>2713</v>
      </c>
      <c r="AE307">
        <v>48</v>
      </c>
      <c r="AF307" t="s">
        <v>2909</v>
      </c>
      <c r="AH307">
        <v>7</v>
      </c>
      <c r="AJ307">
        <v>1</v>
      </c>
      <c r="AK307">
        <v>6</v>
      </c>
      <c r="AL307">
        <v>27.48</v>
      </c>
      <c r="AP307">
        <v>10460</v>
      </c>
      <c r="AV307">
        <v>0</v>
      </c>
      <c r="AX307" t="s">
        <v>3047</v>
      </c>
    </row>
    <row r="308" spans="1:50">
      <c r="A308" s="1">
        <f>HYPERLINK("https://lsnyc.legalserver.org/matter/dynamic-profile/view/1877962","18-1877962")</f>
        <v>0</v>
      </c>
      <c r="B308" t="s">
        <v>50</v>
      </c>
      <c r="C308" t="s">
        <v>73</v>
      </c>
      <c r="D308" t="s">
        <v>164</v>
      </c>
      <c r="E308" t="s">
        <v>229</v>
      </c>
      <c r="F308" t="s">
        <v>242</v>
      </c>
      <c r="G308" t="s">
        <v>617</v>
      </c>
      <c r="H308" t="s">
        <v>980</v>
      </c>
      <c r="I308" t="s">
        <v>1316</v>
      </c>
      <c r="J308" t="s">
        <v>1534</v>
      </c>
      <c r="K308" t="s">
        <v>1660</v>
      </c>
      <c r="L308">
        <v>11377</v>
      </c>
      <c r="M308" t="s">
        <v>1670</v>
      </c>
      <c r="P308" t="s">
        <v>1820</v>
      </c>
      <c r="Q308" t="s">
        <v>1940</v>
      </c>
      <c r="R308" t="s">
        <v>1958</v>
      </c>
      <c r="S308" t="s">
        <v>1965</v>
      </c>
      <c r="T308" t="s">
        <v>1671</v>
      </c>
      <c r="V308" t="s">
        <v>1972</v>
      </c>
      <c r="W308" t="s">
        <v>1984</v>
      </c>
      <c r="X308" t="s">
        <v>229</v>
      </c>
      <c r="Y308">
        <v>860</v>
      </c>
      <c r="Z308" t="s">
        <v>2007</v>
      </c>
      <c r="AA308" t="s">
        <v>2014</v>
      </c>
      <c r="AB308" t="s">
        <v>2029</v>
      </c>
      <c r="AC308" t="s">
        <v>2286</v>
      </c>
      <c r="AD308" t="s">
        <v>2714</v>
      </c>
      <c r="AE308">
        <v>39</v>
      </c>
      <c r="AF308" t="s">
        <v>2902</v>
      </c>
      <c r="AG308" t="s">
        <v>1754</v>
      </c>
      <c r="AH308">
        <v>14</v>
      </c>
      <c r="AJ308">
        <v>2</v>
      </c>
      <c r="AK308">
        <v>1</v>
      </c>
      <c r="AL308">
        <v>96.25</v>
      </c>
      <c r="AO308" t="s">
        <v>2926</v>
      </c>
      <c r="AP308">
        <v>20000</v>
      </c>
      <c r="AV308">
        <v>1.1</v>
      </c>
      <c r="AW308" t="s">
        <v>242</v>
      </c>
      <c r="AX308" t="s">
        <v>85</v>
      </c>
    </row>
    <row r="309" spans="1:50">
      <c r="A309" s="1">
        <f>HYPERLINK("https://lsnyc.legalserver.org/matter/dynamic-profile/view/1898111","19-1898111")</f>
        <v>0</v>
      </c>
      <c r="B309" t="s">
        <v>50</v>
      </c>
      <c r="C309" t="s">
        <v>89</v>
      </c>
      <c r="D309" t="s">
        <v>164</v>
      </c>
      <c r="E309" t="s">
        <v>193</v>
      </c>
      <c r="F309" t="s">
        <v>275</v>
      </c>
      <c r="G309" t="s">
        <v>618</v>
      </c>
      <c r="H309" t="s">
        <v>535</v>
      </c>
      <c r="I309" t="s">
        <v>1317</v>
      </c>
      <c r="J309" t="s">
        <v>1558</v>
      </c>
      <c r="K309" t="s">
        <v>1647</v>
      </c>
      <c r="L309">
        <v>11435</v>
      </c>
      <c r="M309" t="s">
        <v>1670</v>
      </c>
      <c r="P309" t="s">
        <v>1821</v>
      </c>
      <c r="Q309" t="s">
        <v>1939</v>
      </c>
      <c r="R309" t="s">
        <v>1958</v>
      </c>
      <c r="S309" t="s">
        <v>1965</v>
      </c>
      <c r="T309" t="s">
        <v>1671</v>
      </c>
      <c r="V309" t="s">
        <v>1972</v>
      </c>
      <c r="X309" t="s">
        <v>193</v>
      </c>
      <c r="Y309">
        <v>1060</v>
      </c>
      <c r="Z309" t="s">
        <v>2007</v>
      </c>
      <c r="AA309" t="s">
        <v>2014</v>
      </c>
      <c r="AB309" t="s">
        <v>2029</v>
      </c>
      <c r="AC309" t="s">
        <v>2287</v>
      </c>
      <c r="AD309" t="s">
        <v>2715</v>
      </c>
      <c r="AE309">
        <v>84</v>
      </c>
      <c r="AF309" t="s">
        <v>2902</v>
      </c>
      <c r="AG309" t="s">
        <v>1754</v>
      </c>
      <c r="AH309">
        <v>12</v>
      </c>
      <c r="AJ309">
        <v>3</v>
      </c>
      <c r="AK309">
        <v>1</v>
      </c>
      <c r="AL309">
        <v>70.28</v>
      </c>
      <c r="AO309" t="s">
        <v>2926</v>
      </c>
      <c r="AP309">
        <v>18096</v>
      </c>
      <c r="AV309">
        <v>0.75</v>
      </c>
      <c r="AW309" t="s">
        <v>220</v>
      </c>
      <c r="AX309" t="s">
        <v>89</v>
      </c>
    </row>
    <row r="310" spans="1:50">
      <c r="A310" s="1">
        <f>HYPERLINK("https://lsnyc.legalserver.org/matter/dynamic-profile/view/1890794","19-1890794")</f>
        <v>0</v>
      </c>
      <c r="B310" t="s">
        <v>50</v>
      </c>
      <c r="C310" t="s">
        <v>91</v>
      </c>
      <c r="D310" t="s">
        <v>163</v>
      </c>
      <c r="E310" t="s">
        <v>338</v>
      </c>
      <c r="G310" t="s">
        <v>619</v>
      </c>
      <c r="H310" t="s">
        <v>981</v>
      </c>
      <c r="I310" t="s">
        <v>1318</v>
      </c>
      <c r="J310" t="s">
        <v>1497</v>
      </c>
      <c r="K310" t="s">
        <v>1643</v>
      </c>
      <c r="L310">
        <v>10032</v>
      </c>
      <c r="M310" t="s">
        <v>1670</v>
      </c>
      <c r="R310" t="s">
        <v>1958</v>
      </c>
      <c r="T310" t="s">
        <v>1670</v>
      </c>
      <c r="V310" t="s">
        <v>1972</v>
      </c>
      <c r="X310" t="s">
        <v>338</v>
      </c>
      <c r="Y310">
        <v>650</v>
      </c>
      <c r="Z310" t="s">
        <v>2008</v>
      </c>
      <c r="AA310" t="s">
        <v>2013</v>
      </c>
      <c r="AC310" t="s">
        <v>2288</v>
      </c>
      <c r="AD310" t="s">
        <v>2716</v>
      </c>
      <c r="AE310">
        <v>42</v>
      </c>
      <c r="AF310" t="s">
        <v>2902</v>
      </c>
      <c r="AG310" t="s">
        <v>1754</v>
      </c>
      <c r="AH310">
        <v>25</v>
      </c>
      <c r="AJ310">
        <v>3</v>
      </c>
      <c r="AK310">
        <v>1</v>
      </c>
      <c r="AL310">
        <v>139.04</v>
      </c>
      <c r="AO310" t="s">
        <v>2927</v>
      </c>
      <c r="AP310">
        <v>35804</v>
      </c>
      <c r="AV310">
        <v>0</v>
      </c>
      <c r="AX310" t="s">
        <v>3042</v>
      </c>
    </row>
    <row r="311" spans="1:50">
      <c r="A311" s="1">
        <f>HYPERLINK("https://lsnyc.legalserver.org/matter/dynamic-profile/view/1902035","19-1902035")</f>
        <v>0</v>
      </c>
      <c r="B311" t="s">
        <v>50</v>
      </c>
      <c r="C311" t="s">
        <v>64</v>
      </c>
      <c r="D311" t="s">
        <v>164</v>
      </c>
      <c r="E311" t="s">
        <v>179</v>
      </c>
      <c r="F311" t="s">
        <v>397</v>
      </c>
      <c r="G311" t="s">
        <v>620</v>
      </c>
      <c r="H311" t="s">
        <v>931</v>
      </c>
      <c r="I311" t="s">
        <v>1319</v>
      </c>
      <c r="J311">
        <v>304</v>
      </c>
      <c r="K311" t="s">
        <v>1643</v>
      </c>
      <c r="L311">
        <v>10034</v>
      </c>
      <c r="M311" t="s">
        <v>1670</v>
      </c>
      <c r="Q311" t="s">
        <v>1675</v>
      </c>
      <c r="R311" t="s">
        <v>1958</v>
      </c>
      <c r="S311" t="s">
        <v>1965</v>
      </c>
      <c r="T311" t="s">
        <v>1671</v>
      </c>
      <c r="V311" t="s">
        <v>1972</v>
      </c>
      <c r="X311" t="s">
        <v>179</v>
      </c>
      <c r="Y311">
        <v>1248.72</v>
      </c>
      <c r="Z311" t="s">
        <v>2008</v>
      </c>
      <c r="AA311" t="s">
        <v>2013</v>
      </c>
      <c r="AB311" t="s">
        <v>2029</v>
      </c>
      <c r="AC311" t="s">
        <v>2289</v>
      </c>
      <c r="AD311" t="s">
        <v>2717</v>
      </c>
      <c r="AE311">
        <v>73</v>
      </c>
      <c r="AF311" t="s">
        <v>2902</v>
      </c>
      <c r="AG311" t="s">
        <v>2919</v>
      </c>
      <c r="AH311">
        <v>45</v>
      </c>
      <c r="AJ311">
        <v>2</v>
      </c>
      <c r="AK311">
        <v>3</v>
      </c>
      <c r="AL311">
        <v>0</v>
      </c>
      <c r="AO311" t="s">
        <v>2927</v>
      </c>
      <c r="AP311">
        <v>0</v>
      </c>
      <c r="AV311">
        <v>1.4</v>
      </c>
      <c r="AW311" t="s">
        <v>397</v>
      </c>
      <c r="AX311" t="s">
        <v>3042</v>
      </c>
    </row>
    <row r="312" spans="1:50">
      <c r="A312" s="1">
        <f>HYPERLINK("https://lsnyc.legalserver.org/matter/dynamic-profile/view/1883510","18-1883510")</f>
        <v>0</v>
      </c>
      <c r="B312" t="s">
        <v>50</v>
      </c>
      <c r="C312" t="s">
        <v>148</v>
      </c>
      <c r="D312" t="s">
        <v>164</v>
      </c>
      <c r="E312" t="s">
        <v>281</v>
      </c>
      <c r="F312" t="s">
        <v>398</v>
      </c>
      <c r="G312" t="s">
        <v>621</v>
      </c>
      <c r="H312" t="s">
        <v>982</v>
      </c>
      <c r="I312" t="s">
        <v>1320</v>
      </c>
      <c r="J312" t="s">
        <v>1511</v>
      </c>
      <c r="K312" t="s">
        <v>1644</v>
      </c>
      <c r="L312">
        <v>11233</v>
      </c>
      <c r="M312" t="s">
        <v>1671</v>
      </c>
      <c r="P312" t="s">
        <v>1675</v>
      </c>
      <c r="Q312" t="s">
        <v>1941</v>
      </c>
      <c r="R312" t="s">
        <v>1958</v>
      </c>
      <c r="S312" t="s">
        <v>1965</v>
      </c>
      <c r="T312" t="s">
        <v>1671</v>
      </c>
      <c r="V312" t="s">
        <v>1972</v>
      </c>
      <c r="W312" t="s">
        <v>1984</v>
      </c>
      <c r="X312" t="s">
        <v>281</v>
      </c>
      <c r="Y312">
        <v>1066</v>
      </c>
      <c r="Z312" t="s">
        <v>2009</v>
      </c>
      <c r="AA312" t="s">
        <v>2019</v>
      </c>
      <c r="AB312" t="s">
        <v>2029</v>
      </c>
      <c r="AC312" t="s">
        <v>2290</v>
      </c>
      <c r="AD312" t="s">
        <v>2718</v>
      </c>
      <c r="AE312">
        <v>6</v>
      </c>
      <c r="AF312" t="s">
        <v>2902</v>
      </c>
      <c r="AG312" t="s">
        <v>1754</v>
      </c>
      <c r="AH312">
        <v>20</v>
      </c>
      <c r="AJ312">
        <v>2</v>
      </c>
      <c r="AK312">
        <v>1</v>
      </c>
      <c r="AL312">
        <v>158.81</v>
      </c>
      <c r="AO312" t="s">
        <v>2926</v>
      </c>
      <c r="AP312">
        <v>33000</v>
      </c>
      <c r="AV312">
        <v>1</v>
      </c>
      <c r="AW312" t="s">
        <v>281</v>
      </c>
      <c r="AX312" t="s">
        <v>3060</v>
      </c>
    </row>
    <row r="313" spans="1:50">
      <c r="A313" s="1">
        <f>HYPERLINK("https://lsnyc.legalserver.org/matter/dynamic-profile/view/1878163","18-1878163")</f>
        <v>0</v>
      </c>
      <c r="B313" t="s">
        <v>50</v>
      </c>
      <c r="C313" t="s">
        <v>97</v>
      </c>
      <c r="D313" t="s">
        <v>163</v>
      </c>
      <c r="E313" t="s">
        <v>242</v>
      </c>
      <c r="G313" t="s">
        <v>427</v>
      </c>
      <c r="H313" t="s">
        <v>865</v>
      </c>
      <c r="I313" t="s">
        <v>1321</v>
      </c>
      <c r="J313" t="s">
        <v>1571</v>
      </c>
      <c r="K313" t="s">
        <v>1643</v>
      </c>
      <c r="L313">
        <v>10031</v>
      </c>
      <c r="M313" t="s">
        <v>1670</v>
      </c>
      <c r="P313" t="s">
        <v>1822</v>
      </c>
      <c r="Q313" t="s">
        <v>1940</v>
      </c>
      <c r="R313" t="s">
        <v>1960</v>
      </c>
      <c r="T313" t="s">
        <v>1671</v>
      </c>
      <c r="V313" t="s">
        <v>1972</v>
      </c>
      <c r="W313" t="s">
        <v>1984</v>
      </c>
      <c r="X313" t="s">
        <v>242</v>
      </c>
      <c r="Y313">
        <v>572.08</v>
      </c>
      <c r="Z313" t="s">
        <v>2008</v>
      </c>
      <c r="AA313" t="s">
        <v>2014</v>
      </c>
      <c r="AC313" t="s">
        <v>2291</v>
      </c>
      <c r="AD313" t="s">
        <v>2719</v>
      </c>
      <c r="AE313">
        <v>13</v>
      </c>
      <c r="AF313" t="s">
        <v>2902</v>
      </c>
      <c r="AG313" t="s">
        <v>1754</v>
      </c>
      <c r="AH313">
        <v>28</v>
      </c>
      <c r="AJ313">
        <v>4</v>
      </c>
      <c r="AK313">
        <v>5</v>
      </c>
      <c r="AL313">
        <v>35.97</v>
      </c>
      <c r="AO313" t="s">
        <v>2927</v>
      </c>
      <c r="AP313">
        <v>16800</v>
      </c>
      <c r="AS313" t="s">
        <v>2982</v>
      </c>
      <c r="AT313" t="s">
        <v>2992</v>
      </c>
      <c r="AU313" t="s">
        <v>3019</v>
      </c>
      <c r="AV313">
        <v>6.7</v>
      </c>
      <c r="AW313" t="s">
        <v>375</v>
      </c>
      <c r="AX313" t="s">
        <v>3042</v>
      </c>
    </row>
    <row r="314" spans="1:50">
      <c r="A314" s="1">
        <f>HYPERLINK("https://lsnyc.legalserver.org/matter/dynamic-profile/view/1894678","19-1894678")</f>
        <v>0</v>
      </c>
      <c r="B314" t="s">
        <v>50</v>
      </c>
      <c r="C314" t="s">
        <v>83</v>
      </c>
      <c r="D314" t="s">
        <v>164</v>
      </c>
      <c r="E314" t="s">
        <v>195</v>
      </c>
      <c r="F314" t="s">
        <v>379</v>
      </c>
      <c r="G314" t="s">
        <v>544</v>
      </c>
      <c r="H314" t="s">
        <v>983</v>
      </c>
      <c r="I314" t="s">
        <v>1322</v>
      </c>
      <c r="J314">
        <v>45</v>
      </c>
      <c r="K314" t="s">
        <v>1643</v>
      </c>
      <c r="L314">
        <v>10032</v>
      </c>
      <c r="M314" t="s">
        <v>1670</v>
      </c>
      <c r="P314" t="s">
        <v>1823</v>
      </c>
      <c r="Q314" t="s">
        <v>1936</v>
      </c>
      <c r="R314" t="s">
        <v>1962</v>
      </c>
      <c r="S314" t="s">
        <v>1968</v>
      </c>
      <c r="T314" t="s">
        <v>1671</v>
      </c>
      <c r="V314" t="s">
        <v>1972</v>
      </c>
      <c r="X314" t="s">
        <v>195</v>
      </c>
      <c r="Y314">
        <v>1088.62</v>
      </c>
      <c r="Z314" t="s">
        <v>2008</v>
      </c>
      <c r="AA314" t="s">
        <v>2014</v>
      </c>
      <c r="AB314" t="s">
        <v>2029</v>
      </c>
      <c r="AC314" t="s">
        <v>2292</v>
      </c>
      <c r="AD314" t="s">
        <v>2720</v>
      </c>
      <c r="AE314">
        <v>0</v>
      </c>
      <c r="AF314" t="s">
        <v>2902</v>
      </c>
      <c r="AG314" t="s">
        <v>1754</v>
      </c>
      <c r="AH314">
        <v>16</v>
      </c>
      <c r="AJ314">
        <v>5</v>
      </c>
      <c r="AK314">
        <v>1</v>
      </c>
      <c r="AL314">
        <v>185.02</v>
      </c>
      <c r="AO314" t="s">
        <v>2927</v>
      </c>
      <c r="AP314">
        <v>64000</v>
      </c>
      <c r="AV314">
        <v>0.6</v>
      </c>
      <c r="AW314" t="s">
        <v>392</v>
      </c>
      <c r="AX314" t="s">
        <v>3061</v>
      </c>
    </row>
    <row r="315" spans="1:50">
      <c r="A315" s="1">
        <f>HYPERLINK("https://lsnyc.legalserver.org/matter/dynamic-profile/view/1886645","18-1886645")</f>
        <v>0</v>
      </c>
      <c r="B315" t="s">
        <v>50</v>
      </c>
      <c r="C315" t="s">
        <v>96</v>
      </c>
      <c r="D315" t="s">
        <v>163</v>
      </c>
      <c r="E315" t="s">
        <v>304</v>
      </c>
      <c r="G315" t="s">
        <v>622</v>
      </c>
      <c r="H315" t="s">
        <v>984</v>
      </c>
      <c r="I315" t="s">
        <v>1323</v>
      </c>
      <c r="J315" t="s">
        <v>1597</v>
      </c>
      <c r="K315" t="s">
        <v>1644</v>
      </c>
      <c r="L315">
        <v>11216</v>
      </c>
      <c r="M315" t="s">
        <v>1670</v>
      </c>
      <c r="Q315" t="s">
        <v>1675</v>
      </c>
      <c r="R315" t="s">
        <v>1962</v>
      </c>
      <c r="T315" t="s">
        <v>1671</v>
      </c>
      <c r="V315" t="s">
        <v>1972</v>
      </c>
      <c r="X315" t="s">
        <v>304</v>
      </c>
      <c r="Y315">
        <v>1010</v>
      </c>
      <c r="Z315" t="s">
        <v>2009</v>
      </c>
      <c r="AA315" t="s">
        <v>2020</v>
      </c>
      <c r="AC315" t="s">
        <v>2293</v>
      </c>
      <c r="AD315" t="s">
        <v>2721</v>
      </c>
      <c r="AE315">
        <v>0</v>
      </c>
      <c r="AF315" t="s">
        <v>2902</v>
      </c>
      <c r="AH315">
        <v>10</v>
      </c>
      <c r="AJ315">
        <v>3</v>
      </c>
      <c r="AK315">
        <v>1</v>
      </c>
      <c r="AL315">
        <v>87.65000000000001</v>
      </c>
      <c r="AO315" t="s">
        <v>2926</v>
      </c>
      <c r="AP315">
        <v>22000</v>
      </c>
      <c r="AV315">
        <v>3.7</v>
      </c>
      <c r="AW315" t="s">
        <v>226</v>
      </c>
      <c r="AX315" t="s">
        <v>158</v>
      </c>
    </row>
    <row r="316" spans="1:50">
      <c r="A316" s="1">
        <f>HYPERLINK("https://lsnyc.legalserver.org/matter/dynamic-profile/view/1900583","19-1900583")</f>
        <v>0</v>
      </c>
      <c r="B316" t="s">
        <v>50</v>
      </c>
      <c r="C316" t="s">
        <v>54</v>
      </c>
      <c r="D316" t="s">
        <v>163</v>
      </c>
      <c r="E316" t="s">
        <v>328</v>
      </c>
      <c r="G316" t="s">
        <v>529</v>
      </c>
      <c r="H316" t="s">
        <v>985</v>
      </c>
      <c r="I316" t="s">
        <v>1324</v>
      </c>
      <c r="J316" t="s">
        <v>1598</v>
      </c>
      <c r="K316" t="s">
        <v>1643</v>
      </c>
      <c r="L316">
        <v>10034</v>
      </c>
      <c r="M316" t="s">
        <v>1670</v>
      </c>
      <c r="R316" t="s">
        <v>1958</v>
      </c>
      <c r="T316" t="s">
        <v>1670</v>
      </c>
      <c r="V316" t="s">
        <v>1972</v>
      </c>
      <c r="X316" t="s">
        <v>328</v>
      </c>
      <c r="Y316">
        <v>1178.65</v>
      </c>
      <c r="Z316" t="s">
        <v>2008</v>
      </c>
      <c r="AA316" t="s">
        <v>2013</v>
      </c>
      <c r="AC316" t="s">
        <v>2294</v>
      </c>
      <c r="AD316" t="s">
        <v>2722</v>
      </c>
      <c r="AE316">
        <v>43</v>
      </c>
      <c r="AF316" t="s">
        <v>2902</v>
      </c>
      <c r="AG316" t="s">
        <v>1754</v>
      </c>
      <c r="AH316">
        <v>12</v>
      </c>
      <c r="AJ316">
        <v>5</v>
      </c>
      <c r="AK316">
        <v>1</v>
      </c>
      <c r="AL316">
        <v>64.2</v>
      </c>
      <c r="AO316" t="s">
        <v>2927</v>
      </c>
      <c r="AP316">
        <v>22208</v>
      </c>
      <c r="AV316">
        <v>0.01</v>
      </c>
      <c r="AW316" t="s">
        <v>337</v>
      </c>
      <c r="AX316" t="s">
        <v>3042</v>
      </c>
    </row>
    <row r="317" spans="1:50">
      <c r="A317" s="1">
        <f>HYPERLINK("https://lsnyc.legalserver.org/matter/dynamic-profile/view/1895991","19-1895991")</f>
        <v>0</v>
      </c>
      <c r="B317" t="s">
        <v>50</v>
      </c>
      <c r="C317" t="s">
        <v>149</v>
      </c>
      <c r="D317" t="s">
        <v>163</v>
      </c>
      <c r="E317" t="s">
        <v>339</v>
      </c>
      <c r="G317" t="s">
        <v>623</v>
      </c>
      <c r="H317" t="s">
        <v>986</v>
      </c>
      <c r="I317" t="s">
        <v>1325</v>
      </c>
      <c r="J317" t="s">
        <v>1599</v>
      </c>
      <c r="K317" t="s">
        <v>1661</v>
      </c>
      <c r="L317">
        <v>11423</v>
      </c>
      <c r="M317" t="s">
        <v>1670</v>
      </c>
      <c r="P317" t="s">
        <v>1824</v>
      </c>
      <c r="Q317" t="s">
        <v>1940</v>
      </c>
      <c r="R317" t="s">
        <v>1958</v>
      </c>
      <c r="V317" t="s">
        <v>1972</v>
      </c>
      <c r="X317" t="s">
        <v>339</v>
      </c>
      <c r="Y317">
        <v>1800</v>
      </c>
      <c r="Z317" t="s">
        <v>2007</v>
      </c>
      <c r="AA317" t="s">
        <v>2014</v>
      </c>
      <c r="AC317" t="s">
        <v>2295</v>
      </c>
      <c r="AD317" t="s">
        <v>2723</v>
      </c>
      <c r="AE317">
        <v>0</v>
      </c>
      <c r="AH317">
        <v>14</v>
      </c>
      <c r="AJ317">
        <v>1</v>
      </c>
      <c r="AK317">
        <v>2</v>
      </c>
      <c r="AL317">
        <v>131.08</v>
      </c>
      <c r="AO317" t="s">
        <v>2926</v>
      </c>
      <c r="AP317">
        <v>27960</v>
      </c>
      <c r="AV317">
        <v>4.4</v>
      </c>
      <c r="AW317" t="s">
        <v>230</v>
      </c>
      <c r="AX317" t="s">
        <v>3073</v>
      </c>
    </row>
    <row r="318" spans="1:50">
      <c r="A318" s="1">
        <f>HYPERLINK("https://lsnyc.legalserver.org/matter/dynamic-profile/view/1880127","18-1880127")</f>
        <v>0</v>
      </c>
      <c r="B318" t="s">
        <v>50</v>
      </c>
      <c r="C318" t="s">
        <v>119</v>
      </c>
      <c r="D318" t="s">
        <v>164</v>
      </c>
      <c r="E318" t="s">
        <v>340</v>
      </c>
      <c r="F318" t="s">
        <v>218</v>
      </c>
      <c r="G318" t="s">
        <v>624</v>
      </c>
      <c r="H318" t="s">
        <v>987</v>
      </c>
      <c r="I318" t="s">
        <v>1326</v>
      </c>
      <c r="J318" t="s">
        <v>1542</v>
      </c>
      <c r="K318" t="s">
        <v>1644</v>
      </c>
      <c r="L318">
        <v>11208</v>
      </c>
      <c r="M318" t="s">
        <v>1670</v>
      </c>
      <c r="P318" t="s">
        <v>1825</v>
      </c>
      <c r="Q318" t="s">
        <v>1936</v>
      </c>
      <c r="R318" t="s">
        <v>1958</v>
      </c>
      <c r="S318" t="s">
        <v>1965</v>
      </c>
      <c r="T318" t="s">
        <v>1671</v>
      </c>
      <c r="V318" t="s">
        <v>1972</v>
      </c>
      <c r="W318" t="s">
        <v>1985</v>
      </c>
      <c r="X318" t="s">
        <v>340</v>
      </c>
      <c r="Y318">
        <v>1700</v>
      </c>
      <c r="Z318" t="s">
        <v>2009</v>
      </c>
      <c r="AA318" t="s">
        <v>2014</v>
      </c>
      <c r="AB318" t="s">
        <v>2029</v>
      </c>
      <c r="AC318" t="s">
        <v>2296</v>
      </c>
      <c r="AD318" t="s">
        <v>2724</v>
      </c>
      <c r="AE318">
        <v>0</v>
      </c>
      <c r="AG318" t="s">
        <v>1754</v>
      </c>
      <c r="AH318">
        <v>4</v>
      </c>
      <c r="AJ318">
        <v>2</v>
      </c>
      <c r="AK318">
        <v>3</v>
      </c>
      <c r="AL318">
        <v>150</v>
      </c>
      <c r="AO318" t="s">
        <v>2927</v>
      </c>
      <c r="AP318">
        <v>44129.28</v>
      </c>
      <c r="AV318">
        <v>3.1</v>
      </c>
      <c r="AW318" t="s">
        <v>218</v>
      </c>
      <c r="AX318" t="s">
        <v>3074</v>
      </c>
    </row>
    <row r="319" spans="1:50">
      <c r="A319" s="1">
        <f>HYPERLINK("https://lsnyc.legalserver.org/matter/dynamic-profile/view/1886780","19-1886780")</f>
        <v>0</v>
      </c>
      <c r="B319" t="s">
        <v>50</v>
      </c>
      <c r="C319" t="s">
        <v>61</v>
      </c>
      <c r="D319" t="s">
        <v>163</v>
      </c>
      <c r="E319" t="s">
        <v>214</v>
      </c>
      <c r="G319" t="s">
        <v>625</v>
      </c>
      <c r="H319" t="s">
        <v>988</v>
      </c>
      <c r="I319" t="s">
        <v>1327</v>
      </c>
      <c r="K319" t="s">
        <v>1644</v>
      </c>
      <c r="L319">
        <v>11230</v>
      </c>
      <c r="M319" t="s">
        <v>1670</v>
      </c>
      <c r="Q319" t="s">
        <v>1937</v>
      </c>
      <c r="R319" t="s">
        <v>1959</v>
      </c>
      <c r="T319" t="s">
        <v>1671</v>
      </c>
      <c r="V319" t="s">
        <v>1972</v>
      </c>
      <c r="X319" t="s">
        <v>359</v>
      </c>
      <c r="Y319">
        <v>1345.21</v>
      </c>
      <c r="Z319" t="s">
        <v>2009</v>
      </c>
      <c r="AA319" t="s">
        <v>2025</v>
      </c>
      <c r="AC319" t="s">
        <v>2297</v>
      </c>
      <c r="AD319" t="s">
        <v>2725</v>
      </c>
      <c r="AE319">
        <v>60</v>
      </c>
      <c r="AF319" t="s">
        <v>2902</v>
      </c>
      <c r="AG319" t="s">
        <v>1754</v>
      </c>
      <c r="AH319">
        <v>6</v>
      </c>
      <c r="AJ319">
        <v>2</v>
      </c>
      <c r="AK319">
        <v>2</v>
      </c>
      <c r="AL319">
        <v>108.05</v>
      </c>
      <c r="AO319" t="s">
        <v>2926</v>
      </c>
      <c r="AP319">
        <v>27120</v>
      </c>
      <c r="AV319">
        <v>1.2</v>
      </c>
      <c r="AW319" t="s">
        <v>283</v>
      </c>
      <c r="AX319" t="s">
        <v>158</v>
      </c>
    </row>
    <row r="320" spans="1:50">
      <c r="A320" s="1">
        <f>HYPERLINK("https://lsnyc.legalserver.org/matter/dynamic-profile/view/1886501","18-1886501")</f>
        <v>0</v>
      </c>
      <c r="B320" t="s">
        <v>50</v>
      </c>
      <c r="C320" t="s">
        <v>61</v>
      </c>
      <c r="D320" t="s">
        <v>163</v>
      </c>
      <c r="E320" t="s">
        <v>341</v>
      </c>
      <c r="G320" t="s">
        <v>625</v>
      </c>
      <c r="H320" t="s">
        <v>988</v>
      </c>
      <c r="I320" t="s">
        <v>1327</v>
      </c>
      <c r="K320" t="s">
        <v>1644</v>
      </c>
      <c r="L320">
        <v>11230</v>
      </c>
      <c r="M320" t="s">
        <v>1670</v>
      </c>
      <c r="P320" t="s">
        <v>1826</v>
      </c>
      <c r="Q320" t="s">
        <v>1936</v>
      </c>
      <c r="R320" t="s">
        <v>1960</v>
      </c>
      <c r="T320" t="s">
        <v>1671</v>
      </c>
      <c r="U320" t="s">
        <v>50</v>
      </c>
      <c r="V320" t="s">
        <v>1972</v>
      </c>
      <c r="W320" t="s">
        <v>1985</v>
      </c>
      <c r="X320" t="s">
        <v>341</v>
      </c>
      <c r="Y320">
        <v>1345.21</v>
      </c>
      <c r="Z320" t="s">
        <v>2009</v>
      </c>
      <c r="AA320" t="s">
        <v>2025</v>
      </c>
      <c r="AC320" t="s">
        <v>2297</v>
      </c>
      <c r="AD320" t="s">
        <v>2725</v>
      </c>
      <c r="AE320">
        <v>60</v>
      </c>
      <c r="AF320" t="s">
        <v>2902</v>
      </c>
      <c r="AG320" t="s">
        <v>1754</v>
      </c>
      <c r="AH320">
        <v>6</v>
      </c>
      <c r="AJ320">
        <v>2</v>
      </c>
      <c r="AK320">
        <v>2</v>
      </c>
      <c r="AL320">
        <v>108.05</v>
      </c>
      <c r="AO320" t="s">
        <v>2926</v>
      </c>
      <c r="AP320">
        <v>27120</v>
      </c>
      <c r="AV320">
        <v>13.4</v>
      </c>
      <c r="AW320" t="s">
        <v>404</v>
      </c>
      <c r="AX320" t="s">
        <v>158</v>
      </c>
    </row>
    <row r="321" spans="1:50">
      <c r="A321" s="1">
        <f>HYPERLINK("https://lsnyc.legalserver.org/matter/dynamic-profile/view/1884240","18-1884240")</f>
        <v>0</v>
      </c>
      <c r="B321" t="s">
        <v>50</v>
      </c>
      <c r="C321" t="s">
        <v>126</v>
      </c>
      <c r="D321" t="s">
        <v>163</v>
      </c>
      <c r="E321" t="s">
        <v>224</v>
      </c>
      <c r="G321" t="s">
        <v>626</v>
      </c>
      <c r="H321" t="s">
        <v>989</v>
      </c>
      <c r="I321" t="s">
        <v>1328</v>
      </c>
      <c r="J321" t="s">
        <v>1571</v>
      </c>
      <c r="K321" t="s">
        <v>1641</v>
      </c>
      <c r="L321">
        <v>10456</v>
      </c>
      <c r="M321" t="s">
        <v>1670</v>
      </c>
      <c r="P321" t="s">
        <v>1827</v>
      </c>
      <c r="Q321" t="s">
        <v>1936</v>
      </c>
      <c r="R321" t="s">
        <v>1960</v>
      </c>
      <c r="V321" t="s">
        <v>1972</v>
      </c>
      <c r="W321" t="s">
        <v>1986</v>
      </c>
      <c r="X321" t="s">
        <v>224</v>
      </c>
      <c r="Y321">
        <v>1358</v>
      </c>
      <c r="Z321" t="s">
        <v>2006</v>
      </c>
      <c r="AA321" t="s">
        <v>2014</v>
      </c>
      <c r="AC321" t="s">
        <v>2298</v>
      </c>
      <c r="AD321" t="s">
        <v>2726</v>
      </c>
      <c r="AE321">
        <v>0</v>
      </c>
      <c r="AF321" t="s">
        <v>2903</v>
      </c>
      <c r="AG321" t="s">
        <v>1754</v>
      </c>
      <c r="AH321">
        <v>8</v>
      </c>
      <c r="AJ321">
        <v>2</v>
      </c>
      <c r="AK321">
        <v>1</v>
      </c>
      <c r="AL321">
        <v>100.09</v>
      </c>
      <c r="AO321" t="s">
        <v>2926</v>
      </c>
      <c r="AP321">
        <v>20798.4</v>
      </c>
      <c r="AQ321" t="s">
        <v>2944</v>
      </c>
      <c r="AV321">
        <v>9.300000000000001</v>
      </c>
      <c r="AW321" t="s">
        <v>333</v>
      </c>
      <c r="AX321" t="s">
        <v>3082</v>
      </c>
    </row>
    <row r="322" spans="1:50">
      <c r="A322" s="1">
        <f>HYPERLINK("https://lsnyc.legalserver.org/matter/dynamic-profile/view/1881881","18-1881881")</f>
        <v>0</v>
      </c>
      <c r="B322" t="s">
        <v>50</v>
      </c>
      <c r="C322" t="s">
        <v>94</v>
      </c>
      <c r="D322" t="s">
        <v>163</v>
      </c>
      <c r="E322" t="s">
        <v>342</v>
      </c>
      <c r="G322" t="s">
        <v>627</v>
      </c>
      <c r="H322" t="s">
        <v>990</v>
      </c>
      <c r="I322" t="s">
        <v>1329</v>
      </c>
      <c r="J322" t="s">
        <v>1600</v>
      </c>
      <c r="K322" t="s">
        <v>1643</v>
      </c>
      <c r="L322">
        <v>10032</v>
      </c>
      <c r="M322" t="s">
        <v>1670</v>
      </c>
      <c r="Q322" t="s">
        <v>1939</v>
      </c>
      <c r="R322" t="s">
        <v>1960</v>
      </c>
      <c r="T322" t="s">
        <v>1671</v>
      </c>
      <c r="V322" t="s">
        <v>1972</v>
      </c>
      <c r="X322" t="s">
        <v>342</v>
      </c>
      <c r="Y322">
        <v>762.59</v>
      </c>
      <c r="Z322" t="s">
        <v>2008</v>
      </c>
      <c r="AA322" t="s">
        <v>2011</v>
      </c>
      <c r="AC322" t="s">
        <v>2299</v>
      </c>
      <c r="AD322" t="s">
        <v>2727</v>
      </c>
      <c r="AE322">
        <v>20</v>
      </c>
      <c r="AF322" t="s">
        <v>2902</v>
      </c>
      <c r="AG322" t="s">
        <v>1754</v>
      </c>
      <c r="AH322">
        <v>35</v>
      </c>
      <c r="AJ322">
        <v>3</v>
      </c>
      <c r="AK322">
        <v>2</v>
      </c>
      <c r="AL322">
        <v>15.95</v>
      </c>
      <c r="AO322" t="s">
        <v>2926</v>
      </c>
      <c r="AP322">
        <v>4692</v>
      </c>
      <c r="AV322">
        <v>1.6</v>
      </c>
      <c r="AW322" t="s">
        <v>196</v>
      </c>
      <c r="AX322" t="s">
        <v>3042</v>
      </c>
    </row>
    <row r="323" spans="1:50">
      <c r="A323" s="1">
        <f>HYPERLINK("https://lsnyc.legalserver.org/matter/dynamic-profile/view/1885920","18-1885920")</f>
        <v>0</v>
      </c>
      <c r="B323" t="s">
        <v>50</v>
      </c>
      <c r="C323" t="s">
        <v>119</v>
      </c>
      <c r="D323" t="s">
        <v>164</v>
      </c>
      <c r="E323" t="s">
        <v>243</v>
      </c>
      <c r="F323" t="s">
        <v>190</v>
      </c>
      <c r="G323" t="s">
        <v>530</v>
      </c>
      <c r="H323" t="s">
        <v>815</v>
      </c>
      <c r="I323" t="s">
        <v>1330</v>
      </c>
      <c r="J323" t="s">
        <v>1601</v>
      </c>
      <c r="K323" t="s">
        <v>1644</v>
      </c>
      <c r="L323">
        <v>11233</v>
      </c>
      <c r="M323" t="s">
        <v>1670</v>
      </c>
      <c r="P323" t="s">
        <v>1828</v>
      </c>
      <c r="Q323" t="s">
        <v>1936</v>
      </c>
      <c r="R323" t="s">
        <v>1960</v>
      </c>
      <c r="S323" t="s">
        <v>1967</v>
      </c>
      <c r="T323" t="s">
        <v>1671</v>
      </c>
      <c r="V323" t="s">
        <v>1972</v>
      </c>
      <c r="X323" t="s">
        <v>394</v>
      </c>
      <c r="Y323">
        <v>1304.95</v>
      </c>
      <c r="Z323" t="s">
        <v>2009</v>
      </c>
      <c r="AA323" t="s">
        <v>2013</v>
      </c>
      <c r="AB323" t="s">
        <v>2032</v>
      </c>
      <c r="AC323" t="s">
        <v>2300</v>
      </c>
      <c r="AD323" t="s">
        <v>2728</v>
      </c>
      <c r="AE323">
        <v>25</v>
      </c>
      <c r="AF323" t="s">
        <v>2902</v>
      </c>
      <c r="AG323" t="s">
        <v>1754</v>
      </c>
      <c r="AH323">
        <v>8</v>
      </c>
      <c r="AJ323">
        <v>3</v>
      </c>
      <c r="AK323">
        <v>1</v>
      </c>
      <c r="AL323">
        <v>129.08</v>
      </c>
      <c r="AO323" t="s">
        <v>2926</v>
      </c>
      <c r="AP323">
        <v>32400</v>
      </c>
      <c r="AV323">
        <v>6.1</v>
      </c>
      <c r="AW323" t="s">
        <v>237</v>
      </c>
      <c r="AX323" t="s">
        <v>3052</v>
      </c>
    </row>
    <row r="324" spans="1:50">
      <c r="A324" s="1">
        <f>HYPERLINK("https://lsnyc.legalserver.org/matter/dynamic-profile/view/1876321","18-1876321")</f>
        <v>0</v>
      </c>
      <c r="B324" t="s">
        <v>50</v>
      </c>
      <c r="C324" t="s">
        <v>89</v>
      </c>
      <c r="D324" t="s">
        <v>164</v>
      </c>
      <c r="E324" t="s">
        <v>232</v>
      </c>
      <c r="F324" t="s">
        <v>329</v>
      </c>
      <c r="G324" t="s">
        <v>628</v>
      </c>
      <c r="H324" t="s">
        <v>914</v>
      </c>
      <c r="I324" t="s">
        <v>1331</v>
      </c>
      <c r="K324" t="s">
        <v>1645</v>
      </c>
      <c r="L324">
        <v>11691</v>
      </c>
      <c r="M324" t="s">
        <v>1670</v>
      </c>
      <c r="P324" t="s">
        <v>1829</v>
      </c>
      <c r="Q324" t="s">
        <v>1940</v>
      </c>
      <c r="R324" t="s">
        <v>1958</v>
      </c>
      <c r="S324" t="s">
        <v>1965</v>
      </c>
      <c r="T324" t="s">
        <v>1671</v>
      </c>
      <c r="V324" t="s">
        <v>1972</v>
      </c>
      <c r="W324" t="s">
        <v>1987</v>
      </c>
      <c r="X324" t="s">
        <v>2000</v>
      </c>
      <c r="Y324">
        <v>1600</v>
      </c>
      <c r="Z324" t="s">
        <v>2007</v>
      </c>
      <c r="AA324" t="s">
        <v>2014</v>
      </c>
      <c r="AB324" t="s">
        <v>2029</v>
      </c>
      <c r="AC324" t="s">
        <v>2301</v>
      </c>
      <c r="AD324" t="s">
        <v>2729</v>
      </c>
      <c r="AE324">
        <v>2</v>
      </c>
      <c r="AF324" t="s">
        <v>2903</v>
      </c>
      <c r="AG324" t="s">
        <v>1754</v>
      </c>
      <c r="AH324">
        <v>1</v>
      </c>
      <c r="AJ324">
        <v>4</v>
      </c>
      <c r="AK324">
        <v>1</v>
      </c>
      <c r="AL324">
        <v>169.95</v>
      </c>
      <c r="AO324" t="s">
        <v>2926</v>
      </c>
      <c r="AP324">
        <v>50000</v>
      </c>
      <c r="AV324">
        <v>0.5</v>
      </c>
      <c r="AW324" t="s">
        <v>232</v>
      </c>
      <c r="AX324" t="s">
        <v>3044</v>
      </c>
    </row>
    <row r="325" spans="1:50">
      <c r="A325" s="1">
        <f>HYPERLINK("https://lsnyc.legalserver.org/matter/dynamic-profile/view/1884099","18-1884099")</f>
        <v>0</v>
      </c>
      <c r="B325" t="s">
        <v>50</v>
      </c>
      <c r="C325" t="s">
        <v>82</v>
      </c>
      <c r="D325" t="s">
        <v>164</v>
      </c>
      <c r="E325" t="s">
        <v>331</v>
      </c>
      <c r="F325" t="s">
        <v>268</v>
      </c>
      <c r="G325" t="s">
        <v>629</v>
      </c>
      <c r="H325" t="s">
        <v>991</v>
      </c>
      <c r="I325" t="s">
        <v>1254</v>
      </c>
      <c r="J325">
        <v>419</v>
      </c>
      <c r="K325" t="s">
        <v>1644</v>
      </c>
      <c r="L325">
        <v>11239</v>
      </c>
      <c r="M325" t="s">
        <v>1670</v>
      </c>
      <c r="P325" t="s">
        <v>1830</v>
      </c>
      <c r="Q325" t="s">
        <v>1936</v>
      </c>
      <c r="R325" t="s">
        <v>1960</v>
      </c>
      <c r="S325" t="s">
        <v>1967</v>
      </c>
      <c r="T325" t="s">
        <v>1671</v>
      </c>
      <c r="V325" t="s">
        <v>1972</v>
      </c>
      <c r="W325" t="s">
        <v>1984</v>
      </c>
      <c r="X325" t="s">
        <v>331</v>
      </c>
      <c r="Y325">
        <v>963</v>
      </c>
      <c r="Z325" t="s">
        <v>2009</v>
      </c>
      <c r="AA325" t="s">
        <v>2020</v>
      </c>
      <c r="AB325" t="s">
        <v>2032</v>
      </c>
      <c r="AC325" t="s">
        <v>2302</v>
      </c>
      <c r="AD325" t="s">
        <v>2730</v>
      </c>
      <c r="AE325">
        <v>136</v>
      </c>
      <c r="AF325" t="s">
        <v>2902</v>
      </c>
      <c r="AG325" t="s">
        <v>1754</v>
      </c>
      <c r="AH325">
        <v>2</v>
      </c>
      <c r="AJ325">
        <v>1</v>
      </c>
      <c r="AK325">
        <v>3</v>
      </c>
      <c r="AL325">
        <v>160</v>
      </c>
      <c r="AO325" t="s">
        <v>2926</v>
      </c>
      <c r="AP325">
        <v>40159</v>
      </c>
      <c r="AV325">
        <v>8.6</v>
      </c>
      <c r="AW325" t="s">
        <v>353</v>
      </c>
      <c r="AX325" t="s">
        <v>82</v>
      </c>
    </row>
    <row r="326" spans="1:50">
      <c r="A326" s="1">
        <f>HYPERLINK("https://lsnyc.legalserver.org/matter/dynamic-profile/view/1880026","18-1880026")</f>
        <v>0</v>
      </c>
      <c r="B326" t="s">
        <v>50</v>
      </c>
      <c r="C326" t="s">
        <v>73</v>
      </c>
      <c r="D326" t="s">
        <v>163</v>
      </c>
      <c r="E326" t="s">
        <v>318</v>
      </c>
      <c r="G326" t="s">
        <v>630</v>
      </c>
      <c r="H326" t="s">
        <v>992</v>
      </c>
      <c r="I326" t="s">
        <v>1332</v>
      </c>
      <c r="J326">
        <v>210</v>
      </c>
      <c r="K326" t="s">
        <v>1649</v>
      </c>
      <c r="L326">
        <v>11692</v>
      </c>
      <c r="M326" t="s">
        <v>1670</v>
      </c>
      <c r="P326" t="s">
        <v>1831</v>
      </c>
      <c r="Q326" t="s">
        <v>1936</v>
      </c>
      <c r="R326" t="s">
        <v>1960</v>
      </c>
      <c r="T326" t="s">
        <v>1671</v>
      </c>
      <c r="V326" t="s">
        <v>1972</v>
      </c>
      <c r="W326" t="s">
        <v>1984</v>
      </c>
      <c r="X326" t="s">
        <v>318</v>
      </c>
      <c r="Y326">
        <v>1324</v>
      </c>
      <c r="Z326" t="s">
        <v>2007</v>
      </c>
      <c r="AA326" t="s">
        <v>2014</v>
      </c>
      <c r="AC326" t="s">
        <v>2303</v>
      </c>
      <c r="AD326" t="s">
        <v>2731</v>
      </c>
      <c r="AE326">
        <v>216</v>
      </c>
      <c r="AF326" t="s">
        <v>2907</v>
      </c>
      <c r="AG326" t="s">
        <v>2915</v>
      </c>
      <c r="AH326">
        <v>27</v>
      </c>
      <c r="AJ326">
        <v>2</v>
      </c>
      <c r="AK326">
        <v>1</v>
      </c>
      <c r="AL326">
        <v>115.5</v>
      </c>
      <c r="AO326" t="s">
        <v>2926</v>
      </c>
      <c r="AP326">
        <v>24000</v>
      </c>
      <c r="AR326" t="s">
        <v>2980</v>
      </c>
      <c r="AS326" t="s">
        <v>2990</v>
      </c>
      <c r="AV326">
        <v>25.55</v>
      </c>
      <c r="AW326" t="s">
        <v>289</v>
      </c>
      <c r="AX326" t="s">
        <v>85</v>
      </c>
    </row>
    <row r="327" spans="1:50">
      <c r="A327" s="1">
        <f>HYPERLINK("https://lsnyc.legalserver.org/matter/dynamic-profile/view/1889851","19-1889851")</f>
        <v>0</v>
      </c>
      <c r="B327" t="s">
        <v>50</v>
      </c>
      <c r="C327" t="s">
        <v>57</v>
      </c>
      <c r="D327" t="s">
        <v>164</v>
      </c>
      <c r="E327" t="s">
        <v>336</v>
      </c>
      <c r="F327" t="s">
        <v>310</v>
      </c>
      <c r="G327" t="s">
        <v>631</v>
      </c>
      <c r="H327" t="s">
        <v>993</v>
      </c>
      <c r="I327" t="s">
        <v>1333</v>
      </c>
      <c r="J327" t="s">
        <v>1519</v>
      </c>
      <c r="K327" t="s">
        <v>1641</v>
      </c>
      <c r="L327">
        <v>10455</v>
      </c>
      <c r="M327" t="s">
        <v>1670</v>
      </c>
      <c r="Q327" t="s">
        <v>1941</v>
      </c>
      <c r="R327" t="s">
        <v>1958</v>
      </c>
      <c r="S327" t="s">
        <v>1965</v>
      </c>
      <c r="T327" t="s">
        <v>1671</v>
      </c>
      <c r="V327" t="s">
        <v>1972</v>
      </c>
      <c r="X327" t="s">
        <v>310</v>
      </c>
      <c r="Y327">
        <v>568.88</v>
      </c>
      <c r="Z327" t="s">
        <v>2006</v>
      </c>
      <c r="AA327" t="s">
        <v>2015</v>
      </c>
      <c r="AB327" t="s">
        <v>2029</v>
      </c>
      <c r="AC327" t="s">
        <v>2304</v>
      </c>
      <c r="AD327" t="s">
        <v>2732</v>
      </c>
      <c r="AE327">
        <v>54</v>
      </c>
      <c r="AF327" t="s">
        <v>2902</v>
      </c>
      <c r="AG327" t="s">
        <v>1754</v>
      </c>
      <c r="AH327">
        <v>3</v>
      </c>
      <c r="AJ327">
        <v>3</v>
      </c>
      <c r="AK327">
        <v>1</v>
      </c>
      <c r="AL327">
        <v>124.27</v>
      </c>
      <c r="AO327" t="s">
        <v>2926</v>
      </c>
      <c r="AP327">
        <v>32000</v>
      </c>
      <c r="AV327">
        <v>0.1</v>
      </c>
      <c r="AW327" t="s">
        <v>310</v>
      </c>
      <c r="AX327" t="s">
        <v>3046</v>
      </c>
    </row>
    <row r="328" spans="1:50">
      <c r="A328" s="1">
        <f>HYPERLINK("https://lsnyc.legalserver.org/matter/dynamic-profile/view/1878570","18-1878570")</f>
        <v>0</v>
      </c>
      <c r="B328" t="s">
        <v>50</v>
      </c>
      <c r="C328" t="s">
        <v>61</v>
      </c>
      <c r="D328" t="s">
        <v>163</v>
      </c>
      <c r="E328" t="s">
        <v>343</v>
      </c>
      <c r="G328" t="s">
        <v>632</v>
      </c>
      <c r="H328" t="s">
        <v>994</v>
      </c>
      <c r="I328" t="s">
        <v>1159</v>
      </c>
      <c r="J328" t="s">
        <v>1518</v>
      </c>
      <c r="K328" t="s">
        <v>1644</v>
      </c>
      <c r="L328">
        <v>11226</v>
      </c>
      <c r="M328" t="s">
        <v>1670</v>
      </c>
      <c r="Q328" t="s">
        <v>1952</v>
      </c>
      <c r="R328" t="s">
        <v>1959</v>
      </c>
      <c r="T328" t="s">
        <v>1671</v>
      </c>
      <c r="V328" t="s">
        <v>1972</v>
      </c>
      <c r="X328" t="s">
        <v>343</v>
      </c>
      <c r="Y328">
        <v>1038</v>
      </c>
      <c r="Z328" t="s">
        <v>2009</v>
      </c>
      <c r="AA328" t="s">
        <v>2020</v>
      </c>
      <c r="AC328" t="s">
        <v>2305</v>
      </c>
      <c r="AD328" t="s">
        <v>2733</v>
      </c>
      <c r="AE328">
        <v>55</v>
      </c>
      <c r="AF328" t="s">
        <v>2902</v>
      </c>
      <c r="AH328">
        <v>28</v>
      </c>
      <c r="AJ328">
        <v>2</v>
      </c>
      <c r="AK328">
        <v>2</v>
      </c>
      <c r="AL328">
        <v>0</v>
      </c>
      <c r="AO328" t="s">
        <v>2926</v>
      </c>
      <c r="AP328">
        <v>0</v>
      </c>
      <c r="AQ328" t="s">
        <v>2957</v>
      </c>
      <c r="AV328">
        <v>34.8</v>
      </c>
      <c r="AW328" t="s">
        <v>373</v>
      </c>
      <c r="AX328" t="s">
        <v>3049</v>
      </c>
    </row>
    <row r="329" spans="1:50">
      <c r="A329" s="1">
        <f>HYPERLINK("https://lsnyc.legalserver.org/matter/dynamic-profile/view/1875936","18-1875936")</f>
        <v>0</v>
      </c>
      <c r="B329" t="s">
        <v>50</v>
      </c>
      <c r="C329" t="s">
        <v>96</v>
      </c>
      <c r="D329" t="s">
        <v>163</v>
      </c>
      <c r="E329" t="s">
        <v>244</v>
      </c>
      <c r="G329" t="s">
        <v>632</v>
      </c>
      <c r="H329" t="s">
        <v>994</v>
      </c>
      <c r="I329" t="s">
        <v>1159</v>
      </c>
      <c r="J329" t="s">
        <v>1518</v>
      </c>
      <c r="K329" t="s">
        <v>1644</v>
      </c>
      <c r="L329">
        <v>11226</v>
      </c>
      <c r="M329" t="s">
        <v>1670</v>
      </c>
      <c r="P329" t="s">
        <v>1832</v>
      </c>
      <c r="Q329" t="s">
        <v>1939</v>
      </c>
      <c r="R329" t="s">
        <v>1960</v>
      </c>
      <c r="T329" t="s">
        <v>1670</v>
      </c>
      <c r="V329" t="s">
        <v>1972</v>
      </c>
      <c r="W329" t="s">
        <v>1984</v>
      </c>
      <c r="X329" t="s">
        <v>340</v>
      </c>
      <c r="Y329">
        <v>1031.15</v>
      </c>
      <c r="Z329" t="s">
        <v>2009</v>
      </c>
      <c r="AA329" t="s">
        <v>2015</v>
      </c>
      <c r="AC329" t="s">
        <v>2305</v>
      </c>
      <c r="AD329" t="s">
        <v>2733</v>
      </c>
      <c r="AE329">
        <v>55</v>
      </c>
      <c r="AF329" t="s">
        <v>2902</v>
      </c>
      <c r="AH329">
        <v>28</v>
      </c>
      <c r="AJ329">
        <v>2</v>
      </c>
      <c r="AK329">
        <v>2</v>
      </c>
      <c r="AL329">
        <v>0</v>
      </c>
      <c r="AO329" t="s">
        <v>2926</v>
      </c>
      <c r="AP329">
        <v>0</v>
      </c>
      <c r="AR329" t="s">
        <v>2981</v>
      </c>
      <c r="AS329" t="s">
        <v>2991</v>
      </c>
      <c r="AT329" t="s">
        <v>2992</v>
      </c>
      <c r="AV329">
        <v>229.25</v>
      </c>
      <c r="AW329" t="s">
        <v>399</v>
      </c>
      <c r="AX329" t="s">
        <v>96</v>
      </c>
    </row>
    <row r="330" spans="1:50">
      <c r="A330" s="1">
        <f>HYPERLINK("https://lsnyc.legalserver.org/matter/dynamic-profile/view/1895160","19-1895160")</f>
        <v>0</v>
      </c>
      <c r="B330" t="s">
        <v>50</v>
      </c>
      <c r="C330" t="s">
        <v>120</v>
      </c>
      <c r="D330" t="s">
        <v>164</v>
      </c>
      <c r="E330" t="s">
        <v>255</v>
      </c>
      <c r="F330" t="s">
        <v>399</v>
      </c>
      <c r="G330" t="s">
        <v>451</v>
      </c>
      <c r="H330" t="s">
        <v>967</v>
      </c>
      <c r="I330" t="s">
        <v>1270</v>
      </c>
      <c r="J330" t="s">
        <v>1602</v>
      </c>
      <c r="K330" t="s">
        <v>1644</v>
      </c>
      <c r="L330">
        <v>11208</v>
      </c>
      <c r="M330" t="s">
        <v>1670</v>
      </c>
      <c r="P330" t="s">
        <v>1833</v>
      </c>
      <c r="Q330" t="s">
        <v>1947</v>
      </c>
      <c r="R330" t="s">
        <v>1961</v>
      </c>
      <c r="S330" t="s">
        <v>1970</v>
      </c>
      <c r="T330" t="s">
        <v>1671</v>
      </c>
      <c r="V330" t="s">
        <v>1974</v>
      </c>
      <c r="X330" t="s">
        <v>1993</v>
      </c>
      <c r="Y330">
        <v>1408</v>
      </c>
      <c r="Z330" t="s">
        <v>2009</v>
      </c>
      <c r="AA330" t="s">
        <v>2014</v>
      </c>
      <c r="AB330" t="s">
        <v>2039</v>
      </c>
      <c r="AC330" t="s">
        <v>2306</v>
      </c>
      <c r="AD330" t="s">
        <v>2734</v>
      </c>
      <c r="AE330">
        <v>0</v>
      </c>
      <c r="AF330" t="s">
        <v>2902</v>
      </c>
      <c r="AG330" t="s">
        <v>1754</v>
      </c>
      <c r="AH330">
        <v>3</v>
      </c>
      <c r="AJ330">
        <v>1</v>
      </c>
      <c r="AK330">
        <v>3</v>
      </c>
      <c r="AL330">
        <v>69.90000000000001</v>
      </c>
      <c r="AO330" t="s">
        <v>2926</v>
      </c>
      <c r="AP330">
        <v>18000</v>
      </c>
      <c r="AV330">
        <v>17</v>
      </c>
      <c r="AW330" t="s">
        <v>399</v>
      </c>
      <c r="AX330" t="s">
        <v>3059</v>
      </c>
    </row>
    <row r="331" spans="1:50">
      <c r="A331" s="1">
        <f>HYPERLINK("https://lsnyc.legalserver.org/matter/dynamic-profile/view/1888450","19-1888450")</f>
        <v>0</v>
      </c>
      <c r="B331" t="s">
        <v>50</v>
      </c>
      <c r="C331" t="s">
        <v>88</v>
      </c>
      <c r="D331" t="s">
        <v>164</v>
      </c>
      <c r="E331" t="s">
        <v>302</v>
      </c>
      <c r="F331" t="s">
        <v>268</v>
      </c>
      <c r="G331" t="s">
        <v>451</v>
      </c>
      <c r="H331" t="s">
        <v>967</v>
      </c>
      <c r="I331" t="s">
        <v>1270</v>
      </c>
      <c r="J331" t="s">
        <v>1602</v>
      </c>
      <c r="K331" t="s">
        <v>1644</v>
      </c>
      <c r="L331">
        <v>11208</v>
      </c>
      <c r="M331" t="s">
        <v>1670</v>
      </c>
      <c r="P331" t="s">
        <v>1833</v>
      </c>
      <c r="Q331" t="s">
        <v>1936</v>
      </c>
      <c r="R331" t="s">
        <v>1960</v>
      </c>
      <c r="S331" t="s">
        <v>1969</v>
      </c>
      <c r="T331" t="s">
        <v>1671</v>
      </c>
      <c r="V331" t="s">
        <v>1972</v>
      </c>
      <c r="W331" t="s">
        <v>1984</v>
      </c>
      <c r="X331" t="s">
        <v>1993</v>
      </c>
      <c r="Y331">
        <v>1408</v>
      </c>
      <c r="Z331" t="s">
        <v>2009</v>
      </c>
      <c r="AA331" t="s">
        <v>2014</v>
      </c>
      <c r="AB331" t="s">
        <v>2032</v>
      </c>
      <c r="AC331" t="s">
        <v>2306</v>
      </c>
      <c r="AD331" t="s">
        <v>2734</v>
      </c>
      <c r="AE331">
        <v>1276</v>
      </c>
      <c r="AF331" t="s">
        <v>2902</v>
      </c>
      <c r="AG331" t="s">
        <v>1754</v>
      </c>
      <c r="AH331">
        <v>3</v>
      </c>
      <c r="AJ331">
        <v>1</v>
      </c>
      <c r="AK331">
        <v>3</v>
      </c>
      <c r="AL331">
        <v>71.70999999999999</v>
      </c>
      <c r="AO331" t="s">
        <v>2926</v>
      </c>
      <c r="AP331">
        <v>18000</v>
      </c>
      <c r="AV331">
        <v>21.7</v>
      </c>
      <c r="AW331" t="s">
        <v>220</v>
      </c>
      <c r="AX331" t="s">
        <v>3059</v>
      </c>
    </row>
    <row r="332" spans="1:50">
      <c r="A332" s="1">
        <f>HYPERLINK("https://lsnyc.legalserver.org/matter/dynamic-profile/view/1877499","18-1877499")</f>
        <v>0</v>
      </c>
      <c r="B332" t="s">
        <v>50</v>
      </c>
      <c r="C332" t="s">
        <v>66</v>
      </c>
      <c r="D332" t="s">
        <v>164</v>
      </c>
      <c r="E332" t="s">
        <v>344</v>
      </c>
      <c r="F332" t="s">
        <v>256</v>
      </c>
      <c r="G332" t="s">
        <v>633</v>
      </c>
      <c r="H332" t="s">
        <v>995</v>
      </c>
      <c r="I332" t="s">
        <v>1334</v>
      </c>
      <c r="J332">
        <v>2</v>
      </c>
      <c r="K332" t="s">
        <v>1644</v>
      </c>
      <c r="L332">
        <v>11207</v>
      </c>
      <c r="M332" t="s">
        <v>1670</v>
      </c>
      <c r="P332" t="s">
        <v>1834</v>
      </c>
      <c r="Q332" t="s">
        <v>1940</v>
      </c>
      <c r="R332" t="s">
        <v>1960</v>
      </c>
      <c r="S332" t="s">
        <v>1967</v>
      </c>
      <c r="T332" t="s">
        <v>1671</v>
      </c>
      <c r="V332" t="s">
        <v>1972</v>
      </c>
      <c r="X332" t="s">
        <v>320</v>
      </c>
      <c r="Y332">
        <v>1500</v>
      </c>
      <c r="Z332" t="s">
        <v>2009</v>
      </c>
      <c r="AA332" t="s">
        <v>2014</v>
      </c>
      <c r="AB332" t="s">
        <v>2033</v>
      </c>
      <c r="AC332" t="s">
        <v>2307</v>
      </c>
      <c r="AD332" t="s">
        <v>2735</v>
      </c>
      <c r="AE332">
        <v>5</v>
      </c>
      <c r="AG332" t="s">
        <v>2915</v>
      </c>
      <c r="AH332">
        <v>12</v>
      </c>
      <c r="AJ332">
        <v>1</v>
      </c>
      <c r="AK332">
        <v>1</v>
      </c>
      <c r="AL332">
        <v>121.51</v>
      </c>
      <c r="AO332" t="s">
        <v>2927</v>
      </c>
      <c r="AP332">
        <v>20000</v>
      </c>
      <c r="AV332">
        <v>16.15</v>
      </c>
      <c r="AW332" t="s">
        <v>256</v>
      </c>
      <c r="AX332" t="s">
        <v>3063</v>
      </c>
    </row>
    <row r="333" spans="1:50">
      <c r="A333" s="1">
        <f>HYPERLINK("https://lsnyc.legalserver.org/matter/dynamic-profile/view/1892395","19-1892395")</f>
        <v>0</v>
      </c>
      <c r="B333" t="s">
        <v>50</v>
      </c>
      <c r="C333" t="s">
        <v>65</v>
      </c>
      <c r="D333" t="s">
        <v>163</v>
      </c>
      <c r="E333" t="s">
        <v>266</v>
      </c>
      <c r="G333" t="s">
        <v>634</v>
      </c>
      <c r="H333" t="s">
        <v>996</v>
      </c>
      <c r="I333" t="s">
        <v>1335</v>
      </c>
      <c r="J333" t="s">
        <v>1603</v>
      </c>
      <c r="K333" t="s">
        <v>1644</v>
      </c>
      <c r="L333">
        <v>11225</v>
      </c>
      <c r="M333" t="s">
        <v>1670</v>
      </c>
      <c r="Q333" t="s">
        <v>1952</v>
      </c>
      <c r="R333" t="s">
        <v>1960</v>
      </c>
      <c r="V333" t="s">
        <v>1972</v>
      </c>
      <c r="X333" t="s">
        <v>2001</v>
      </c>
      <c r="Y333">
        <v>0</v>
      </c>
      <c r="Z333" t="s">
        <v>2009</v>
      </c>
      <c r="AC333" t="s">
        <v>2308</v>
      </c>
      <c r="AD333" t="s">
        <v>2736</v>
      </c>
      <c r="AE333">
        <v>0</v>
      </c>
      <c r="AH333">
        <v>0</v>
      </c>
      <c r="AJ333">
        <v>1</v>
      </c>
      <c r="AK333">
        <v>1</v>
      </c>
      <c r="AL333">
        <v>114.25</v>
      </c>
      <c r="AO333" t="s">
        <v>2926</v>
      </c>
      <c r="AP333">
        <v>19320</v>
      </c>
      <c r="AV333">
        <v>0.5</v>
      </c>
      <c r="AW333" t="s">
        <v>188</v>
      </c>
      <c r="AX333" t="s">
        <v>158</v>
      </c>
    </row>
    <row r="334" spans="1:50">
      <c r="A334" s="1">
        <f>HYPERLINK("https://lsnyc.legalserver.org/matter/dynamic-profile/view/1882824","18-1882824")</f>
        <v>0</v>
      </c>
      <c r="B334" t="s">
        <v>50</v>
      </c>
      <c r="C334" t="s">
        <v>69</v>
      </c>
      <c r="D334" t="s">
        <v>163</v>
      </c>
      <c r="E334" t="s">
        <v>288</v>
      </c>
      <c r="G334" t="s">
        <v>634</v>
      </c>
      <c r="H334" t="s">
        <v>996</v>
      </c>
      <c r="I334" t="s">
        <v>1335</v>
      </c>
      <c r="J334" t="s">
        <v>1520</v>
      </c>
      <c r="K334" t="s">
        <v>1644</v>
      </c>
      <c r="L334">
        <v>11225</v>
      </c>
      <c r="M334" t="s">
        <v>1670</v>
      </c>
      <c r="Q334" t="s">
        <v>1945</v>
      </c>
      <c r="R334" t="s">
        <v>1959</v>
      </c>
      <c r="V334" t="s">
        <v>1972</v>
      </c>
      <c r="X334" t="s">
        <v>288</v>
      </c>
      <c r="Y334">
        <v>0</v>
      </c>
      <c r="Z334" t="s">
        <v>2009</v>
      </c>
      <c r="AC334" t="s">
        <v>2308</v>
      </c>
      <c r="AD334" t="s">
        <v>2736</v>
      </c>
      <c r="AE334">
        <v>0</v>
      </c>
      <c r="AH334">
        <v>0</v>
      </c>
      <c r="AJ334">
        <v>1</v>
      </c>
      <c r="AK334">
        <v>1</v>
      </c>
      <c r="AL334">
        <v>131.23</v>
      </c>
      <c r="AO334" t="s">
        <v>2926</v>
      </c>
      <c r="AP334">
        <v>21600</v>
      </c>
      <c r="AQ334" t="s">
        <v>2958</v>
      </c>
      <c r="AV334">
        <v>20.2</v>
      </c>
      <c r="AW334" t="s">
        <v>379</v>
      </c>
      <c r="AX334" t="s">
        <v>69</v>
      </c>
    </row>
    <row r="335" spans="1:50">
      <c r="A335" s="1">
        <f>HYPERLINK("https://lsnyc.legalserver.org/matter/dynamic-profile/view/1892717","19-1892717")</f>
        <v>0</v>
      </c>
      <c r="B335" t="s">
        <v>50</v>
      </c>
      <c r="C335" t="s">
        <v>65</v>
      </c>
      <c r="D335" t="s">
        <v>163</v>
      </c>
      <c r="E335" t="s">
        <v>256</v>
      </c>
      <c r="G335" t="s">
        <v>634</v>
      </c>
      <c r="H335" t="s">
        <v>996</v>
      </c>
      <c r="I335" t="s">
        <v>1335</v>
      </c>
      <c r="J335" t="s">
        <v>1603</v>
      </c>
      <c r="K335" t="s">
        <v>1644</v>
      </c>
      <c r="L335">
        <v>11225</v>
      </c>
      <c r="M335" t="s">
        <v>1670</v>
      </c>
      <c r="R335" t="s">
        <v>1960</v>
      </c>
      <c r="T335" t="s">
        <v>1670</v>
      </c>
      <c r="V335" t="s">
        <v>1972</v>
      </c>
      <c r="X335" t="s">
        <v>2001</v>
      </c>
      <c r="Y335">
        <v>1526.3</v>
      </c>
      <c r="Z335" t="s">
        <v>2009</v>
      </c>
      <c r="AC335" t="s">
        <v>2308</v>
      </c>
      <c r="AD335" t="s">
        <v>2736</v>
      </c>
      <c r="AE335">
        <v>0</v>
      </c>
      <c r="AH335">
        <v>6</v>
      </c>
      <c r="AJ335">
        <v>1</v>
      </c>
      <c r="AK335">
        <v>1</v>
      </c>
      <c r="AL335">
        <v>131.99</v>
      </c>
      <c r="AO335" t="s">
        <v>2926</v>
      </c>
      <c r="AP335">
        <v>22320</v>
      </c>
      <c r="AV335">
        <v>1.3</v>
      </c>
      <c r="AW335" t="s">
        <v>293</v>
      </c>
      <c r="AX335" t="s">
        <v>158</v>
      </c>
    </row>
    <row r="336" spans="1:50">
      <c r="A336" s="1">
        <f>HYPERLINK("https://lsnyc.legalserver.org/matter/dynamic-profile/view/1889478","19-1889478")</f>
        <v>0</v>
      </c>
      <c r="B336" t="s">
        <v>50</v>
      </c>
      <c r="C336" t="s">
        <v>104</v>
      </c>
      <c r="D336" t="s">
        <v>164</v>
      </c>
      <c r="E336" t="s">
        <v>182</v>
      </c>
      <c r="F336" t="s">
        <v>289</v>
      </c>
      <c r="G336" t="s">
        <v>635</v>
      </c>
      <c r="H336" t="s">
        <v>997</v>
      </c>
      <c r="I336" t="s">
        <v>1166</v>
      </c>
      <c r="J336" t="s">
        <v>1604</v>
      </c>
      <c r="K336" t="s">
        <v>1646</v>
      </c>
      <c r="L336">
        <v>10304</v>
      </c>
      <c r="M336" t="s">
        <v>1671</v>
      </c>
      <c r="P336" t="s">
        <v>1693</v>
      </c>
      <c r="Q336" t="s">
        <v>1675</v>
      </c>
      <c r="R336" t="s">
        <v>1962</v>
      </c>
      <c r="S336" t="s">
        <v>1968</v>
      </c>
      <c r="T336" t="s">
        <v>1671</v>
      </c>
      <c r="V336" t="s">
        <v>1973</v>
      </c>
      <c r="W336" t="s">
        <v>1984</v>
      </c>
      <c r="X336" t="s">
        <v>182</v>
      </c>
      <c r="Y336">
        <v>320</v>
      </c>
      <c r="Z336" t="s">
        <v>2010</v>
      </c>
      <c r="AA336" t="s">
        <v>2021</v>
      </c>
      <c r="AB336" t="s">
        <v>2034</v>
      </c>
      <c r="AC336" t="s">
        <v>2309</v>
      </c>
      <c r="AD336" t="s">
        <v>2737</v>
      </c>
      <c r="AE336">
        <v>0</v>
      </c>
      <c r="AF336" t="s">
        <v>2909</v>
      </c>
      <c r="AG336" t="s">
        <v>2915</v>
      </c>
      <c r="AH336">
        <v>4</v>
      </c>
      <c r="AJ336">
        <v>1</v>
      </c>
      <c r="AK336">
        <v>6</v>
      </c>
      <c r="AL336">
        <v>49.84</v>
      </c>
      <c r="AO336" t="s">
        <v>2933</v>
      </c>
      <c r="AP336">
        <v>19442</v>
      </c>
      <c r="AV336">
        <v>1.3</v>
      </c>
      <c r="AW336" t="s">
        <v>182</v>
      </c>
      <c r="AX336" t="s">
        <v>104</v>
      </c>
    </row>
    <row r="337" spans="1:50">
      <c r="A337" s="1">
        <f>HYPERLINK("https://lsnyc.legalserver.org/matter/dynamic-profile/view/1893788","19-1893788")</f>
        <v>0</v>
      </c>
      <c r="B337" t="s">
        <v>50</v>
      </c>
      <c r="C337" t="s">
        <v>122</v>
      </c>
      <c r="D337" t="s">
        <v>164</v>
      </c>
      <c r="E337" t="s">
        <v>301</v>
      </c>
      <c r="F337" t="s">
        <v>326</v>
      </c>
      <c r="G337" t="s">
        <v>522</v>
      </c>
      <c r="H337" t="s">
        <v>998</v>
      </c>
      <c r="I337" t="s">
        <v>1336</v>
      </c>
      <c r="J337" t="s">
        <v>1497</v>
      </c>
      <c r="K337" t="s">
        <v>1641</v>
      </c>
      <c r="L337">
        <v>10456</v>
      </c>
      <c r="M337" t="s">
        <v>1670</v>
      </c>
      <c r="Q337" t="s">
        <v>1675</v>
      </c>
      <c r="R337" t="s">
        <v>1958</v>
      </c>
      <c r="S337" t="s">
        <v>1965</v>
      </c>
      <c r="T337" t="s">
        <v>1671</v>
      </c>
      <c r="V337" t="s">
        <v>1972</v>
      </c>
      <c r="X337" t="s">
        <v>326</v>
      </c>
      <c r="Y337">
        <v>1027.6</v>
      </c>
      <c r="Z337" t="s">
        <v>2006</v>
      </c>
      <c r="AA337" t="s">
        <v>2015</v>
      </c>
      <c r="AB337" t="s">
        <v>2029</v>
      </c>
      <c r="AC337" t="s">
        <v>2310</v>
      </c>
      <c r="AD337" t="s">
        <v>2738</v>
      </c>
      <c r="AE337">
        <v>0</v>
      </c>
      <c r="AF337" t="s">
        <v>2902</v>
      </c>
      <c r="AG337" t="s">
        <v>1754</v>
      </c>
      <c r="AH337">
        <v>10</v>
      </c>
      <c r="AJ337">
        <v>4</v>
      </c>
      <c r="AK337">
        <v>1</v>
      </c>
      <c r="AL337">
        <v>23.86</v>
      </c>
      <c r="AO337" t="s">
        <v>2927</v>
      </c>
      <c r="AP337">
        <v>7200</v>
      </c>
      <c r="AV337">
        <v>0.8</v>
      </c>
      <c r="AW337" t="s">
        <v>301</v>
      </c>
      <c r="AX337" t="s">
        <v>122</v>
      </c>
    </row>
    <row r="338" spans="1:50">
      <c r="A338" s="1">
        <f>HYPERLINK("https://lsnyc.legalserver.org/matter/dynamic-profile/view/1883829","18-1883829")</f>
        <v>0</v>
      </c>
      <c r="B338" t="s">
        <v>50</v>
      </c>
      <c r="C338" t="s">
        <v>150</v>
      </c>
      <c r="D338" t="s">
        <v>163</v>
      </c>
      <c r="E338" t="s">
        <v>345</v>
      </c>
      <c r="G338" t="s">
        <v>636</v>
      </c>
      <c r="H338" t="s">
        <v>999</v>
      </c>
      <c r="I338" t="s">
        <v>1337</v>
      </c>
      <c r="J338" t="s">
        <v>1487</v>
      </c>
      <c r="K338" t="s">
        <v>1644</v>
      </c>
      <c r="L338">
        <v>11208</v>
      </c>
      <c r="M338" t="s">
        <v>1670</v>
      </c>
      <c r="Q338" t="s">
        <v>1938</v>
      </c>
      <c r="R338" t="s">
        <v>1958</v>
      </c>
      <c r="V338" t="s">
        <v>1972</v>
      </c>
      <c r="X338" t="s">
        <v>345</v>
      </c>
      <c r="Y338">
        <v>800</v>
      </c>
      <c r="Z338" t="s">
        <v>2009</v>
      </c>
      <c r="AA338" t="s">
        <v>2020</v>
      </c>
      <c r="AC338" t="s">
        <v>2311</v>
      </c>
      <c r="AD338" t="s">
        <v>2739</v>
      </c>
      <c r="AE338">
        <v>11</v>
      </c>
      <c r="AF338" t="s">
        <v>2903</v>
      </c>
      <c r="AH338">
        <v>2</v>
      </c>
      <c r="AJ338">
        <v>1</v>
      </c>
      <c r="AK338">
        <v>1</v>
      </c>
      <c r="AL338">
        <v>76.48</v>
      </c>
      <c r="AO338" t="s">
        <v>2926</v>
      </c>
      <c r="AP338">
        <v>12588</v>
      </c>
      <c r="AV338">
        <v>13</v>
      </c>
      <c r="AW338" t="s">
        <v>399</v>
      </c>
      <c r="AX338" t="s">
        <v>3049</v>
      </c>
    </row>
    <row r="339" spans="1:50">
      <c r="A339" s="1">
        <f>HYPERLINK("https://lsnyc.legalserver.org/matter/dynamic-profile/view/1892710","19-1892710")</f>
        <v>0</v>
      </c>
      <c r="B339" t="s">
        <v>50</v>
      </c>
      <c r="C339" t="s">
        <v>71</v>
      </c>
      <c r="D339" t="s">
        <v>164</v>
      </c>
      <c r="E339" t="s">
        <v>199</v>
      </c>
      <c r="F339" t="s">
        <v>389</v>
      </c>
      <c r="G339" t="s">
        <v>637</v>
      </c>
      <c r="H339" t="s">
        <v>1000</v>
      </c>
      <c r="I339" t="s">
        <v>1338</v>
      </c>
      <c r="J339" t="s">
        <v>1605</v>
      </c>
      <c r="K339" t="s">
        <v>1646</v>
      </c>
      <c r="L339">
        <v>10304</v>
      </c>
      <c r="M339" t="s">
        <v>1670</v>
      </c>
      <c r="P339" t="s">
        <v>1835</v>
      </c>
      <c r="Q339" t="s">
        <v>1936</v>
      </c>
      <c r="R339" t="s">
        <v>1960</v>
      </c>
      <c r="S339" t="s">
        <v>1969</v>
      </c>
      <c r="T339" t="s">
        <v>1671</v>
      </c>
      <c r="V339" t="s">
        <v>1973</v>
      </c>
      <c r="W339" t="s">
        <v>1984</v>
      </c>
      <c r="X339" t="s">
        <v>199</v>
      </c>
      <c r="Y339">
        <v>135</v>
      </c>
      <c r="Z339" t="s">
        <v>2010</v>
      </c>
      <c r="AA339" t="s">
        <v>2020</v>
      </c>
      <c r="AB339" t="s">
        <v>2041</v>
      </c>
      <c r="AC339" t="s">
        <v>2312</v>
      </c>
      <c r="AD339" t="s">
        <v>2740</v>
      </c>
      <c r="AE339">
        <v>150</v>
      </c>
      <c r="AF339" t="s">
        <v>2909</v>
      </c>
      <c r="AG339" t="s">
        <v>2915</v>
      </c>
      <c r="AH339">
        <v>4</v>
      </c>
      <c r="AJ339">
        <v>1</v>
      </c>
      <c r="AK339">
        <v>3</v>
      </c>
      <c r="AL339">
        <v>65.43000000000001</v>
      </c>
      <c r="AO339" t="s">
        <v>2926</v>
      </c>
      <c r="AP339">
        <v>16848</v>
      </c>
      <c r="AR339" t="s">
        <v>2979</v>
      </c>
      <c r="AS339" t="s">
        <v>2983</v>
      </c>
      <c r="AT339" t="s">
        <v>2992</v>
      </c>
      <c r="AU339" t="s">
        <v>2998</v>
      </c>
      <c r="AV339">
        <v>6.2</v>
      </c>
      <c r="AW339" t="s">
        <v>389</v>
      </c>
      <c r="AX339" t="s">
        <v>112</v>
      </c>
    </row>
    <row r="340" spans="1:50">
      <c r="A340" s="1">
        <f>HYPERLINK("https://lsnyc.legalserver.org/matter/dynamic-profile/view/1901133","19-1901133")</f>
        <v>0</v>
      </c>
      <c r="B340" t="s">
        <v>50</v>
      </c>
      <c r="C340" t="s">
        <v>53</v>
      </c>
      <c r="D340" t="s">
        <v>163</v>
      </c>
      <c r="E340" t="s">
        <v>249</v>
      </c>
      <c r="G340" t="s">
        <v>638</v>
      </c>
      <c r="H340" t="s">
        <v>1001</v>
      </c>
      <c r="I340" t="s">
        <v>1339</v>
      </c>
      <c r="J340">
        <v>3</v>
      </c>
      <c r="K340" t="s">
        <v>1650</v>
      </c>
      <c r="L340">
        <v>11418</v>
      </c>
      <c r="M340" t="s">
        <v>1670</v>
      </c>
      <c r="P340" t="s">
        <v>1836</v>
      </c>
      <c r="Q340" t="s">
        <v>1936</v>
      </c>
      <c r="R340" t="s">
        <v>1960</v>
      </c>
      <c r="T340" t="s">
        <v>1671</v>
      </c>
      <c r="V340" t="s">
        <v>1972</v>
      </c>
      <c r="W340" t="s">
        <v>1984</v>
      </c>
      <c r="X340" t="s">
        <v>334</v>
      </c>
      <c r="Y340">
        <v>1500</v>
      </c>
      <c r="Z340" t="s">
        <v>2007</v>
      </c>
      <c r="AA340" t="s">
        <v>2014</v>
      </c>
      <c r="AC340" t="s">
        <v>2313</v>
      </c>
      <c r="AD340" t="s">
        <v>2741</v>
      </c>
      <c r="AE340">
        <v>2</v>
      </c>
      <c r="AF340" t="s">
        <v>2903</v>
      </c>
      <c r="AG340" t="s">
        <v>1754</v>
      </c>
      <c r="AH340">
        <v>6</v>
      </c>
      <c r="AJ340">
        <v>1</v>
      </c>
      <c r="AK340">
        <v>2</v>
      </c>
      <c r="AL340">
        <v>187.23</v>
      </c>
      <c r="AO340" t="s">
        <v>2926</v>
      </c>
      <c r="AP340">
        <v>39936</v>
      </c>
      <c r="AV340">
        <v>19.7</v>
      </c>
      <c r="AW340" t="s">
        <v>397</v>
      </c>
      <c r="AX340" t="s">
        <v>3078</v>
      </c>
    </row>
    <row r="341" spans="1:50">
      <c r="A341" s="1">
        <f>HYPERLINK("https://lsnyc.legalserver.org/matter/dynamic-profile/view/1904446","19-1904446")</f>
        <v>0</v>
      </c>
      <c r="B341" t="s">
        <v>50</v>
      </c>
      <c r="C341" t="s">
        <v>74</v>
      </c>
      <c r="D341" t="s">
        <v>163</v>
      </c>
      <c r="E341" t="s">
        <v>346</v>
      </c>
      <c r="G341" t="s">
        <v>639</v>
      </c>
      <c r="H341" t="s">
        <v>1002</v>
      </c>
      <c r="I341" t="s">
        <v>1131</v>
      </c>
      <c r="J341" t="s">
        <v>1606</v>
      </c>
      <c r="K341" t="s">
        <v>1641</v>
      </c>
      <c r="L341">
        <v>10460</v>
      </c>
      <c r="M341" t="s">
        <v>1670</v>
      </c>
      <c r="Q341" t="s">
        <v>1675</v>
      </c>
      <c r="R341" t="s">
        <v>1959</v>
      </c>
      <c r="T341" t="s">
        <v>1670</v>
      </c>
      <c r="V341" t="s">
        <v>1972</v>
      </c>
      <c r="X341" t="s">
        <v>1991</v>
      </c>
      <c r="Y341">
        <v>485</v>
      </c>
      <c r="Z341" t="s">
        <v>2006</v>
      </c>
      <c r="AA341" t="s">
        <v>2015</v>
      </c>
      <c r="AC341" t="s">
        <v>2314</v>
      </c>
      <c r="AD341" t="s">
        <v>2742</v>
      </c>
      <c r="AE341">
        <v>248</v>
      </c>
      <c r="AF341" t="s">
        <v>2902</v>
      </c>
      <c r="AG341" t="s">
        <v>2915</v>
      </c>
      <c r="AH341">
        <v>12</v>
      </c>
      <c r="AJ341">
        <v>1</v>
      </c>
      <c r="AK341">
        <v>1</v>
      </c>
      <c r="AL341">
        <v>159.91</v>
      </c>
      <c r="AO341" t="s">
        <v>2926</v>
      </c>
      <c r="AP341">
        <v>27040</v>
      </c>
      <c r="AV341">
        <v>0</v>
      </c>
      <c r="AX341" t="s">
        <v>95</v>
      </c>
    </row>
    <row r="342" spans="1:50">
      <c r="A342" s="1">
        <f>HYPERLINK("https://lsnyc.legalserver.org/matter/dynamic-profile/view/1885588","18-1885588")</f>
        <v>0</v>
      </c>
      <c r="B342" t="s">
        <v>50</v>
      </c>
      <c r="C342" t="s">
        <v>74</v>
      </c>
      <c r="D342" t="s">
        <v>163</v>
      </c>
      <c r="E342" t="s">
        <v>231</v>
      </c>
      <c r="G342" t="s">
        <v>639</v>
      </c>
      <c r="H342" t="s">
        <v>1002</v>
      </c>
      <c r="I342" t="s">
        <v>1131</v>
      </c>
      <c r="J342" t="s">
        <v>1606</v>
      </c>
      <c r="K342" t="s">
        <v>1641</v>
      </c>
      <c r="L342">
        <v>10460</v>
      </c>
      <c r="M342" t="s">
        <v>1670</v>
      </c>
      <c r="P342" t="s">
        <v>1692</v>
      </c>
      <c r="Q342" t="s">
        <v>1939</v>
      </c>
      <c r="R342" t="s">
        <v>1960</v>
      </c>
      <c r="T342" t="s">
        <v>1670</v>
      </c>
      <c r="V342" t="s">
        <v>1972</v>
      </c>
      <c r="X342" t="s">
        <v>283</v>
      </c>
      <c r="Y342">
        <v>485</v>
      </c>
      <c r="Z342" t="s">
        <v>2006</v>
      </c>
      <c r="AA342" t="s">
        <v>2015</v>
      </c>
      <c r="AC342" t="s">
        <v>2314</v>
      </c>
      <c r="AD342" t="s">
        <v>2742</v>
      </c>
      <c r="AE342">
        <v>169</v>
      </c>
      <c r="AG342" t="s">
        <v>2915</v>
      </c>
      <c r="AH342">
        <v>12</v>
      </c>
      <c r="AJ342">
        <v>1</v>
      </c>
      <c r="AK342">
        <v>1</v>
      </c>
      <c r="AL342">
        <v>164.28</v>
      </c>
      <c r="AO342" t="s">
        <v>2926</v>
      </c>
      <c r="AP342">
        <v>27040</v>
      </c>
      <c r="AV342">
        <v>2.1</v>
      </c>
      <c r="AW342" t="s">
        <v>403</v>
      </c>
      <c r="AX342" t="s">
        <v>3047</v>
      </c>
    </row>
    <row r="343" spans="1:50">
      <c r="A343" s="1">
        <f>HYPERLINK("https://lsnyc.legalserver.org/matter/dynamic-profile/view/1887430","19-1887430")</f>
        <v>0</v>
      </c>
      <c r="B343" t="s">
        <v>50</v>
      </c>
      <c r="C343" t="s">
        <v>105</v>
      </c>
      <c r="D343" t="s">
        <v>163</v>
      </c>
      <c r="E343" t="s">
        <v>347</v>
      </c>
      <c r="G343" t="s">
        <v>639</v>
      </c>
      <c r="H343" t="s">
        <v>1002</v>
      </c>
      <c r="I343" t="s">
        <v>1131</v>
      </c>
      <c r="J343" t="s">
        <v>1606</v>
      </c>
      <c r="K343" t="s">
        <v>1641</v>
      </c>
      <c r="L343">
        <v>10460</v>
      </c>
      <c r="M343" t="s">
        <v>1670</v>
      </c>
      <c r="P343" t="s">
        <v>1837</v>
      </c>
      <c r="Q343" t="s">
        <v>1936</v>
      </c>
      <c r="R343" t="s">
        <v>1960</v>
      </c>
      <c r="V343" t="s">
        <v>1972</v>
      </c>
      <c r="W343" t="s">
        <v>1985</v>
      </c>
      <c r="X343" t="s">
        <v>285</v>
      </c>
      <c r="Y343">
        <v>485</v>
      </c>
      <c r="Z343" t="s">
        <v>2006</v>
      </c>
      <c r="AA343" t="s">
        <v>2015</v>
      </c>
      <c r="AC343" t="s">
        <v>2314</v>
      </c>
      <c r="AD343" t="s">
        <v>2742</v>
      </c>
      <c r="AE343">
        <v>169</v>
      </c>
      <c r="AG343" t="s">
        <v>2915</v>
      </c>
      <c r="AH343">
        <v>12</v>
      </c>
      <c r="AJ343">
        <v>1</v>
      </c>
      <c r="AK343">
        <v>1</v>
      </c>
      <c r="AL343">
        <v>164.28</v>
      </c>
      <c r="AO343" t="s">
        <v>2926</v>
      </c>
      <c r="AP343">
        <v>27040</v>
      </c>
      <c r="AV343">
        <v>62.3</v>
      </c>
      <c r="AW343" t="s">
        <v>397</v>
      </c>
      <c r="AX343" t="s">
        <v>3047</v>
      </c>
    </row>
    <row r="344" spans="1:50">
      <c r="A344" s="1">
        <f>HYPERLINK("https://lsnyc.legalserver.org/matter/dynamic-profile/view/1878990","18-1878990")</f>
        <v>0</v>
      </c>
      <c r="B344" t="s">
        <v>50</v>
      </c>
      <c r="C344" t="s">
        <v>128</v>
      </c>
      <c r="D344" t="s">
        <v>164</v>
      </c>
      <c r="E344" t="s">
        <v>348</v>
      </c>
      <c r="F344" t="s">
        <v>342</v>
      </c>
      <c r="G344" t="s">
        <v>634</v>
      </c>
      <c r="H344" t="s">
        <v>780</v>
      </c>
      <c r="I344" t="s">
        <v>1340</v>
      </c>
      <c r="J344" t="s">
        <v>1538</v>
      </c>
      <c r="K344" t="s">
        <v>1641</v>
      </c>
      <c r="L344">
        <v>10456</v>
      </c>
      <c r="M344" t="s">
        <v>1670</v>
      </c>
      <c r="P344" t="s">
        <v>1754</v>
      </c>
      <c r="Q344" t="s">
        <v>1941</v>
      </c>
      <c r="R344" t="s">
        <v>1958</v>
      </c>
      <c r="S344" t="s">
        <v>1965</v>
      </c>
      <c r="T344" t="s">
        <v>1671</v>
      </c>
      <c r="V344" t="s">
        <v>1972</v>
      </c>
      <c r="W344" t="s">
        <v>1984</v>
      </c>
      <c r="X344" t="s">
        <v>342</v>
      </c>
      <c r="Y344">
        <v>0</v>
      </c>
      <c r="Z344" t="s">
        <v>2006</v>
      </c>
      <c r="AA344" t="s">
        <v>2015</v>
      </c>
      <c r="AB344" t="s">
        <v>2029</v>
      </c>
      <c r="AC344" t="s">
        <v>2315</v>
      </c>
      <c r="AD344" t="s">
        <v>2743</v>
      </c>
      <c r="AE344">
        <v>0</v>
      </c>
      <c r="AF344" t="s">
        <v>2904</v>
      </c>
      <c r="AG344" t="s">
        <v>1754</v>
      </c>
      <c r="AH344">
        <v>0</v>
      </c>
      <c r="AJ344">
        <v>2</v>
      </c>
      <c r="AK344">
        <v>2</v>
      </c>
      <c r="AL344">
        <v>151.86</v>
      </c>
      <c r="AO344" t="s">
        <v>2926</v>
      </c>
      <c r="AP344">
        <v>38116</v>
      </c>
      <c r="AV344">
        <v>1.1</v>
      </c>
      <c r="AW344" t="s">
        <v>335</v>
      </c>
      <c r="AX344" t="s">
        <v>128</v>
      </c>
    </row>
    <row r="345" spans="1:50">
      <c r="A345" s="1">
        <f>HYPERLINK("https://lsnyc.legalserver.org/matter/dynamic-profile/view/1876957","18-1876957")</f>
        <v>0</v>
      </c>
      <c r="B345" t="s">
        <v>50</v>
      </c>
      <c r="C345" t="s">
        <v>126</v>
      </c>
      <c r="D345" t="s">
        <v>163</v>
      </c>
      <c r="E345" t="s">
        <v>349</v>
      </c>
      <c r="G345" t="s">
        <v>458</v>
      </c>
      <c r="H345" t="s">
        <v>1003</v>
      </c>
      <c r="I345" t="s">
        <v>1341</v>
      </c>
      <c r="J345" t="s">
        <v>1517</v>
      </c>
      <c r="K345" t="s">
        <v>1641</v>
      </c>
      <c r="L345">
        <v>10459</v>
      </c>
      <c r="M345" t="s">
        <v>1670</v>
      </c>
      <c r="P345" t="s">
        <v>1838</v>
      </c>
      <c r="Q345" t="s">
        <v>1936</v>
      </c>
      <c r="R345" t="s">
        <v>1960</v>
      </c>
      <c r="T345" t="s">
        <v>1671</v>
      </c>
      <c r="V345" t="s">
        <v>1972</v>
      </c>
      <c r="X345" t="s">
        <v>238</v>
      </c>
      <c r="Y345">
        <v>890</v>
      </c>
      <c r="Z345" t="s">
        <v>2006</v>
      </c>
      <c r="AA345" t="s">
        <v>2011</v>
      </c>
      <c r="AC345" t="s">
        <v>2316</v>
      </c>
      <c r="AD345" t="s">
        <v>2744</v>
      </c>
      <c r="AE345">
        <v>56</v>
      </c>
      <c r="AF345" t="s">
        <v>2902</v>
      </c>
      <c r="AG345" t="s">
        <v>2916</v>
      </c>
      <c r="AH345">
        <v>1</v>
      </c>
      <c r="AJ345">
        <v>2</v>
      </c>
      <c r="AK345">
        <v>2</v>
      </c>
      <c r="AL345">
        <v>93.23</v>
      </c>
      <c r="AO345" t="s">
        <v>2926</v>
      </c>
      <c r="AP345">
        <v>23400</v>
      </c>
      <c r="AV345">
        <v>16.8</v>
      </c>
      <c r="AW345" t="s">
        <v>403</v>
      </c>
      <c r="AX345" t="s">
        <v>3047</v>
      </c>
    </row>
    <row r="346" spans="1:50">
      <c r="A346" s="1">
        <f>HYPERLINK("https://lsnyc.legalserver.org/matter/dynamic-profile/view/1894159","19-1894159")</f>
        <v>0</v>
      </c>
      <c r="B346" t="s">
        <v>50</v>
      </c>
      <c r="C346" t="s">
        <v>59</v>
      </c>
      <c r="D346" t="s">
        <v>163</v>
      </c>
      <c r="E346" t="s">
        <v>254</v>
      </c>
      <c r="G346" t="s">
        <v>640</v>
      </c>
      <c r="H346" t="s">
        <v>855</v>
      </c>
      <c r="I346" t="s">
        <v>1114</v>
      </c>
      <c r="J346" t="s">
        <v>1508</v>
      </c>
      <c r="K346" t="s">
        <v>1641</v>
      </c>
      <c r="L346">
        <v>10456</v>
      </c>
      <c r="M346" t="s">
        <v>1670</v>
      </c>
      <c r="Q346" t="s">
        <v>1938</v>
      </c>
      <c r="R346" t="s">
        <v>1961</v>
      </c>
      <c r="T346" t="s">
        <v>1670</v>
      </c>
      <c r="V346" t="s">
        <v>1972</v>
      </c>
      <c r="X346" t="s">
        <v>283</v>
      </c>
      <c r="Y346">
        <v>1404.38</v>
      </c>
      <c r="Z346" t="s">
        <v>2006</v>
      </c>
      <c r="AA346" t="s">
        <v>2015</v>
      </c>
      <c r="AC346" t="s">
        <v>2317</v>
      </c>
      <c r="AD346" t="s">
        <v>2745</v>
      </c>
      <c r="AE346">
        <v>131</v>
      </c>
      <c r="AF346" t="s">
        <v>2902</v>
      </c>
      <c r="AG346" t="s">
        <v>1754</v>
      </c>
      <c r="AH346">
        <v>4</v>
      </c>
      <c r="AJ346">
        <v>1</v>
      </c>
      <c r="AK346">
        <v>1</v>
      </c>
      <c r="AL346">
        <v>167.9</v>
      </c>
      <c r="AO346" t="s">
        <v>2927</v>
      </c>
      <c r="AP346">
        <v>28392</v>
      </c>
      <c r="AV346">
        <v>0</v>
      </c>
      <c r="AX346" t="s">
        <v>3054</v>
      </c>
    </row>
    <row r="347" spans="1:50">
      <c r="A347" s="1">
        <f>HYPERLINK("https://lsnyc.legalserver.org/matter/dynamic-profile/view/1893957","19-1893957")</f>
        <v>0</v>
      </c>
      <c r="B347" t="s">
        <v>50</v>
      </c>
      <c r="C347" t="s">
        <v>115</v>
      </c>
      <c r="D347" t="s">
        <v>163</v>
      </c>
      <c r="E347" t="s">
        <v>350</v>
      </c>
      <c r="G347" t="s">
        <v>641</v>
      </c>
      <c r="H347" t="s">
        <v>855</v>
      </c>
      <c r="I347" t="s">
        <v>1114</v>
      </c>
      <c r="J347" t="s">
        <v>1508</v>
      </c>
      <c r="K347" t="s">
        <v>1641</v>
      </c>
      <c r="L347">
        <v>10456</v>
      </c>
      <c r="M347" t="s">
        <v>1670</v>
      </c>
      <c r="Q347" t="s">
        <v>1675</v>
      </c>
      <c r="R347" t="s">
        <v>1958</v>
      </c>
      <c r="T347" t="s">
        <v>1671</v>
      </c>
      <c r="V347" t="s">
        <v>1972</v>
      </c>
      <c r="X347" t="s">
        <v>350</v>
      </c>
      <c r="Y347">
        <v>1404.38</v>
      </c>
      <c r="Z347" t="s">
        <v>2006</v>
      </c>
      <c r="AA347" t="s">
        <v>2015</v>
      </c>
      <c r="AC347" t="s">
        <v>2317</v>
      </c>
      <c r="AD347" t="s">
        <v>2745</v>
      </c>
      <c r="AE347">
        <v>131</v>
      </c>
      <c r="AF347" t="s">
        <v>2902</v>
      </c>
      <c r="AG347" t="s">
        <v>1754</v>
      </c>
      <c r="AH347">
        <v>4</v>
      </c>
      <c r="AJ347">
        <v>1</v>
      </c>
      <c r="AK347">
        <v>1</v>
      </c>
      <c r="AL347">
        <v>183.28</v>
      </c>
      <c r="AO347" t="s">
        <v>2927</v>
      </c>
      <c r="AP347">
        <v>30992</v>
      </c>
      <c r="AV347">
        <v>1.7</v>
      </c>
      <c r="AW347" t="s">
        <v>177</v>
      </c>
      <c r="AX347" t="s">
        <v>115</v>
      </c>
    </row>
    <row r="348" spans="1:50">
      <c r="A348" s="1">
        <f>HYPERLINK("https://lsnyc.legalserver.org/matter/dynamic-profile/view/1899992","19-1899992")</f>
        <v>0</v>
      </c>
      <c r="B348" t="s">
        <v>50</v>
      </c>
      <c r="C348" t="s">
        <v>151</v>
      </c>
      <c r="D348" t="s">
        <v>163</v>
      </c>
      <c r="E348" t="s">
        <v>230</v>
      </c>
      <c r="G348" t="s">
        <v>642</v>
      </c>
      <c r="H348" t="s">
        <v>1004</v>
      </c>
      <c r="I348" t="s">
        <v>1342</v>
      </c>
      <c r="J348" t="s">
        <v>1569</v>
      </c>
      <c r="K348" t="s">
        <v>1662</v>
      </c>
      <c r="L348">
        <v>11104</v>
      </c>
      <c r="M348" t="s">
        <v>1670</v>
      </c>
      <c r="P348" t="s">
        <v>1839</v>
      </c>
      <c r="Q348" t="s">
        <v>1940</v>
      </c>
      <c r="R348" t="s">
        <v>1960</v>
      </c>
      <c r="T348" t="s">
        <v>1671</v>
      </c>
      <c r="V348" t="s">
        <v>1972</v>
      </c>
      <c r="W348" t="s">
        <v>1988</v>
      </c>
      <c r="X348" t="s">
        <v>230</v>
      </c>
      <c r="Y348">
        <v>1621</v>
      </c>
      <c r="Z348" t="s">
        <v>2007</v>
      </c>
      <c r="AA348" t="s">
        <v>2014</v>
      </c>
      <c r="AC348" t="s">
        <v>2318</v>
      </c>
      <c r="AD348" t="s">
        <v>2746</v>
      </c>
      <c r="AE348">
        <v>96</v>
      </c>
      <c r="AF348" t="s">
        <v>2902</v>
      </c>
      <c r="AG348" t="s">
        <v>1754</v>
      </c>
      <c r="AH348">
        <v>13</v>
      </c>
      <c r="AJ348">
        <v>2</v>
      </c>
      <c r="AK348">
        <v>1</v>
      </c>
      <c r="AL348">
        <v>195.03</v>
      </c>
      <c r="AO348" t="s">
        <v>2926</v>
      </c>
      <c r="AP348">
        <v>41600</v>
      </c>
      <c r="AV348">
        <v>22.9</v>
      </c>
      <c r="AW348" t="s">
        <v>222</v>
      </c>
      <c r="AX348" t="s">
        <v>3044</v>
      </c>
    </row>
    <row r="349" spans="1:50">
      <c r="A349" s="1">
        <f>HYPERLINK("https://lsnyc.legalserver.org/matter/dynamic-profile/view/1876456","18-1876456")</f>
        <v>0</v>
      </c>
      <c r="B349" t="s">
        <v>50</v>
      </c>
      <c r="C349" t="s">
        <v>57</v>
      </c>
      <c r="D349" t="s">
        <v>163</v>
      </c>
      <c r="E349" t="s">
        <v>351</v>
      </c>
      <c r="G349" t="s">
        <v>643</v>
      </c>
      <c r="H349" t="s">
        <v>780</v>
      </c>
      <c r="I349" t="s">
        <v>1193</v>
      </c>
      <c r="J349" t="s">
        <v>1502</v>
      </c>
      <c r="K349" t="s">
        <v>1641</v>
      </c>
      <c r="L349">
        <v>10456</v>
      </c>
      <c r="M349" t="s">
        <v>1670</v>
      </c>
      <c r="P349" t="s">
        <v>1735</v>
      </c>
      <c r="Q349" t="s">
        <v>1938</v>
      </c>
      <c r="R349" t="s">
        <v>1961</v>
      </c>
      <c r="T349" t="s">
        <v>1670</v>
      </c>
      <c r="V349" t="s">
        <v>1972</v>
      </c>
      <c r="X349" t="s">
        <v>1992</v>
      </c>
      <c r="Y349">
        <v>1290</v>
      </c>
      <c r="Z349" t="s">
        <v>2006</v>
      </c>
      <c r="AA349" t="s">
        <v>2015</v>
      </c>
      <c r="AC349" t="s">
        <v>2319</v>
      </c>
      <c r="AD349" t="s">
        <v>2747</v>
      </c>
      <c r="AE349">
        <v>61</v>
      </c>
      <c r="AF349" t="s">
        <v>2902</v>
      </c>
      <c r="AG349" t="s">
        <v>2915</v>
      </c>
      <c r="AH349">
        <v>21</v>
      </c>
      <c r="AJ349">
        <v>1</v>
      </c>
      <c r="AK349">
        <v>1</v>
      </c>
      <c r="AL349">
        <v>57.81</v>
      </c>
      <c r="AO349" t="s">
        <v>2927</v>
      </c>
      <c r="AP349">
        <v>9516</v>
      </c>
      <c r="AV349">
        <v>0</v>
      </c>
      <c r="AX349" t="s">
        <v>3047</v>
      </c>
    </row>
    <row r="350" spans="1:50">
      <c r="A350" s="1">
        <f>HYPERLINK("https://lsnyc.legalserver.org/matter/dynamic-profile/view/1880595","18-1880595")</f>
        <v>0</v>
      </c>
      <c r="B350" t="s">
        <v>50</v>
      </c>
      <c r="C350" t="s">
        <v>57</v>
      </c>
      <c r="D350" t="s">
        <v>163</v>
      </c>
      <c r="E350" t="s">
        <v>245</v>
      </c>
      <c r="G350" t="s">
        <v>643</v>
      </c>
      <c r="H350" t="s">
        <v>780</v>
      </c>
      <c r="I350" t="s">
        <v>1193</v>
      </c>
      <c r="J350" t="s">
        <v>1502</v>
      </c>
      <c r="K350" t="s">
        <v>1641</v>
      </c>
      <c r="L350">
        <v>10456</v>
      </c>
      <c r="M350" t="s">
        <v>1670</v>
      </c>
      <c r="P350" t="s">
        <v>1736</v>
      </c>
      <c r="Q350" t="s">
        <v>1938</v>
      </c>
      <c r="R350" t="s">
        <v>1961</v>
      </c>
      <c r="T350" t="s">
        <v>1670</v>
      </c>
      <c r="V350" t="s">
        <v>1972</v>
      </c>
      <c r="X350" t="s">
        <v>219</v>
      </c>
      <c r="Y350">
        <v>1290</v>
      </c>
      <c r="Z350" t="s">
        <v>2006</v>
      </c>
      <c r="AA350" t="s">
        <v>2015</v>
      </c>
      <c r="AC350" t="s">
        <v>2319</v>
      </c>
      <c r="AD350" t="s">
        <v>2747</v>
      </c>
      <c r="AE350">
        <v>61</v>
      </c>
      <c r="AF350" t="s">
        <v>2902</v>
      </c>
      <c r="AG350" t="s">
        <v>2915</v>
      </c>
      <c r="AH350">
        <v>21</v>
      </c>
      <c r="AJ350">
        <v>1</v>
      </c>
      <c r="AK350">
        <v>1</v>
      </c>
      <c r="AL350">
        <v>57.81</v>
      </c>
      <c r="AO350" t="s">
        <v>2927</v>
      </c>
      <c r="AP350">
        <v>9516</v>
      </c>
      <c r="AV350">
        <v>0</v>
      </c>
      <c r="AX350" t="s">
        <v>3046</v>
      </c>
    </row>
    <row r="351" spans="1:50">
      <c r="A351" s="1">
        <f>HYPERLINK("https://lsnyc.legalserver.org/matter/dynamic-profile/view/1873873","18-1873873")</f>
        <v>0</v>
      </c>
      <c r="B351" t="s">
        <v>50</v>
      </c>
      <c r="C351" t="s">
        <v>112</v>
      </c>
      <c r="D351" t="s">
        <v>163</v>
      </c>
      <c r="E351" t="s">
        <v>352</v>
      </c>
      <c r="G351" t="s">
        <v>644</v>
      </c>
      <c r="H351" t="s">
        <v>892</v>
      </c>
      <c r="I351" t="s">
        <v>1343</v>
      </c>
      <c r="J351">
        <v>1</v>
      </c>
      <c r="K351" t="s">
        <v>1646</v>
      </c>
      <c r="L351">
        <v>10301</v>
      </c>
      <c r="M351" t="s">
        <v>1671</v>
      </c>
      <c r="P351" t="s">
        <v>1754</v>
      </c>
      <c r="Q351" t="s">
        <v>1675</v>
      </c>
      <c r="R351" t="s">
        <v>1958</v>
      </c>
      <c r="T351" t="s">
        <v>1671</v>
      </c>
      <c r="V351" t="s">
        <v>1972</v>
      </c>
      <c r="W351" t="s">
        <v>1984</v>
      </c>
      <c r="X351" t="s">
        <v>352</v>
      </c>
      <c r="Y351">
        <v>504</v>
      </c>
      <c r="Z351" t="s">
        <v>2010</v>
      </c>
      <c r="AA351" t="s">
        <v>2015</v>
      </c>
      <c r="AC351" t="s">
        <v>2320</v>
      </c>
      <c r="AD351" t="s">
        <v>2748</v>
      </c>
      <c r="AE351">
        <v>3</v>
      </c>
      <c r="AF351" t="s">
        <v>2908</v>
      </c>
      <c r="AG351" t="s">
        <v>2915</v>
      </c>
      <c r="AH351">
        <v>3</v>
      </c>
      <c r="AJ351">
        <v>1</v>
      </c>
      <c r="AK351">
        <v>2</v>
      </c>
      <c r="AL351">
        <v>0</v>
      </c>
      <c r="AO351" t="s">
        <v>2926</v>
      </c>
      <c r="AP351">
        <v>0</v>
      </c>
      <c r="AS351" t="s">
        <v>2017</v>
      </c>
      <c r="AU351" t="s">
        <v>3020</v>
      </c>
      <c r="AV351">
        <v>1</v>
      </c>
      <c r="AW351" t="s">
        <v>352</v>
      </c>
      <c r="AX351" t="s">
        <v>3066</v>
      </c>
    </row>
    <row r="352" spans="1:50">
      <c r="A352" s="1">
        <f>HYPERLINK("https://lsnyc.legalserver.org/matter/dynamic-profile/view/1882953","18-1882953")</f>
        <v>0</v>
      </c>
      <c r="B352" t="s">
        <v>50</v>
      </c>
      <c r="C352" t="s">
        <v>52</v>
      </c>
      <c r="D352" t="s">
        <v>163</v>
      </c>
      <c r="E352" t="s">
        <v>196</v>
      </c>
      <c r="G352" t="s">
        <v>645</v>
      </c>
      <c r="H352" t="s">
        <v>1005</v>
      </c>
      <c r="I352" t="s">
        <v>1136</v>
      </c>
      <c r="J352" t="s">
        <v>1607</v>
      </c>
      <c r="K352" t="s">
        <v>1641</v>
      </c>
      <c r="L352">
        <v>10457</v>
      </c>
      <c r="M352" t="s">
        <v>1670</v>
      </c>
      <c r="P352" t="s">
        <v>1695</v>
      </c>
      <c r="Q352" t="s">
        <v>1938</v>
      </c>
      <c r="R352" t="s">
        <v>1961</v>
      </c>
      <c r="T352" t="s">
        <v>1670</v>
      </c>
      <c r="V352" t="s">
        <v>1972</v>
      </c>
      <c r="X352" t="s">
        <v>359</v>
      </c>
      <c r="Y352">
        <v>902</v>
      </c>
      <c r="Z352" t="s">
        <v>2006</v>
      </c>
      <c r="AA352" t="s">
        <v>2015</v>
      </c>
      <c r="AC352" t="s">
        <v>2321</v>
      </c>
      <c r="AD352" t="s">
        <v>2749</v>
      </c>
      <c r="AE352">
        <v>47</v>
      </c>
      <c r="AF352" t="s">
        <v>2904</v>
      </c>
      <c r="AG352" t="s">
        <v>1754</v>
      </c>
      <c r="AH352">
        <v>31</v>
      </c>
      <c r="AJ352">
        <v>4</v>
      </c>
      <c r="AK352">
        <v>1</v>
      </c>
      <c r="AL352">
        <v>132.56</v>
      </c>
      <c r="AO352" t="s">
        <v>2927</v>
      </c>
      <c r="AP352">
        <v>39000</v>
      </c>
      <c r="AV352">
        <v>0.2</v>
      </c>
      <c r="AW352" t="s">
        <v>1999</v>
      </c>
      <c r="AX352" t="s">
        <v>3046</v>
      </c>
    </row>
    <row r="353" spans="1:50">
      <c r="A353" s="1">
        <f>HYPERLINK("https://lsnyc.legalserver.org/matter/dynamic-profile/view/1882757","18-1882757")</f>
        <v>0</v>
      </c>
      <c r="B353" t="s">
        <v>50</v>
      </c>
      <c r="C353" t="s">
        <v>52</v>
      </c>
      <c r="D353" t="s">
        <v>163</v>
      </c>
      <c r="E353" t="s">
        <v>196</v>
      </c>
      <c r="G353" t="s">
        <v>645</v>
      </c>
      <c r="H353" t="s">
        <v>1005</v>
      </c>
      <c r="I353" t="s">
        <v>1136</v>
      </c>
      <c r="J353" t="s">
        <v>1607</v>
      </c>
      <c r="K353" t="s">
        <v>1641</v>
      </c>
      <c r="L353">
        <v>10457</v>
      </c>
      <c r="M353" t="s">
        <v>1670</v>
      </c>
      <c r="P353" t="s">
        <v>1696</v>
      </c>
      <c r="Q353" t="s">
        <v>1939</v>
      </c>
      <c r="R353" t="s">
        <v>1960</v>
      </c>
      <c r="T353" t="s">
        <v>1670</v>
      </c>
      <c r="V353" t="s">
        <v>1972</v>
      </c>
      <c r="X353" t="s">
        <v>359</v>
      </c>
      <c r="Y353">
        <v>902</v>
      </c>
      <c r="Z353" t="s">
        <v>2006</v>
      </c>
      <c r="AA353" t="s">
        <v>2015</v>
      </c>
      <c r="AC353" t="s">
        <v>2321</v>
      </c>
      <c r="AD353" t="s">
        <v>2749</v>
      </c>
      <c r="AE353">
        <v>47</v>
      </c>
      <c r="AF353" t="s">
        <v>2904</v>
      </c>
      <c r="AG353" t="s">
        <v>1754</v>
      </c>
      <c r="AH353">
        <v>31</v>
      </c>
      <c r="AJ353">
        <v>4</v>
      </c>
      <c r="AK353">
        <v>1</v>
      </c>
      <c r="AL353">
        <v>132.56</v>
      </c>
      <c r="AO353" t="s">
        <v>2927</v>
      </c>
      <c r="AP353">
        <v>39000</v>
      </c>
      <c r="AV353">
        <v>0.4</v>
      </c>
      <c r="AW353" t="s">
        <v>1999</v>
      </c>
      <c r="AX353" t="s">
        <v>3046</v>
      </c>
    </row>
    <row r="354" spans="1:50">
      <c r="A354" s="1">
        <f>HYPERLINK("https://lsnyc.legalserver.org/matter/dynamic-profile/view/1883263","18-1883263")</f>
        <v>0</v>
      </c>
      <c r="B354" t="s">
        <v>50</v>
      </c>
      <c r="C354" t="s">
        <v>111</v>
      </c>
      <c r="D354" t="s">
        <v>164</v>
      </c>
      <c r="E354" t="s">
        <v>315</v>
      </c>
      <c r="F354" t="s">
        <v>359</v>
      </c>
      <c r="G354" t="s">
        <v>646</v>
      </c>
      <c r="H354" t="s">
        <v>1006</v>
      </c>
      <c r="I354" t="s">
        <v>1344</v>
      </c>
      <c r="J354" t="s">
        <v>1608</v>
      </c>
      <c r="K354" t="s">
        <v>1641</v>
      </c>
      <c r="L354">
        <v>10453</v>
      </c>
      <c r="M354" t="s">
        <v>1670</v>
      </c>
      <c r="P354" t="s">
        <v>1840</v>
      </c>
      <c r="Q354" t="s">
        <v>1940</v>
      </c>
      <c r="R354" t="s">
        <v>1958</v>
      </c>
      <c r="S354" t="s">
        <v>1965</v>
      </c>
      <c r="V354" t="s">
        <v>1972</v>
      </c>
      <c r="X354" t="s">
        <v>1991</v>
      </c>
      <c r="Y354">
        <v>892</v>
      </c>
      <c r="Z354" t="s">
        <v>2006</v>
      </c>
      <c r="AA354" t="s">
        <v>2015</v>
      </c>
      <c r="AB354" t="s">
        <v>2029</v>
      </c>
      <c r="AC354" t="s">
        <v>2322</v>
      </c>
      <c r="AD354" t="s">
        <v>2750</v>
      </c>
      <c r="AE354">
        <v>41</v>
      </c>
      <c r="AF354" t="s">
        <v>2902</v>
      </c>
      <c r="AG354" t="s">
        <v>1754</v>
      </c>
      <c r="AH354">
        <v>22</v>
      </c>
      <c r="AJ354">
        <v>2</v>
      </c>
      <c r="AK354">
        <v>1</v>
      </c>
      <c r="AL354">
        <v>80.84999999999999</v>
      </c>
      <c r="AP354">
        <v>16800</v>
      </c>
      <c r="AV354">
        <v>0.3</v>
      </c>
      <c r="AW354" t="s">
        <v>2001</v>
      </c>
      <c r="AX354" t="s">
        <v>111</v>
      </c>
    </row>
    <row r="355" spans="1:50">
      <c r="A355" s="1">
        <f>HYPERLINK("https://lsnyc.legalserver.org/matter/dynamic-profile/view/1880598","18-1880598")</f>
        <v>0</v>
      </c>
      <c r="B355" t="s">
        <v>50</v>
      </c>
      <c r="C355" t="s">
        <v>93</v>
      </c>
      <c r="D355" t="s">
        <v>164</v>
      </c>
      <c r="E355" t="s">
        <v>245</v>
      </c>
      <c r="F355" t="s">
        <v>359</v>
      </c>
      <c r="G355" t="s">
        <v>647</v>
      </c>
      <c r="H355" t="s">
        <v>1007</v>
      </c>
      <c r="I355" t="s">
        <v>1345</v>
      </c>
      <c r="J355" t="s">
        <v>1609</v>
      </c>
      <c r="K355" t="s">
        <v>1645</v>
      </c>
      <c r="L355">
        <v>11691</v>
      </c>
      <c r="M355" t="s">
        <v>1670</v>
      </c>
      <c r="P355" t="s">
        <v>1841</v>
      </c>
      <c r="Q355" t="s">
        <v>1936</v>
      </c>
      <c r="R355" t="s">
        <v>1958</v>
      </c>
      <c r="S355" t="s">
        <v>1965</v>
      </c>
      <c r="T355" t="s">
        <v>1671</v>
      </c>
      <c r="V355" t="s">
        <v>1972</v>
      </c>
      <c r="W355" t="s">
        <v>1984</v>
      </c>
      <c r="X355" t="s">
        <v>245</v>
      </c>
      <c r="Y355">
        <v>1083.95</v>
      </c>
      <c r="Z355" t="s">
        <v>2007</v>
      </c>
      <c r="AA355" t="s">
        <v>2014</v>
      </c>
      <c r="AB355" t="s">
        <v>2029</v>
      </c>
      <c r="AC355" t="s">
        <v>2323</v>
      </c>
      <c r="AD355" t="s">
        <v>2751</v>
      </c>
      <c r="AE355">
        <v>73</v>
      </c>
      <c r="AF355" t="s">
        <v>2902</v>
      </c>
      <c r="AG355" t="s">
        <v>1754</v>
      </c>
      <c r="AH355">
        <v>37</v>
      </c>
      <c r="AJ355">
        <v>2</v>
      </c>
      <c r="AK355">
        <v>1</v>
      </c>
      <c r="AL355">
        <v>191.18</v>
      </c>
      <c r="AO355" t="s">
        <v>2926</v>
      </c>
      <c r="AP355">
        <v>39728</v>
      </c>
      <c r="AV355">
        <v>0.4</v>
      </c>
      <c r="AW355" t="s">
        <v>202</v>
      </c>
      <c r="AX355" t="s">
        <v>3044</v>
      </c>
    </row>
    <row r="356" spans="1:50">
      <c r="A356" s="1">
        <f>HYPERLINK("https://lsnyc.legalserver.org/matter/dynamic-profile/view/1879910","18-1879910")</f>
        <v>0</v>
      </c>
      <c r="B356" t="s">
        <v>50</v>
      </c>
      <c r="C356" t="s">
        <v>55</v>
      </c>
      <c r="D356" t="s">
        <v>164</v>
      </c>
      <c r="E356" t="s">
        <v>167</v>
      </c>
      <c r="F356" t="s">
        <v>243</v>
      </c>
      <c r="G356" t="s">
        <v>648</v>
      </c>
      <c r="H356" t="s">
        <v>1008</v>
      </c>
      <c r="I356" t="s">
        <v>1255</v>
      </c>
      <c r="J356" t="s">
        <v>1602</v>
      </c>
      <c r="K356" t="s">
        <v>1644</v>
      </c>
      <c r="L356">
        <v>11207</v>
      </c>
      <c r="M356" t="s">
        <v>1670</v>
      </c>
      <c r="Q356" t="s">
        <v>1938</v>
      </c>
      <c r="R356" t="s">
        <v>1958</v>
      </c>
      <c r="S356" t="s">
        <v>1965</v>
      </c>
      <c r="T356" t="s">
        <v>1670</v>
      </c>
      <c r="V356" t="s">
        <v>1972</v>
      </c>
      <c r="W356" t="s">
        <v>1984</v>
      </c>
      <c r="X356" t="s">
        <v>252</v>
      </c>
      <c r="Y356">
        <v>1250</v>
      </c>
      <c r="Z356" t="s">
        <v>2009</v>
      </c>
      <c r="AA356" t="s">
        <v>2016</v>
      </c>
      <c r="AB356" t="s">
        <v>2029</v>
      </c>
      <c r="AC356" t="s">
        <v>2324</v>
      </c>
      <c r="AD356" t="s">
        <v>2752</v>
      </c>
      <c r="AE356">
        <v>6</v>
      </c>
      <c r="AF356" t="s">
        <v>2902</v>
      </c>
      <c r="AG356" t="s">
        <v>2921</v>
      </c>
      <c r="AH356">
        <v>7</v>
      </c>
      <c r="AJ356">
        <v>1</v>
      </c>
      <c r="AK356">
        <v>1</v>
      </c>
      <c r="AL356">
        <v>45.52</v>
      </c>
      <c r="AO356" t="s">
        <v>2926</v>
      </c>
      <c r="AP356">
        <v>7492</v>
      </c>
      <c r="AQ356" t="s">
        <v>2959</v>
      </c>
      <c r="AV356">
        <v>0.25</v>
      </c>
      <c r="AW356" t="s">
        <v>243</v>
      </c>
      <c r="AX356" t="s">
        <v>3060</v>
      </c>
    </row>
    <row r="357" spans="1:50">
      <c r="A357" s="1">
        <f>HYPERLINK("https://lsnyc.legalserver.org/matter/dynamic-profile/view/1879893","18-1879893")</f>
        <v>0</v>
      </c>
      <c r="B357" t="s">
        <v>50</v>
      </c>
      <c r="C357" t="s">
        <v>133</v>
      </c>
      <c r="D357" t="s">
        <v>163</v>
      </c>
      <c r="E357" t="s">
        <v>167</v>
      </c>
      <c r="G357" t="s">
        <v>648</v>
      </c>
      <c r="H357" t="s">
        <v>1008</v>
      </c>
      <c r="I357" t="s">
        <v>1255</v>
      </c>
      <c r="J357" t="s">
        <v>1602</v>
      </c>
      <c r="K357" t="s">
        <v>1644</v>
      </c>
      <c r="L357">
        <v>11207</v>
      </c>
      <c r="M357" t="s">
        <v>1670</v>
      </c>
      <c r="P357" t="s">
        <v>1675</v>
      </c>
      <c r="Q357" t="s">
        <v>1675</v>
      </c>
      <c r="R357" t="s">
        <v>1962</v>
      </c>
      <c r="T357" t="s">
        <v>1670</v>
      </c>
      <c r="V357" t="s">
        <v>1972</v>
      </c>
      <c r="W357" t="s">
        <v>1984</v>
      </c>
      <c r="X357" t="s">
        <v>252</v>
      </c>
      <c r="Y357">
        <v>1250</v>
      </c>
      <c r="Z357" t="s">
        <v>2009</v>
      </c>
      <c r="AA357" t="s">
        <v>2016</v>
      </c>
      <c r="AC357" t="s">
        <v>2324</v>
      </c>
      <c r="AD357" t="s">
        <v>2752</v>
      </c>
      <c r="AE357">
        <v>6</v>
      </c>
      <c r="AF357" t="s">
        <v>2902</v>
      </c>
      <c r="AG357" t="s">
        <v>2921</v>
      </c>
      <c r="AH357">
        <v>7</v>
      </c>
      <c r="AJ357">
        <v>1</v>
      </c>
      <c r="AK357">
        <v>1</v>
      </c>
      <c r="AL357">
        <v>45.52</v>
      </c>
      <c r="AO357" t="s">
        <v>2926</v>
      </c>
      <c r="AP357">
        <v>7492</v>
      </c>
      <c r="AQ357" t="s">
        <v>2959</v>
      </c>
      <c r="AV357">
        <v>0.18</v>
      </c>
      <c r="AW357" t="s">
        <v>243</v>
      </c>
      <c r="AX357" t="s">
        <v>3060</v>
      </c>
    </row>
    <row r="358" spans="1:50">
      <c r="A358" s="1">
        <f>HYPERLINK("https://lsnyc.legalserver.org/matter/dynamic-profile/view/1879900","18-1879900")</f>
        <v>0</v>
      </c>
      <c r="B358" t="s">
        <v>50</v>
      </c>
      <c r="C358" t="s">
        <v>133</v>
      </c>
      <c r="D358" t="s">
        <v>163</v>
      </c>
      <c r="E358" t="s">
        <v>167</v>
      </c>
      <c r="G358" t="s">
        <v>648</v>
      </c>
      <c r="H358" t="s">
        <v>1008</v>
      </c>
      <c r="I358" t="s">
        <v>1255</v>
      </c>
      <c r="J358" t="s">
        <v>1602</v>
      </c>
      <c r="K358" t="s">
        <v>1644</v>
      </c>
      <c r="L358">
        <v>11207</v>
      </c>
      <c r="M358" t="s">
        <v>1670</v>
      </c>
      <c r="Q358" t="s">
        <v>1675</v>
      </c>
      <c r="R358" t="s">
        <v>1959</v>
      </c>
      <c r="T358" t="s">
        <v>1670</v>
      </c>
      <c r="V358" t="s">
        <v>1972</v>
      </c>
      <c r="W358" t="s">
        <v>1984</v>
      </c>
      <c r="X358" t="s">
        <v>1989</v>
      </c>
      <c r="Y358">
        <v>1250</v>
      </c>
      <c r="Z358" t="s">
        <v>2009</v>
      </c>
      <c r="AA358" t="s">
        <v>2016</v>
      </c>
      <c r="AC358" t="s">
        <v>2324</v>
      </c>
      <c r="AD358" t="s">
        <v>2752</v>
      </c>
      <c r="AE358">
        <v>6</v>
      </c>
      <c r="AF358" t="s">
        <v>2902</v>
      </c>
      <c r="AG358" t="s">
        <v>2921</v>
      </c>
      <c r="AH358">
        <v>7</v>
      </c>
      <c r="AJ358">
        <v>1</v>
      </c>
      <c r="AK358">
        <v>1</v>
      </c>
      <c r="AL358">
        <v>45.52</v>
      </c>
      <c r="AO358" t="s">
        <v>2926</v>
      </c>
      <c r="AP358">
        <v>7492</v>
      </c>
      <c r="AQ358" t="s">
        <v>2959</v>
      </c>
      <c r="AV358">
        <v>0.25</v>
      </c>
      <c r="AW358" t="s">
        <v>243</v>
      </c>
      <c r="AX358" t="s">
        <v>3060</v>
      </c>
    </row>
    <row r="359" spans="1:50">
      <c r="A359" s="1">
        <f>HYPERLINK("https://lsnyc.legalserver.org/matter/dynamic-profile/view/1879904","18-1879904")</f>
        <v>0</v>
      </c>
      <c r="B359" t="s">
        <v>50</v>
      </c>
      <c r="C359" t="s">
        <v>133</v>
      </c>
      <c r="D359" t="s">
        <v>163</v>
      </c>
      <c r="E359" t="s">
        <v>167</v>
      </c>
      <c r="G359" t="s">
        <v>648</v>
      </c>
      <c r="H359" t="s">
        <v>1008</v>
      </c>
      <c r="I359" t="s">
        <v>1255</v>
      </c>
      <c r="J359" t="s">
        <v>1602</v>
      </c>
      <c r="K359" t="s">
        <v>1644</v>
      </c>
      <c r="L359">
        <v>11207</v>
      </c>
      <c r="M359" t="s">
        <v>1670</v>
      </c>
      <c r="Q359" t="s">
        <v>1938</v>
      </c>
      <c r="R359" t="s">
        <v>1961</v>
      </c>
      <c r="T359" t="s">
        <v>1670</v>
      </c>
      <c r="V359" t="s">
        <v>1972</v>
      </c>
      <c r="W359" t="s">
        <v>1984</v>
      </c>
      <c r="X359" t="s">
        <v>1989</v>
      </c>
      <c r="Y359">
        <v>1250</v>
      </c>
      <c r="Z359" t="s">
        <v>2009</v>
      </c>
      <c r="AA359" t="s">
        <v>2016</v>
      </c>
      <c r="AC359" t="s">
        <v>2324</v>
      </c>
      <c r="AD359" t="s">
        <v>2752</v>
      </c>
      <c r="AE359">
        <v>6</v>
      </c>
      <c r="AF359" t="s">
        <v>2902</v>
      </c>
      <c r="AG359" t="s">
        <v>2921</v>
      </c>
      <c r="AH359">
        <v>7</v>
      </c>
      <c r="AJ359">
        <v>1</v>
      </c>
      <c r="AK359">
        <v>1</v>
      </c>
      <c r="AL359">
        <v>45.52</v>
      </c>
      <c r="AO359" t="s">
        <v>2926</v>
      </c>
      <c r="AP359">
        <v>7492</v>
      </c>
      <c r="AQ359" t="s">
        <v>2959</v>
      </c>
      <c r="AV359">
        <v>0.25</v>
      </c>
      <c r="AW359" t="s">
        <v>243</v>
      </c>
      <c r="AX359" t="s">
        <v>3060</v>
      </c>
    </row>
    <row r="360" spans="1:50">
      <c r="A360" s="1">
        <f>HYPERLINK("https://lsnyc.legalserver.org/matter/dynamic-profile/view/1879912","18-1879912")</f>
        <v>0</v>
      </c>
      <c r="B360" t="s">
        <v>50</v>
      </c>
      <c r="C360" t="s">
        <v>133</v>
      </c>
      <c r="D360" t="s">
        <v>163</v>
      </c>
      <c r="E360" t="s">
        <v>167</v>
      </c>
      <c r="G360" t="s">
        <v>648</v>
      </c>
      <c r="H360" t="s">
        <v>1008</v>
      </c>
      <c r="I360" t="s">
        <v>1255</v>
      </c>
      <c r="J360" t="s">
        <v>1602</v>
      </c>
      <c r="K360" t="s">
        <v>1644</v>
      </c>
      <c r="L360">
        <v>11207</v>
      </c>
      <c r="M360" t="s">
        <v>1670</v>
      </c>
      <c r="Q360" t="s">
        <v>1951</v>
      </c>
      <c r="R360" t="s">
        <v>1960</v>
      </c>
      <c r="T360" t="s">
        <v>1670</v>
      </c>
      <c r="V360" t="s">
        <v>1972</v>
      </c>
      <c r="W360" t="s">
        <v>1984</v>
      </c>
      <c r="X360" t="s">
        <v>252</v>
      </c>
      <c r="Y360">
        <v>1250</v>
      </c>
      <c r="Z360" t="s">
        <v>2009</v>
      </c>
      <c r="AA360" t="s">
        <v>2016</v>
      </c>
      <c r="AC360" t="s">
        <v>2324</v>
      </c>
      <c r="AD360" t="s">
        <v>2752</v>
      </c>
      <c r="AE360">
        <v>6</v>
      </c>
      <c r="AF360" t="s">
        <v>2902</v>
      </c>
      <c r="AG360" t="s">
        <v>2921</v>
      </c>
      <c r="AH360">
        <v>7</v>
      </c>
      <c r="AJ360">
        <v>1</v>
      </c>
      <c r="AK360">
        <v>1</v>
      </c>
      <c r="AL360">
        <v>45.52</v>
      </c>
      <c r="AO360" t="s">
        <v>2926</v>
      </c>
      <c r="AP360">
        <v>7492</v>
      </c>
      <c r="AQ360" t="s">
        <v>2959</v>
      </c>
      <c r="AV360">
        <v>0.25</v>
      </c>
      <c r="AW360" t="s">
        <v>243</v>
      </c>
      <c r="AX360" t="s">
        <v>3060</v>
      </c>
    </row>
    <row r="361" spans="1:50">
      <c r="A361" s="1">
        <f>HYPERLINK("https://lsnyc.legalserver.org/matter/dynamic-profile/view/1879917","18-1879917")</f>
        <v>0</v>
      </c>
      <c r="B361" t="s">
        <v>50</v>
      </c>
      <c r="C361" t="s">
        <v>133</v>
      </c>
      <c r="D361" t="s">
        <v>163</v>
      </c>
      <c r="E361" t="s">
        <v>167</v>
      </c>
      <c r="G361" t="s">
        <v>648</v>
      </c>
      <c r="H361" t="s">
        <v>1008</v>
      </c>
      <c r="I361" t="s">
        <v>1255</v>
      </c>
      <c r="J361" t="s">
        <v>1602</v>
      </c>
      <c r="K361" t="s">
        <v>1644</v>
      </c>
      <c r="L361">
        <v>11207</v>
      </c>
      <c r="M361" t="s">
        <v>1670</v>
      </c>
      <c r="Q361" t="s">
        <v>1952</v>
      </c>
      <c r="R361" t="s">
        <v>1960</v>
      </c>
      <c r="T361" t="s">
        <v>1670</v>
      </c>
      <c r="V361" t="s">
        <v>1972</v>
      </c>
      <c r="W361" t="s">
        <v>1984</v>
      </c>
      <c r="X361" t="s">
        <v>261</v>
      </c>
      <c r="Y361">
        <v>1250</v>
      </c>
      <c r="Z361" t="s">
        <v>2009</v>
      </c>
      <c r="AA361" t="s">
        <v>2016</v>
      </c>
      <c r="AC361" t="s">
        <v>2324</v>
      </c>
      <c r="AD361" t="s">
        <v>2752</v>
      </c>
      <c r="AE361">
        <v>6</v>
      </c>
      <c r="AF361" t="s">
        <v>2902</v>
      </c>
      <c r="AG361" t="s">
        <v>2921</v>
      </c>
      <c r="AH361">
        <v>7</v>
      </c>
      <c r="AJ361">
        <v>1</v>
      </c>
      <c r="AK361">
        <v>1</v>
      </c>
      <c r="AL361">
        <v>45.52</v>
      </c>
      <c r="AO361" t="s">
        <v>2926</v>
      </c>
      <c r="AP361">
        <v>7492</v>
      </c>
      <c r="AQ361" t="s">
        <v>2959</v>
      </c>
      <c r="AV361">
        <v>0.12</v>
      </c>
      <c r="AW361" t="s">
        <v>243</v>
      </c>
      <c r="AX361" t="s">
        <v>3060</v>
      </c>
    </row>
    <row r="362" spans="1:50">
      <c r="A362" s="1">
        <f>HYPERLINK("https://lsnyc.legalserver.org/matter/dynamic-profile/view/1896412","19-1896412")</f>
        <v>0</v>
      </c>
      <c r="B362" t="s">
        <v>50</v>
      </c>
      <c r="C362" t="s">
        <v>138</v>
      </c>
      <c r="D362" t="s">
        <v>163</v>
      </c>
      <c r="E362" t="s">
        <v>235</v>
      </c>
      <c r="G362" t="s">
        <v>649</v>
      </c>
      <c r="H362" t="s">
        <v>1009</v>
      </c>
      <c r="I362" t="s">
        <v>1346</v>
      </c>
      <c r="J362">
        <v>3</v>
      </c>
      <c r="K362" t="s">
        <v>1646</v>
      </c>
      <c r="L362">
        <v>10301</v>
      </c>
      <c r="M362" t="s">
        <v>1670</v>
      </c>
      <c r="P362" t="s">
        <v>1842</v>
      </c>
      <c r="Q362" t="s">
        <v>1940</v>
      </c>
      <c r="R362" t="s">
        <v>1960</v>
      </c>
      <c r="T362" t="s">
        <v>1671</v>
      </c>
      <c r="V362" t="s">
        <v>1972</v>
      </c>
      <c r="W362" t="s">
        <v>1984</v>
      </c>
      <c r="X362" t="s">
        <v>235</v>
      </c>
      <c r="Y362">
        <v>1550</v>
      </c>
      <c r="Z362" t="s">
        <v>2010</v>
      </c>
      <c r="AA362" t="s">
        <v>2020</v>
      </c>
      <c r="AC362" t="s">
        <v>2325</v>
      </c>
      <c r="AD362" t="s">
        <v>2753</v>
      </c>
      <c r="AE362">
        <v>2</v>
      </c>
      <c r="AF362" t="s">
        <v>2903</v>
      </c>
      <c r="AG362" t="s">
        <v>2918</v>
      </c>
      <c r="AH362">
        <v>3</v>
      </c>
      <c r="AJ362">
        <v>1</v>
      </c>
      <c r="AK362">
        <v>2</v>
      </c>
      <c r="AL362">
        <v>42.64</v>
      </c>
      <c r="AO362" t="s">
        <v>2926</v>
      </c>
      <c r="AP362">
        <v>9096</v>
      </c>
      <c r="AR362" t="s">
        <v>2979</v>
      </c>
      <c r="AS362" t="s">
        <v>2017</v>
      </c>
      <c r="AV362">
        <v>9.9</v>
      </c>
      <c r="AW362" t="s">
        <v>289</v>
      </c>
      <c r="AX362" t="s">
        <v>3050</v>
      </c>
    </row>
    <row r="363" spans="1:50">
      <c r="A363" s="1">
        <f>HYPERLINK("https://lsnyc.legalserver.org/matter/dynamic-profile/view/1883527","18-1883527")</f>
        <v>0</v>
      </c>
      <c r="B363" t="s">
        <v>50</v>
      </c>
      <c r="C363" t="s">
        <v>116</v>
      </c>
      <c r="D363" t="s">
        <v>163</v>
      </c>
      <c r="E363" t="s">
        <v>281</v>
      </c>
      <c r="G363" t="s">
        <v>650</v>
      </c>
      <c r="H363" t="s">
        <v>1010</v>
      </c>
      <c r="I363" t="s">
        <v>1347</v>
      </c>
      <c r="J363" t="s">
        <v>1610</v>
      </c>
      <c r="K363" t="s">
        <v>1643</v>
      </c>
      <c r="L363">
        <v>10029</v>
      </c>
      <c r="M363" t="s">
        <v>1670</v>
      </c>
      <c r="P363" t="s">
        <v>1843</v>
      </c>
      <c r="Q363" t="s">
        <v>1936</v>
      </c>
      <c r="R363" t="s">
        <v>1960</v>
      </c>
      <c r="T363" t="s">
        <v>1671</v>
      </c>
      <c r="V363" t="s">
        <v>1972</v>
      </c>
      <c r="W363" t="s">
        <v>1984</v>
      </c>
      <c r="X363" t="s">
        <v>373</v>
      </c>
      <c r="Y363">
        <v>2944</v>
      </c>
      <c r="Z363" t="s">
        <v>2008</v>
      </c>
      <c r="AA363" t="s">
        <v>2017</v>
      </c>
      <c r="AC363" t="s">
        <v>2326</v>
      </c>
      <c r="AD363" t="s">
        <v>2754</v>
      </c>
      <c r="AE363">
        <v>700</v>
      </c>
      <c r="AF363" t="s">
        <v>2903</v>
      </c>
      <c r="AG363" t="s">
        <v>2017</v>
      </c>
      <c r="AH363">
        <v>35</v>
      </c>
      <c r="AJ363">
        <v>4</v>
      </c>
      <c r="AK363">
        <v>1</v>
      </c>
      <c r="AL363">
        <v>82.94</v>
      </c>
      <c r="AO363" t="s">
        <v>2926</v>
      </c>
      <c r="AP363">
        <v>24400</v>
      </c>
      <c r="AS363" t="s">
        <v>2985</v>
      </c>
      <c r="AV363">
        <v>72.56999999999999</v>
      </c>
      <c r="AW363" t="s">
        <v>268</v>
      </c>
      <c r="AX363" t="s">
        <v>3078</v>
      </c>
    </row>
    <row r="364" spans="1:50">
      <c r="A364" s="1">
        <f>HYPERLINK("https://lsnyc.legalserver.org/matter/dynamic-profile/view/1882611","18-1882611")</f>
        <v>0</v>
      </c>
      <c r="B364" t="s">
        <v>51</v>
      </c>
      <c r="C364" t="s">
        <v>102</v>
      </c>
      <c r="D364" t="s">
        <v>164</v>
      </c>
      <c r="E364" t="s">
        <v>187</v>
      </c>
      <c r="F364" t="s">
        <v>231</v>
      </c>
      <c r="G364" t="s">
        <v>651</v>
      </c>
      <c r="H364" t="s">
        <v>1011</v>
      </c>
      <c r="I364" t="s">
        <v>1348</v>
      </c>
      <c r="J364" t="s">
        <v>1611</v>
      </c>
      <c r="K364" t="s">
        <v>1641</v>
      </c>
      <c r="L364">
        <v>10457</v>
      </c>
      <c r="M364" t="s">
        <v>1670</v>
      </c>
      <c r="Q364" t="s">
        <v>1675</v>
      </c>
      <c r="R364" t="s">
        <v>1958</v>
      </c>
      <c r="S364" t="s">
        <v>1965</v>
      </c>
      <c r="T364" t="s">
        <v>1671</v>
      </c>
      <c r="V364" t="s">
        <v>1979</v>
      </c>
      <c r="W364" t="s">
        <v>1984</v>
      </c>
      <c r="X364" t="s">
        <v>278</v>
      </c>
      <c r="Y364">
        <v>0</v>
      </c>
      <c r="Z364" t="s">
        <v>2008</v>
      </c>
      <c r="AA364" t="s">
        <v>2012</v>
      </c>
      <c r="AB364" t="s">
        <v>2029</v>
      </c>
      <c r="AC364" t="s">
        <v>2327</v>
      </c>
      <c r="AD364" t="s">
        <v>2755</v>
      </c>
      <c r="AE364">
        <v>58</v>
      </c>
      <c r="AF364" t="s">
        <v>2912</v>
      </c>
      <c r="AG364" t="s">
        <v>1754</v>
      </c>
      <c r="AH364">
        <v>0</v>
      </c>
      <c r="AJ364">
        <v>1</v>
      </c>
      <c r="AK364">
        <v>3</v>
      </c>
      <c r="AL364">
        <v>62.01</v>
      </c>
      <c r="AM364" t="s">
        <v>2923</v>
      </c>
      <c r="AN364" t="s">
        <v>2924</v>
      </c>
      <c r="AO364" t="s">
        <v>2926</v>
      </c>
      <c r="AP364">
        <v>15564</v>
      </c>
      <c r="AV364">
        <v>0.5</v>
      </c>
      <c r="AW364" t="s">
        <v>224</v>
      </c>
      <c r="AX364" t="s">
        <v>3051</v>
      </c>
    </row>
    <row r="365" spans="1:50">
      <c r="A365" s="1">
        <f>HYPERLINK("https://lsnyc.legalserver.org/matter/dynamic-profile/view/1897546","19-1897546")</f>
        <v>0</v>
      </c>
      <c r="B365" t="s">
        <v>51</v>
      </c>
      <c r="C365" t="s">
        <v>101</v>
      </c>
      <c r="D365" t="s">
        <v>163</v>
      </c>
      <c r="E365" t="s">
        <v>219</v>
      </c>
      <c r="G365" t="s">
        <v>651</v>
      </c>
      <c r="H365" t="s">
        <v>1011</v>
      </c>
      <c r="I365" t="s">
        <v>1349</v>
      </c>
      <c r="J365" t="s">
        <v>1612</v>
      </c>
      <c r="K365" t="s">
        <v>1643</v>
      </c>
      <c r="L365">
        <v>10039</v>
      </c>
      <c r="M365" t="s">
        <v>1670</v>
      </c>
      <c r="P365" t="s">
        <v>1844</v>
      </c>
      <c r="Q365" t="s">
        <v>1936</v>
      </c>
      <c r="R365" t="s">
        <v>1960</v>
      </c>
      <c r="T365" t="s">
        <v>1671</v>
      </c>
      <c r="V365" t="s">
        <v>1979</v>
      </c>
      <c r="W365" t="s">
        <v>1984</v>
      </c>
      <c r="X365" t="s">
        <v>327</v>
      </c>
      <c r="Y365">
        <v>844</v>
      </c>
      <c r="Z365" t="s">
        <v>2008</v>
      </c>
      <c r="AA365" t="s">
        <v>2012</v>
      </c>
      <c r="AC365" t="s">
        <v>2327</v>
      </c>
      <c r="AD365" t="s">
        <v>2755</v>
      </c>
      <c r="AE365">
        <v>360</v>
      </c>
      <c r="AF365" t="s">
        <v>2912</v>
      </c>
      <c r="AG365" t="s">
        <v>1754</v>
      </c>
      <c r="AH365">
        <v>12</v>
      </c>
      <c r="AJ365">
        <v>1</v>
      </c>
      <c r="AK365">
        <v>3</v>
      </c>
      <c r="AL365">
        <v>71.86</v>
      </c>
      <c r="AM365" t="s">
        <v>2923</v>
      </c>
      <c r="AN365" t="s">
        <v>2924</v>
      </c>
      <c r="AO365" t="s">
        <v>2926</v>
      </c>
      <c r="AP365">
        <v>18504</v>
      </c>
      <c r="AV365">
        <v>13</v>
      </c>
      <c r="AW365" t="s">
        <v>397</v>
      </c>
      <c r="AX365" t="s">
        <v>3051</v>
      </c>
    </row>
    <row r="366" spans="1:50">
      <c r="A366" s="1">
        <f>HYPERLINK("https://lsnyc.legalserver.org/matter/dynamic-profile/view/1878499","18-1878499")</f>
        <v>0</v>
      </c>
      <c r="B366" t="s">
        <v>50</v>
      </c>
      <c r="C366" t="s">
        <v>93</v>
      </c>
      <c r="D366" t="s">
        <v>164</v>
      </c>
      <c r="E366" t="s">
        <v>312</v>
      </c>
      <c r="F366" t="s">
        <v>359</v>
      </c>
      <c r="G366" t="s">
        <v>608</v>
      </c>
      <c r="H366" t="s">
        <v>1012</v>
      </c>
      <c r="I366" t="s">
        <v>1350</v>
      </c>
      <c r="J366" t="s">
        <v>1569</v>
      </c>
      <c r="K366" t="s">
        <v>1649</v>
      </c>
      <c r="L366">
        <v>11692</v>
      </c>
      <c r="M366" t="s">
        <v>1670</v>
      </c>
      <c r="P366" t="s">
        <v>1845</v>
      </c>
      <c r="Q366" t="s">
        <v>1936</v>
      </c>
      <c r="R366" t="s">
        <v>1958</v>
      </c>
      <c r="S366" t="s">
        <v>1965</v>
      </c>
      <c r="T366" t="s">
        <v>1671</v>
      </c>
      <c r="V366" t="s">
        <v>1972</v>
      </c>
      <c r="W366" t="s">
        <v>1984</v>
      </c>
      <c r="X366" t="s">
        <v>312</v>
      </c>
      <c r="Y366">
        <v>1141.54</v>
      </c>
      <c r="Z366" t="s">
        <v>2007</v>
      </c>
      <c r="AA366" t="s">
        <v>2014</v>
      </c>
      <c r="AB366" t="s">
        <v>2029</v>
      </c>
      <c r="AC366" t="s">
        <v>2328</v>
      </c>
      <c r="AD366" t="s">
        <v>2756</v>
      </c>
      <c r="AE366">
        <v>30</v>
      </c>
      <c r="AF366" t="s">
        <v>2909</v>
      </c>
      <c r="AG366" t="s">
        <v>2915</v>
      </c>
      <c r="AH366">
        <v>3</v>
      </c>
      <c r="AJ366">
        <v>2</v>
      </c>
      <c r="AK366">
        <v>2</v>
      </c>
      <c r="AL366">
        <v>127.49</v>
      </c>
      <c r="AO366" t="s">
        <v>2926</v>
      </c>
      <c r="AP366">
        <v>32000</v>
      </c>
      <c r="AV366">
        <v>1.8</v>
      </c>
      <c r="AW366" t="s">
        <v>205</v>
      </c>
      <c r="AX366" t="s">
        <v>3044</v>
      </c>
    </row>
    <row r="367" spans="1:50">
      <c r="A367" s="1">
        <f>HYPERLINK("https://lsnyc.legalserver.org/matter/dynamic-profile/view/1889612","19-1889612")</f>
        <v>0</v>
      </c>
      <c r="B367" t="s">
        <v>50</v>
      </c>
      <c r="C367" t="s">
        <v>103</v>
      </c>
      <c r="D367" t="s">
        <v>163</v>
      </c>
      <c r="E367" t="s">
        <v>353</v>
      </c>
      <c r="G367" t="s">
        <v>652</v>
      </c>
      <c r="H367" t="s">
        <v>1013</v>
      </c>
      <c r="I367" t="s">
        <v>1351</v>
      </c>
      <c r="J367">
        <v>328</v>
      </c>
      <c r="K367" t="s">
        <v>1644</v>
      </c>
      <c r="L367">
        <v>11208</v>
      </c>
      <c r="M367" t="s">
        <v>1670</v>
      </c>
      <c r="P367" t="s">
        <v>1846</v>
      </c>
      <c r="Q367" t="s">
        <v>1936</v>
      </c>
      <c r="R367" t="s">
        <v>1958</v>
      </c>
      <c r="T367" t="s">
        <v>1671</v>
      </c>
      <c r="V367" t="s">
        <v>1972</v>
      </c>
      <c r="W367" t="s">
        <v>1984</v>
      </c>
      <c r="X367" t="s">
        <v>353</v>
      </c>
      <c r="Y367">
        <v>1182</v>
      </c>
      <c r="Z367" t="s">
        <v>2009</v>
      </c>
      <c r="AC367" t="s">
        <v>2329</v>
      </c>
      <c r="AD367" t="s">
        <v>2757</v>
      </c>
      <c r="AE367">
        <v>266</v>
      </c>
      <c r="AF367" t="s">
        <v>2902</v>
      </c>
      <c r="AH367">
        <v>7</v>
      </c>
      <c r="AJ367">
        <v>1</v>
      </c>
      <c r="AK367">
        <v>1</v>
      </c>
      <c r="AL367">
        <v>130.1</v>
      </c>
      <c r="AO367" t="s">
        <v>2926</v>
      </c>
      <c r="AP367">
        <v>22000</v>
      </c>
      <c r="AV367">
        <v>2.5</v>
      </c>
      <c r="AW367" t="s">
        <v>397</v>
      </c>
      <c r="AX367" t="s">
        <v>103</v>
      </c>
    </row>
    <row r="368" spans="1:50">
      <c r="A368" s="1">
        <f>HYPERLINK("https://lsnyc.legalserver.org/matter/dynamic-profile/view/1878169","18-1878169")</f>
        <v>0</v>
      </c>
      <c r="B368" t="s">
        <v>50</v>
      </c>
      <c r="C368" t="s">
        <v>73</v>
      </c>
      <c r="D368" t="s">
        <v>164</v>
      </c>
      <c r="E368" t="s">
        <v>242</v>
      </c>
      <c r="F368" t="s">
        <v>372</v>
      </c>
      <c r="G368" t="s">
        <v>653</v>
      </c>
      <c r="H368" t="s">
        <v>1014</v>
      </c>
      <c r="I368" t="s">
        <v>1352</v>
      </c>
      <c r="K368" t="s">
        <v>1663</v>
      </c>
      <c r="L368">
        <v>11427</v>
      </c>
      <c r="M368" t="s">
        <v>1670</v>
      </c>
      <c r="P368" t="s">
        <v>1847</v>
      </c>
      <c r="Q368" t="s">
        <v>1940</v>
      </c>
      <c r="R368" t="s">
        <v>1958</v>
      </c>
      <c r="S368" t="s">
        <v>1965</v>
      </c>
      <c r="T368" t="s">
        <v>1671</v>
      </c>
      <c r="V368" t="s">
        <v>1972</v>
      </c>
      <c r="W368" t="s">
        <v>1984</v>
      </c>
      <c r="X368" t="s">
        <v>242</v>
      </c>
      <c r="Y368">
        <v>0</v>
      </c>
      <c r="Z368" t="s">
        <v>2007</v>
      </c>
      <c r="AA368" t="s">
        <v>2014</v>
      </c>
      <c r="AB368" t="s">
        <v>2029</v>
      </c>
      <c r="AC368" t="s">
        <v>2330</v>
      </c>
      <c r="AD368" t="s">
        <v>2758</v>
      </c>
      <c r="AE368">
        <v>2</v>
      </c>
      <c r="AF368" t="s">
        <v>2903</v>
      </c>
      <c r="AG368" t="s">
        <v>1754</v>
      </c>
      <c r="AH368">
        <v>22</v>
      </c>
      <c r="AJ368">
        <v>2</v>
      </c>
      <c r="AK368">
        <v>2</v>
      </c>
      <c r="AL368">
        <v>0</v>
      </c>
      <c r="AO368" t="s">
        <v>2926</v>
      </c>
      <c r="AP368">
        <v>0</v>
      </c>
      <c r="AV368">
        <v>1</v>
      </c>
      <c r="AW368" t="s">
        <v>372</v>
      </c>
      <c r="AX368" t="s">
        <v>3044</v>
      </c>
    </row>
    <row r="369" spans="1:50">
      <c r="A369" s="1">
        <f>HYPERLINK("https://lsnyc.legalserver.org/matter/dynamic-profile/view/1896904","19-1896904")</f>
        <v>0</v>
      </c>
      <c r="B369" t="s">
        <v>50</v>
      </c>
      <c r="C369" t="s">
        <v>69</v>
      </c>
      <c r="D369" t="s">
        <v>164</v>
      </c>
      <c r="E369" t="s">
        <v>327</v>
      </c>
      <c r="F369" t="s">
        <v>220</v>
      </c>
      <c r="G369" t="s">
        <v>493</v>
      </c>
      <c r="H369" t="s">
        <v>1015</v>
      </c>
      <c r="I369" t="s">
        <v>1353</v>
      </c>
      <c r="J369" t="s">
        <v>1487</v>
      </c>
      <c r="K369" t="s">
        <v>1644</v>
      </c>
      <c r="L369">
        <v>11230</v>
      </c>
      <c r="M369" t="s">
        <v>1672</v>
      </c>
      <c r="R369" t="s">
        <v>1958</v>
      </c>
      <c r="S369" t="s">
        <v>1965</v>
      </c>
      <c r="V369" t="s">
        <v>1972</v>
      </c>
      <c r="X369" t="s">
        <v>327</v>
      </c>
      <c r="Y369">
        <v>0</v>
      </c>
      <c r="Z369" t="s">
        <v>2009</v>
      </c>
      <c r="AB369" t="s">
        <v>2029</v>
      </c>
      <c r="AC369" t="s">
        <v>2331</v>
      </c>
      <c r="AD369" t="s">
        <v>2759</v>
      </c>
      <c r="AE369">
        <v>0</v>
      </c>
      <c r="AH369">
        <v>0</v>
      </c>
      <c r="AJ369">
        <v>1</v>
      </c>
      <c r="AK369">
        <v>3</v>
      </c>
      <c r="AL369">
        <v>10.02</v>
      </c>
      <c r="AO369" t="s">
        <v>2926</v>
      </c>
      <c r="AP369">
        <v>2580</v>
      </c>
      <c r="AV369">
        <v>1.4</v>
      </c>
      <c r="AW369" t="s">
        <v>220</v>
      </c>
      <c r="AX369" t="s">
        <v>69</v>
      </c>
    </row>
    <row r="370" spans="1:50">
      <c r="A370" s="1">
        <f>HYPERLINK("https://lsnyc.legalserver.org/matter/dynamic-profile/view/1898175","19-1898175")</f>
        <v>0</v>
      </c>
      <c r="B370" t="s">
        <v>50</v>
      </c>
      <c r="C370" t="s">
        <v>125</v>
      </c>
      <c r="D370" t="s">
        <v>163</v>
      </c>
      <c r="E370" t="s">
        <v>193</v>
      </c>
      <c r="G370" t="s">
        <v>654</v>
      </c>
      <c r="H370" t="s">
        <v>1016</v>
      </c>
      <c r="I370" t="s">
        <v>1354</v>
      </c>
      <c r="J370" t="s">
        <v>1541</v>
      </c>
      <c r="K370" t="s">
        <v>1644</v>
      </c>
      <c r="L370">
        <v>11206</v>
      </c>
      <c r="M370" t="s">
        <v>1670</v>
      </c>
      <c r="Q370" t="s">
        <v>1936</v>
      </c>
      <c r="R370" t="s">
        <v>1958</v>
      </c>
      <c r="V370" t="s">
        <v>1972</v>
      </c>
      <c r="X370" t="s">
        <v>385</v>
      </c>
      <c r="Y370">
        <v>1131.18</v>
      </c>
      <c r="Z370" t="s">
        <v>2009</v>
      </c>
      <c r="AC370" t="s">
        <v>2332</v>
      </c>
      <c r="AD370" t="s">
        <v>2760</v>
      </c>
      <c r="AE370">
        <v>0</v>
      </c>
      <c r="AH370">
        <v>8</v>
      </c>
      <c r="AJ370">
        <v>3</v>
      </c>
      <c r="AK370">
        <v>1</v>
      </c>
      <c r="AL370">
        <v>54.37</v>
      </c>
      <c r="AO370" t="s">
        <v>2926</v>
      </c>
      <c r="AP370">
        <v>14000</v>
      </c>
      <c r="AV370">
        <v>0</v>
      </c>
      <c r="AX370" t="s">
        <v>158</v>
      </c>
    </row>
    <row r="371" spans="1:50">
      <c r="A371" s="1">
        <f>HYPERLINK("https://lsnyc.legalserver.org/matter/dynamic-profile/view/1903267","19-1903267")</f>
        <v>0</v>
      </c>
      <c r="B371" t="s">
        <v>50</v>
      </c>
      <c r="C371" t="s">
        <v>82</v>
      </c>
      <c r="D371" t="s">
        <v>163</v>
      </c>
      <c r="E371" t="s">
        <v>354</v>
      </c>
      <c r="G371" t="s">
        <v>638</v>
      </c>
      <c r="H371" t="s">
        <v>1017</v>
      </c>
      <c r="I371" t="s">
        <v>1355</v>
      </c>
      <c r="J371" t="s">
        <v>1613</v>
      </c>
      <c r="K371" t="s">
        <v>1644</v>
      </c>
      <c r="L371">
        <v>11239</v>
      </c>
      <c r="M371" t="s">
        <v>1670</v>
      </c>
      <c r="P371" t="s">
        <v>1848</v>
      </c>
      <c r="Q371" t="s">
        <v>1936</v>
      </c>
      <c r="R371" t="s">
        <v>1960</v>
      </c>
      <c r="T371" t="s">
        <v>1671</v>
      </c>
      <c r="V371" t="s">
        <v>1972</v>
      </c>
      <c r="W371" t="s">
        <v>1984</v>
      </c>
      <c r="X371" t="s">
        <v>191</v>
      </c>
      <c r="Y371">
        <v>986</v>
      </c>
      <c r="Z371" t="s">
        <v>2009</v>
      </c>
      <c r="AA371" t="s">
        <v>2020</v>
      </c>
      <c r="AC371" t="s">
        <v>2333</v>
      </c>
      <c r="AD371" t="s">
        <v>2761</v>
      </c>
      <c r="AE371">
        <v>0</v>
      </c>
      <c r="AF371" t="s">
        <v>2909</v>
      </c>
      <c r="AH371">
        <v>5</v>
      </c>
      <c r="AJ371">
        <v>1</v>
      </c>
      <c r="AK371">
        <v>2</v>
      </c>
      <c r="AL371">
        <v>180.5</v>
      </c>
      <c r="AO371" t="s">
        <v>2926</v>
      </c>
      <c r="AP371">
        <v>38500</v>
      </c>
      <c r="AV371">
        <v>2.8</v>
      </c>
      <c r="AW371" t="s">
        <v>396</v>
      </c>
      <c r="AX371" t="s">
        <v>82</v>
      </c>
    </row>
    <row r="372" spans="1:50">
      <c r="A372" s="1">
        <f>HYPERLINK("https://lsnyc.legalserver.org/matter/dynamic-profile/view/1877487","18-1877487")</f>
        <v>0</v>
      </c>
      <c r="B372" t="s">
        <v>50</v>
      </c>
      <c r="C372" t="s">
        <v>82</v>
      </c>
      <c r="D372" t="s">
        <v>164</v>
      </c>
      <c r="E372" t="s">
        <v>344</v>
      </c>
      <c r="F372" t="s">
        <v>393</v>
      </c>
      <c r="G372" t="s">
        <v>638</v>
      </c>
      <c r="H372" t="s">
        <v>1017</v>
      </c>
      <c r="I372" t="s">
        <v>1355</v>
      </c>
      <c r="J372" t="s">
        <v>1613</v>
      </c>
      <c r="K372" t="s">
        <v>1644</v>
      </c>
      <c r="L372">
        <v>11239</v>
      </c>
      <c r="M372" t="s">
        <v>1670</v>
      </c>
      <c r="P372" t="s">
        <v>1849</v>
      </c>
      <c r="Q372" t="s">
        <v>1936</v>
      </c>
      <c r="R372" t="s">
        <v>1960</v>
      </c>
      <c r="S372" t="s">
        <v>1967</v>
      </c>
      <c r="T372" t="s">
        <v>1671</v>
      </c>
      <c r="V372" t="s">
        <v>1972</v>
      </c>
      <c r="X372" t="s">
        <v>284</v>
      </c>
      <c r="Y372">
        <v>2300</v>
      </c>
      <c r="Z372" t="s">
        <v>2009</v>
      </c>
      <c r="AA372" t="s">
        <v>2020</v>
      </c>
      <c r="AB372" t="s">
        <v>2032</v>
      </c>
      <c r="AC372" t="s">
        <v>2333</v>
      </c>
      <c r="AD372" t="s">
        <v>2761</v>
      </c>
      <c r="AE372">
        <v>1463</v>
      </c>
      <c r="AF372" t="s">
        <v>2909</v>
      </c>
      <c r="AG372" t="s">
        <v>2915</v>
      </c>
      <c r="AH372">
        <v>3</v>
      </c>
      <c r="AJ372">
        <v>1</v>
      </c>
      <c r="AK372">
        <v>2</v>
      </c>
      <c r="AL372">
        <v>185.27</v>
      </c>
      <c r="AO372" t="s">
        <v>2926</v>
      </c>
      <c r="AP372">
        <v>38500</v>
      </c>
      <c r="AQ372" t="s">
        <v>2953</v>
      </c>
      <c r="AV372">
        <v>6.5</v>
      </c>
      <c r="AW372" t="s">
        <v>384</v>
      </c>
      <c r="AX372" t="s">
        <v>3060</v>
      </c>
    </row>
    <row r="373" spans="1:50">
      <c r="A373" s="1">
        <f>HYPERLINK("https://lsnyc.legalserver.org/matter/dynamic-profile/view/1857034","18-1857034")</f>
        <v>0</v>
      </c>
      <c r="B373" t="s">
        <v>50</v>
      </c>
      <c r="C373" t="s">
        <v>59</v>
      </c>
      <c r="D373" t="s">
        <v>163</v>
      </c>
      <c r="E373" t="s">
        <v>355</v>
      </c>
      <c r="G373" t="s">
        <v>655</v>
      </c>
      <c r="H373" t="s">
        <v>1018</v>
      </c>
      <c r="I373" t="s">
        <v>1234</v>
      </c>
      <c r="J373" t="s">
        <v>1614</v>
      </c>
      <c r="K373" t="s">
        <v>1641</v>
      </c>
      <c r="L373">
        <v>10452</v>
      </c>
      <c r="M373" t="s">
        <v>1670</v>
      </c>
      <c r="P373" t="s">
        <v>1765</v>
      </c>
      <c r="Q373" t="s">
        <v>1949</v>
      </c>
      <c r="R373" t="s">
        <v>1961</v>
      </c>
      <c r="T373" t="s">
        <v>1670</v>
      </c>
      <c r="V373" t="s">
        <v>1972</v>
      </c>
      <c r="X373" t="s">
        <v>218</v>
      </c>
      <c r="Y373">
        <v>858.6900000000001</v>
      </c>
      <c r="Z373" t="s">
        <v>2006</v>
      </c>
      <c r="AA373" t="s">
        <v>2015</v>
      </c>
      <c r="AC373" t="s">
        <v>2334</v>
      </c>
      <c r="AD373" t="s">
        <v>2762</v>
      </c>
      <c r="AE373">
        <v>122</v>
      </c>
      <c r="AF373" t="s">
        <v>2902</v>
      </c>
      <c r="AG373" t="s">
        <v>1754</v>
      </c>
      <c r="AH373">
        <v>4</v>
      </c>
      <c r="AJ373">
        <v>2</v>
      </c>
      <c r="AK373">
        <v>2</v>
      </c>
      <c r="AL373">
        <v>171.22</v>
      </c>
      <c r="AO373" t="s">
        <v>2926</v>
      </c>
      <c r="AP373">
        <v>42120</v>
      </c>
      <c r="AQ373" t="s">
        <v>2960</v>
      </c>
      <c r="AV373">
        <v>0</v>
      </c>
      <c r="AX373" t="s">
        <v>3054</v>
      </c>
    </row>
    <row r="374" spans="1:50">
      <c r="A374" s="1">
        <f>HYPERLINK("https://lsnyc.legalserver.org/matter/dynamic-profile/view/1888625","19-1888625")</f>
        <v>0</v>
      </c>
      <c r="B374" t="s">
        <v>51</v>
      </c>
      <c r="C374" t="s">
        <v>53</v>
      </c>
      <c r="D374" t="s">
        <v>164</v>
      </c>
      <c r="E374" t="s">
        <v>285</v>
      </c>
      <c r="F374" t="s">
        <v>277</v>
      </c>
      <c r="G374" t="s">
        <v>656</v>
      </c>
      <c r="H374" t="s">
        <v>1019</v>
      </c>
      <c r="I374" t="s">
        <v>1356</v>
      </c>
      <c r="J374" t="s">
        <v>1615</v>
      </c>
      <c r="K374" t="s">
        <v>1654</v>
      </c>
      <c r="L374">
        <v>11102</v>
      </c>
      <c r="M374" t="s">
        <v>1670</v>
      </c>
      <c r="P374" t="s">
        <v>1754</v>
      </c>
      <c r="Q374" t="s">
        <v>1675</v>
      </c>
      <c r="R374" t="s">
        <v>1958</v>
      </c>
      <c r="S374" t="s">
        <v>1965</v>
      </c>
      <c r="T374" t="s">
        <v>1671</v>
      </c>
      <c r="V374" t="s">
        <v>1972</v>
      </c>
      <c r="W374" t="s">
        <v>1984</v>
      </c>
      <c r="X374" t="s">
        <v>285</v>
      </c>
      <c r="Y374">
        <v>2227.5</v>
      </c>
      <c r="Z374" t="s">
        <v>2007</v>
      </c>
      <c r="AA374" t="s">
        <v>2012</v>
      </c>
      <c r="AB374" t="s">
        <v>2029</v>
      </c>
      <c r="AC374" t="s">
        <v>2335</v>
      </c>
      <c r="AD374" t="s">
        <v>2763</v>
      </c>
      <c r="AE374">
        <v>60</v>
      </c>
      <c r="AF374" t="s">
        <v>2902</v>
      </c>
      <c r="AG374" t="s">
        <v>1754</v>
      </c>
      <c r="AH374">
        <v>2</v>
      </c>
      <c r="AJ374">
        <v>1</v>
      </c>
      <c r="AK374">
        <v>4</v>
      </c>
      <c r="AL374">
        <v>0</v>
      </c>
      <c r="AM374" t="s">
        <v>2923</v>
      </c>
      <c r="AN374" t="s">
        <v>2924</v>
      </c>
      <c r="AO374" t="s">
        <v>2926</v>
      </c>
      <c r="AP374">
        <v>0</v>
      </c>
      <c r="AV374">
        <v>1.4</v>
      </c>
      <c r="AW374" t="s">
        <v>299</v>
      </c>
      <c r="AX374" t="s">
        <v>53</v>
      </c>
    </row>
    <row r="375" spans="1:50">
      <c r="A375" s="1">
        <f>HYPERLINK("https://lsnyc.legalserver.org/matter/dynamic-profile/view/1901614","19-1901614")</f>
        <v>0</v>
      </c>
      <c r="B375" t="s">
        <v>50</v>
      </c>
      <c r="C375" t="s">
        <v>111</v>
      </c>
      <c r="D375" t="s">
        <v>164</v>
      </c>
      <c r="E375" t="s">
        <v>249</v>
      </c>
      <c r="F375" t="s">
        <v>389</v>
      </c>
      <c r="G375" t="s">
        <v>427</v>
      </c>
      <c r="H375" t="s">
        <v>1020</v>
      </c>
      <c r="I375" t="s">
        <v>1357</v>
      </c>
      <c r="J375" t="s">
        <v>1550</v>
      </c>
      <c r="K375" t="s">
        <v>1641</v>
      </c>
      <c r="L375">
        <v>10452</v>
      </c>
      <c r="M375" t="s">
        <v>1670</v>
      </c>
      <c r="P375" t="s">
        <v>1691</v>
      </c>
      <c r="Q375" t="s">
        <v>1936</v>
      </c>
      <c r="R375" t="s">
        <v>1958</v>
      </c>
      <c r="S375" t="s">
        <v>1965</v>
      </c>
      <c r="T375" t="s">
        <v>1671</v>
      </c>
      <c r="V375" t="s">
        <v>1972</v>
      </c>
      <c r="X375" t="s">
        <v>249</v>
      </c>
      <c r="Y375">
        <v>1750</v>
      </c>
      <c r="Z375" t="s">
        <v>2006</v>
      </c>
      <c r="AA375" t="s">
        <v>2015</v>
      </c>
      <c r="AB375" t="s">
        <v>2029</v>
      </c>
      <c r="AC375" t="s">
        <v>2336</v>
      </c>
      <c r="AD375" t="s">
        <v>2764</v>
      </c>
      <c r="AE375">
        <v>34</v>
      </c>
      <c r="AF375" t="s">
        <v>2902</v>
      </c>
      <c r="AG375" t="s">
        <v>1754</v>
      </c>
      <c r="AH375">
        <v>1</v>
      </c>
      <c r="AJ375">
        <v>2</v>
      </c>
      <c r="AK375">
        <v>1</v>
      </c>
      <c r="AL375">
        <v>48.76</v>
      </c>
      <c r="AO375" t="s">
        <v>2926</v>
      </c>
      <c r="AP375">
        <v>10400</v>
      </c>
      <c r="AV375">
        <v>0.5</v>
      </c>
      <c r="AW375" t="s">
        <v>249</v>
      </c>
      <c r="AX375" t="s">
        <v>3047</v>
      </c>
    </row>
    <row r="376" spans="1:50">
      <c r="A376" s="1">
        <f>HYPERLINK("https://lsnyc.legalserver.org/matter/dynamic-profile/view/1899124","19-1899124")</f>
        <v>0</v>
      </c>
      <c r="B376" t="s">
        <v>51</v>
      </c>
      <c r="C376" t="s">
        <v>89</v>
      </c>
      <c r="D376" t="s">
        <v>164</v>
      </c>
      <c r="E376" t="s">
        <v>171</v>
      </c>
      <c r="F376" t="s">
        <v>171</v>
      </c>
      <c r="G376" t="s">
        <v>657</v>
      </c>
      <c r="H376" t="s">
        <v>1021</v>
      </c>
      <c r="I376" t="s">
        <v>1358</v>
      </c>
      <c r="K376" t="s">
        <v>1664</v>
      </c>
      <c r="L376">
        <v>11520</v>
      </c>
      <c r="M376" t="s">
        <v>1670</v>
      </c>
      <c r="P376" t="s">
        <v>1850</v>
      </c>
      <c r="Q376" t="s">
        <v>1675</v>
      </c>
      <c r="R376" t="s">
        <v>1958</v>
      </c>
      <c r="S376" t="s">
        <v>1965</v>
      </c>
      <c r="T376" t="s">
        <v>1671</v>
      </c>
      <c r="V376" t="s">
        <v>1972</v>
      </c>
      <c r="W376" t="s">
        <v>1984</v>
      </c>
      <c r="X376" t="s">
        <v>171</v>
      </c>
      <c r="Y376">
        <v>2300</v>
      </c>
      <c r="Z376" t="s">
        <v>2007</v>
      </c>
      <c r="AA376" t="s">
        <v>2012</v>
      </c>
      <c r="AB376" t="s">
        <v>2029</v>
      </c>
      <c r="AC376" t="s">
        <v>2337</v>
      </c>
      <c r="AD376" t="s">
        <v>2765</v>
      </c>
      <c r="AE376">
        <v>1</v>
      </c>
      <c r="AF376" t="s">
        <v>2903</v>
      </c>
      <c r="AG376" t="s">
        <v>1754</v>
      </c>
      <c r="AH376">
        <v>18</v>
      </c>
      <c r="AJ376">
        <v>1</v>
      </c>
      <c r="AK376">
        <v>3</v>
      </c>
      <c r="AL376">
        <v>25.24</v>
      </c>
      <c r="AM376" t="s">
        <v>2923</v>
      </c>
      <c r="AN376" t="s">
        <v>2924</v>
      </c>
      <c r="AO376" t="s">
        <v>2927</v>
      </c>
      <c r="AP376">
        <v>6500</v>
      </c>
      <c r="AV376">
        <v>1.5</v>
      </c>
      <c r="AW376" t="s">
        <v>171</v>
      </c>
      <c r="AX376" t="s">
        <v>89</v>
      </c>
    </row>
    <row r="377" spans="1:50">
      <c r="A377" s="1">
        <f>HYPERLINK("https://lsnyc.legalserver.org/matter/dynamic-profile/view/1875825","18-1875825")</f>
        <v>0</v>
      </c>
      <c r="B377" t="s">
        <v>50</v>
      </c>
      <c r="C377" t="s">
        <v>103</v>
      </c>
      <c r="D377" t="s">
        <v>164</v>
      </c>
      <c r="E377" t="s">
        <v>264</v>
      </c>
      <c r="F377" t="s">
        <v>223</v>
      </c>
      <c r="G377" t="s">
        <v>658</v>
      </c>
      <c r="H377" t="s">
        <v>914</v>
      </c>
      <c r="I377" t="s">
        <v>1359</v>
      </c>
      <c r="J377" t="s">
        <v>1616</v>
      </c>
      <c r="K377" t="s">
        <v>1644</v>
      </c>
      <c r="L377">
        <v>11207</v>
      </c>
      <c r="M377" t="s">
        <v>1670</v>
      </c>
      <c r="P377" t="s">
        <v>1851</v>
      </c>
      <c r="Q377" t="s">
        <v>1936</v>
      </c>
      <c r="R377" t="s">
        <v>1958</v>
      </c>
      <c r="S377" t="s">
        <v>1965</v>
      </c>
      <c r="T377" t="s">
        <v>1671</v>
      </c>
      <c r="V377" t="s">
        <v>1972</v>
      </c>
      <c r="X377" t="s">
        <v>264</v>
      </c>
      <c r="Y377">
        <v>1514</v>
      </c>
      <c r="Z377" t="s">
        <v>2009</v>
      </c>
      <c r="AB377" t="s">
        <v>2029</v>
      </c>
      <c r="AC377" t="s">
        <v>2338</v>
      </c>
      <c r="AD377" t="s">
        <v>2766</v>
      </c>
      <c r="AE377">
        <v>23</v>
      </c>
      <c r="AF377" t="s">
        <v>2902</v>
      </c>
      <c r="AH377">
        <v>4</v>
      </c>
      <c r="AJ377">
        <v>2</v>
      </c>
      <c r="AK377">
        <v>2</v>
      </c>
      <c r="AL377">
        <v>28.69</v>
      </c>
      <c r="AO377" t="s">
        <v>2926</v>
      </c>
      <c r="AP377">
        <v>7200</v>
      </c>
      <c r="AV377">
        <v>1.25</v>
      </c>
      <c r="AW377" t="s">
        <v>358</v>
      </c>
      <c r="AX377" t="s">
        <v>3060</v>
      </c>
    </row>
    <row r="378" spans="1:50">
      <c r="A378" s="1">
        <f>HYPERLINK("https://lsnyc.legalserver.org/matter/dynamic-profile/view/1872121","18-1872121")</f>
        <v>0</v>
      </c>
      <c r="B378" t="s">
        <v>51</v>
      </c>
      <c r="C378" t="s">
        <v>84</v>
      </c>
      <c r="D378" t="s">
        <v>164</v>
      </c>
      <c r="E378" t="s">
        <v>264</v>
      </c>
      <c r="F378" t="s">
        <v>232</v>
      </c>
      <c r="G378" t="s">
        <v>659</v>
      </c>
      <c r="H378" t="s">
        <v>1022</v>
      </c>
      <c r="I378" t="s">
        <v>1360</v>
      </c>
      <c r="J378">
        <v>1</v>
      </c>
      <c r="K378" t="s">
        <v>1646</v>
      </c>
      <c r="L378">
        <v>10302</v>
      </c>
      <c r="M378" t="s">
        <v>1670</v>
      </c>
      <c r="P378" t="s">
        <v>1675</v>
      </c>
      <c r="Q378" t="s">
        <v>1940</v>
      </c>
      <c r="R378" t="s">
        <v>1958</v>
      </c>
      <c r="S378" t="s">
        <v>1965</v>
      </c>
      <c r="T378" t="s">
        <v>1671</v>
      </c>
      <c r="V378" t="s">
        <v>1972</v>
      </c>
      <c r="W378" t="s">
        <v>1984</v>
      </c>
      <c r="X378" t="s">
        <v>1998</v>
      </c>
      <c r="Y378">
        <v>1680</v>
      </c>
      <c r="Z378" t="s">
        <v>2010</v>
      </c>
      <c r="AA378" t="s">
        <v>2012</v>
      </c>
      <c r="AB378" t="s">
        <v>2029</v>
      </c>
      <c r="AC378" t="s">
        <v>2339</v>
      </c>
      <c r="AD378" t="s">
        <v>2767</v>
      </c>
      <c r="AE378">
        <v>2</v>
      </c>
      <c r="AF378" t="s">
        <v>2903</v>
      </c>
      <c r="AG378" t="s">
        <v>2915</v>
      </c>
      <c r="AH378">
        <v>1</v>
      </c>
      <c r="AJ378">
        <v>1</v>
      </c>
      <c r="AK378">
        <v>2</v>
      </c>
      <c r="AL378">
        <v>158.81</v>
      </c>
      <c r="AM378" t="s">
        <v>2923</v>
      </c>
      <c r="AN378" t="s">
        <v>2924</v>
      </c>
      <c r="AO378" t="s">
        <v>2926</v>
      </c>
      <c r="AP378">
        <v>33000</v>
      </c>
      <c r="AV378">
        <v>0.9</v>
      </c>
      <c r="AW378" t="s">
        <v>2000</v>
      </c>
      <c r="AX378" t="s">
        <v>3062</v>
      </c>
    </row>
    <row r="379" spans="1:50">
      <c r="A379" s="1">
        <f>HYPERLINK("https://lsnyc.legalserver.org/matter/dynamic-profile/view/1891823","19-1891823")</f>
        <v>0</v>
      </c>
      <c r="B379" t="s">
        <v>50</v>
      </c>
      <c r="C379" t="s">
        <v>71</v>
      </c>
      <c r="D379" t="s">
        <v>163</v>
      </c>
      <c r="E379" t="s">
        <v>256</v>
      </c>
      <c r="G379" t="s">
        <v>451</v>
      </c>
      <c r="H379" t="s">
        <v>1023</v>
      </c>
      <c r="I379" t="s">
        <v>1361</v>
      </c>
      <c r="K379" t="s">
        <v>1646</v>
      </c>
      <c r="L379">
        <v>10305</v>
      </c>
      <c r="M379" t="s">
        <v>1670</v>
      </c>
      <c r="P379" t="s">
        <v>1852</v>
      </c>
      <c r="Q379" t="s">
        <v>1936</v>
      </c>
      <c r="R379" t="s">
        <v>1960</v>
      </c>
      <c r="T379" t="s">
        <v>1671</v>
      </c>
      <c r="V379" t="s">
        <v>1972</v>
      </c>
      <c r="W379" t="s">
        <v>1984</v>
      </c>
      <c r="X379" t="s">
        <v>256</v>
      </c>
      <c r="Y379">
        <v>1300</v>
      </c>
      <c r="Z379" t="s">
        <v>2010</v>
      </c>
      <c r="AA379" t="s">
        <v>2020</v>
      </c>
      <c r="AC379" t="s">
        <v>2340</v>
      </c>
      <c r="AD379" t="s">
        <v>2768</v>
      </c>
      <c r="AE379">
        <v>1</v>
      </c>
      <c r="AF379" t="s">
        <v>2903</v>
      </c>
      <c r="AG379" t="s">
        <v>1754</v>
      </c>
      <c r="AH379">
        <v>1</v>
      </c>
      <c r="AJ379">
        <v>1</v>
      </c>
      <c r="AK379">
        <v>3</v>
      </c>
      <c r="AL379">
        <v>163.68</v>
      </c>
      <c r="AO379" t="s">
        <v>2926</v>
      </c>
      <c r="AP379">
        <v>42148</v>
      </c>
      <c r="AV379">
        <v>15.3</v>
      </c>
      <c r="AW379" t="s">
        <v>346</v>
      </c>
      <c r="AX379" t="s">
        <v>3072</v>
      </c>
    </row>
    <row r="380" spans="1:50">
      <c r="A380" s="1">
        <f>HYPERLINK("https://lsnyc.legalserver.org/matter/dynamic-profile/view/1881264","18-1881264")</f>
        <v>0</v>
      </c>
      <c r="B380" t="s">
        <v>50</v>
      </c>
      <c r="C380" t="s">
        <v>64</v>
      </c>
      <c r="D380" t="s">
        <v>164</v>
      </c>
      <c r="E380" t="s">
        <v>356</v>
      </c>
      <c r="F380" t="s">
        <v>331</v>
      </c>
      <c r="G380" t="s">
        <v>416</v>
      </c>
      <c r="H380" t="s">
        <v>1024</v>
      </c>
      <c r="I380" t="s">
        <v>1362</v>
      </c>
      <c r="J380">
        <v>5</v>
      </c>
      <c r="K380" t="s">
        <v>1643</v>
      </c>
      <c r="L380">
        <v>10034</v>
      </c>
      <c r="M380" t="s">
        <v>1670</v>
      </c>
      <c r="Q380" t="s">
        <v>1941</v>
      </c>
      <c r="R380" t="s">
        <v>1958</v>
      </c>
      <c r="S380" t="s">
        <v>1965</v>
      </c>
      <c r="T380" t="s">
        <v>1671</v>
      </c>
      <c r="V380" t="s">
        <v>1972</v>
      </c>
      <c r="X380" t="s">
        <v>356</v>
      </c>
      <c r="Y380">
        <v>859.6799999999999</v>
      </c>
      <c r="Z380" t="s">
        <v>2008</v>
      </c>
      <c r="AA380" t="s">
        <v>2013</v>
      </c>
      <c r="AB380" t="s">
        <v>2029</v>
      </c>
      <c r="AC380" t="s">
        <v>2341</v>
      </c>
      <c r="AD380" t="s">
        <v>2769</v>
      </c>
      <c r="AE380">
        <v>25</v>
      </c>
      <c r="AF380" t="s">
        <v>2902</v>
      </c>
      <c r="AG380" t="s">
        <v>1754</v>
      </c>
      <c r="AH380">
        <v>18</v>
      </c>
      <c r="AJ380">
        <v>3</v>
      </c>
      <c r="AK380">
        <v>2</v>
      </c>
      <c r="AL380">
        <v>196.94</v>
      </c>
      <c r="AO380" t="s">
        <v>2927</v>
      </c>
      <c r="AP380">
        <v>57940</v>
      </c>
      <c r="AQ380" t="s">
        <v>2961</v>
      </c>
      <c r="AV380">
        <v>2.9</v>
      </c>
      <c r="AW380" t="s">
        <v>281</v>
      </c>
      <c r="AX380" t="s">
        <v>3042</v>
      </c>
    </row>
    <row r="381" spans="1:50">
      <c r="A381" s="1">
        <f>HYPERLINK("https://lsnyc.legalserver.org/matter/dynamic-profile/view/1900794","19-1900794")</f>
        <v>0</v>
      </c>
      <c r="B381" t="s">
        <v>50</v>
      </c>
      <c r="C381" t="s">
        <v>120</v>
      </c>
      <c r="D381" t="s">
        <v>163</v>
      </c>
      <c r="E381" t="s">
        <v>357</v>
      </c>
      <c r="G381" t="s">
        <v>660</v>
      </c>
      <c r="H381" t="s">
        <v>1025</v>
      </c>
      <c r="I381" t="s">
        <v>1363</v>
      </c>
      <c r="J381" t="s">
        <v>1525</v>
      </c>
      <c r="K381" t="s">
        <v>1644</v>
      </c>
      <c r="L381">
        <v>11233</v>
      </c>
      <c r="M381" t="s">
        <v>1670</v>
      </c>
      <c r="P381" t="s">
        <v>1853</v>
      </c>
      <c r="Q381" t="s">
        <v>1950</v>
      </c>
      <c r="R381" t="s">
        <v>1959</v>
      </c>
      <c r="T381" t="s">
        <v>1671</v>
      </c>
      <c r="V381" t="s">
        <v>1974</v>
      </c>
      <c r="X381" t="s">
        <v>403</v>
      </c>
      <c r="Y381">
        <v>901</v>
      </c>
      <c r="Z381" t="s">
        <v>2009</v>
      </c>
      <c r="AA381" t="s">
        <v>2026</v>
      </c>
      <c r="AC381" t="s">
        <v>2171</v>
      </c>
      <c r="AD381" t="s">
        <v>2770</v>
      </c>
      <c r="AE381">
        <v>16</v>
      </c>
      <c r="AF381" t="s">
        <v>2913</v>
      </c>
      <c r="AG381" t="s">
        <v>1754</v>
      </c>
      <c r="AH381">
        <v>9</v>
      </c>
      <c r="AJ381">
        <v>1</v>
      </c>
      <c r="AK381">
        <v>2</v>
      </c>
      <c r="AL381">
        <v>121.52</v>
      </c>
      <c r="AO381" t="s">
        <v>2926</v>
      </c>
      <c r="AP381">
        <v>25920</v>
      </c>
      <c r="AV381">
        <v>12.75</v>
      </c>
      <c r="AW381" t="s">
        <v>397</v>
      </c>
      <c r="AX381" t="s">
        <v>3059</v>
      </c>
    </row>
    <row r="382" spans="1:50">
      <c r="A382" s="1">
        <f>HYPERLINK("https://lsnyc.legalserver.org/matter/dynamic-profile/view/1898488","19-1898488")</f>
        <v>0</v>
      </c>
      <c r="B382" t="s">
        <v>50</v>
      </c>
      <c r="C382" t="s">
        <v>119</v>
      </c>
      <c r="D382" t="s">
        <v>163</v>
      </c>
      <c r="E382" t="s">
        <v>293</v>
      </c>
      <c r="G382" t="s">
        <v>660</v>
      </c>
      <c r="H382" t="s">
        <v>1025</v>
      </c>
      <c r="I382" t="s">
        <v>1363</v>
      </c>
      <c r="J382" t="s">
        <v>1525</v>
      </c>
      <c r="K382" t="s">
        <v>1644</v>
      </c>
      <c r="L382">
        <v>11233</v>
      </c>
      <c r="M382" t="s">
        <v>1670</v>
      </c>
      <c r="P382" t="s">
        <v>1853</v>
      </c>
      <c r="Q382" t="s">
        <v>1936</v>
      </c>
      <c r="R382" t="s">
        <v>1960</v>
      </c>
      <c r="T382" t="s">
        <v>1671</v>
      </c>
      <c r="V382" t="s">
        <v>1972</v>
      </c>
      <c r="W382" t="s">
        <v>1984</v>
      </c>
      <c r="X382" t="s">
        <v>249</v>
      </c>
      <c r="Y382">
        <v>901</v>
      </c>
      <c r="Z382" t="s">
        <v>2009</v>
      </c>
      <c r="AA382" t="s">
        <v>2026</v>
      </c>
      <c r="AC382" t="s">
        <v>2171</v>
      </c>
      <c r="AD382" t="s">
        <v>2770</v>
      </c>
      <c r="AE382">
        <v>16</v>
      </c>
      <c r="AF382" t="s">
        <v>2913</v>
      </c>
      <c r="AG382" t="s">
        <v>1754</v>
      </c>
      <c r="AH382">
        <v>9</v>
      </c>
      <c r="AJ382">
        <v>1</v>
      </c>
      <c r="AK382">
        <v>2</v>
      </c>
      <c r="AL382">
        <v>121.46</v>
      </c>
      <c r="AO382" t="s">
        <v>2926</v>
      </c>
      <c r="AP382">
        <v>25908</v>
      </c>
      <c r="AV382">
        <v>8.5</v>
      </c>
      <c r="AW382" t="s">
        <v>399</v>
      </c>
      <c r="AX382" t="s">
        <v>3059</v>
      </c>
    </row>
    <row r="383" spans="1:50">
      <c r="A383" s="1">
        <f>HYPERLINK("https://lsnyc.legalserver.org/matter/dynamic-profile/view/1899599","19-1899599")</f>
        <v>0</v>
      </c>
      <c r="B383" t="s">
        <v>50</v>
      </c>
      <c r="C383" t="s">
        <v>119</v>
      </c>
      <c r="D383" t="s">
        <v>163</v>
      </c>
      <c r="E383" t="s">
        <v>291</v>
      </c>
      <c r="G383" t="s">
        <v>661</v>
      </c>
      <c r="H383" t="s">
        <v>1026</v>
      </c>
      <c r="I383" t="s">
        <v>1364</v>
      </c>
      <c r="J383" t="s">
        <v>1542</v>
      </c>
      <c r="K383" t="s">
        <v>1644</v>
      </c>
      <c r="L383">
        <v>11207</v>
      </c>
      <c r="M383" t="s">
        <v>1670</v>
      </c>
      <c r="P383" t="s">
        <v>1854</v>
      </c>
      <c r="Q383" t="s">
        <v>1940</v>
      </c>
      <c r="R383" t="s">
        <v>1960</v>
      </c>
      <c r="T383" t="s">
        <v>1671</v>
      </c>
      <c r="V383" t="s">
        <v>1972</v>
      </c>
      <c r="W383" t="s">
        <v>1984</v>
      </c>
      <c r="X383" t="s">
        <v>206</v>
      </c>
      <c r="Y383">
        <v>600</v>
      </c>
      <c r="Z383" t="s">
        <v>2009</v>
      </c>
      <c r="AC383" t="s">
        <v>2342</v>
      </c>
      <c r="AD383" t="s">
        <v>2771</v>
      </c>
      <c r="AE383">
        <v>2</v>
      </c>
      <c r="AF383" t="s">
        <v>2903</v>
      </c>
      <c r="AG383" t="s">
        <v>2017</v>
      </c>
      <c r="AH383">
        <v>10</v>
      </c>
      <c r="AJ383">
        <v>1</v>
      </c>
      <c r="AK383">
        <v>1</v>
      </c>
      <c r="AL383">
        <v>147.84</v>
      </c>
      <c r="AO383" t="s">
        <v>2926</v>
      </c>
      <c r="AP383">
        <v>25000</v>
      </c>
      <c r="AV383">
        <v>18.2</v>
      </c>
      <c r="AW383" t="s">
        <v>397</v>
      </c>
      <c r="AX383" t="s">
        <v>3059</v>
      </c>
    </row>
    <row r="384" spans="1:50">
      <c r="A384" s="1">
        <f>HYPERLINK("https://lsnyc.legalserver.org/matter/dynamic-profile/view/1877019","18-1877019")</f>
        <v>0</v>
      </c>
      <c r="B384" t="s">
        <v>50</v>
      </c>
      <c r="C384" t="s">
        <v>152</v>
      </c>
      <c r="D384" t="s">
        <v>163</v>
      </c>
      <c r="E384" t="s">
        <v>358</v>
      </c>
      <c r="G384" t="s">
        <v>516</v>
      </c>
      <c r="H384" t="s">
        <v>1027</v>
      </c>
      <c r="I384" t="s">
        <v>1365</v>
      </c>
      <c r="J384" t="s">
        <v>1520</v>
      </c>
      <c r="K384" t="s">
        <v>1643</v>
      </c>
      <c r="L384">
        <v>10030</v>
      </c>
      <c r="M384" t="s">
        <v>1670</v>
      </c>
      <c r="P384" t="s">
        <v>1855</v>
      </c>
      <c r="Q384" t="s">
        <v>1936</v>
      </c>
      <c r="R384" t="s">
        <v>1962</v>
      </c>
      <c r="T384" t="s">
        <v>1671</v>
      </c>
      <c r="V384" t="s">
        <v>1972</v>
      </c>
      <c r="X384" t="s">
        <v>358</v>
      </c>
      <c r="Y384">
        <v>1950</v>
      </c>
      <c r="Z384" t="s">
        <v>2008</v>
      </c>
      <c r="AA384" t="s">
        <v>2013</v>
      </c>
      <c r="AC384" t="s">
        <v>2343</v>
      </c>
      <c r="AD384" t="s">
        <v>2772</v>
      </c>
      <c r="AE384">
        <v>30</v>
      </c>
      <c r="AF384" t="s">
        <v>2902</v>
      </c>
      <c r="AG384" t="s">
        <v>1754</v>
      </c>
      <c r="AH384">
        <v>13</v>
      </c>
      <c r="AJ384">
        <v>2</v>
      </c>
      <c r="AK384">
        <v>4</v>
      </c>
      <c r="AL384">
        <v>14.95</v>
      </c>
      <c r="AO384" t="s">
        <v>2926</v>
      </c>
      <c r="AP384">
        <v>5044</v>
      </c>
      <c r="AV384">
        <v>10.65</v>
      </c>
      <c r="AW384" t="s">
        <v>343</v>
      </c>
      <c r="AX384" t="s">
        <v>3051</v>
      </c>
    </row>
    <row r="385" spans="1:50">
      <c r="A385" s="1">
        <f>HYPERLINK("https://lsnyc.legalserver.org/matter/dynamic-profile/view/1879168","18-1879168")</f>
        <v>0</v>
      </c>
      <c r="B385" t="s">
        <v>50</v>
      </c>
      <c r="C385" t="s">
        <v>57</v>
      </c>
      <c r="D385" t="s">
        <v>164</v>
      </c>
      <c r="E385" t="s">
        <v>250</v>
      </c>
      <c r="F385" t="s">
        <v>174</v>
      </c>
      <c r="G385" t="s">
        <v>662</v>
      </c>
      <c r="H385" t="s">
        <v>687</v>
      </c>
      <c r="I385" t="s">
        <v>1366</v>
      </c>
      <c r="J385" t="s">
        <v>1490</v>
      </c>
      <c r="K385" t="s">
        <v>1641</v>
      </c>
      <c r="L385">
        <v>10452</v>
      </c>
      <c r="M385" t="s">
        <v>1670</v>
      </c>
      <c r="Q385" t="s">
        <v>1938</v>
      </c>
      <c r="R385" t="s">
        <v>1962</v>
      </c>
      <c r="S385" t="s">
        <v>1968</v>
      </c>
      <c r="T385" t="s">
        <v>1671</v>
      </c>
      <c r="V385" t="s">
        <v>1972</v>
      </c>
      <c r="X385" t="s">
        <v>250</v>
      </c>
      <c r="Y385">
        <v>1321</v>
      </c>
      <c r="Z385" t="s">
        <v>2006</v>
      </c>
      <c r="AB385" t="s">
        <v>2031</v>
      </c>
      <c r="AC385" t="s">
        <v>2344</v>
      </c>
      <c r="AD385" t="s">
        <v>2773</v>
      </c>
      <c r="AE385">
        <v>58</v>
      </c>
      <c r="AG385" t="s">
        <v>2917</v>
      </c>
      <c r="AH385">
        <v>4</v>
      </c>
      <c r="AJ385">
        <v>1</v>
      </c>
      <c r="AK385">
        <v>3</v>
      </c>
      <c r="AL385">
        <v>0</v>
      </c>
      <c r="AO385" t="s">
        <v>2927</v>
      </c>
      <c r="AP385">
        <v>0</v>
      </c>
      <c r="AV385">
        <v>0.5</v>
      </c>
      <c r="AW385" t="s">
        <v>247</v>
      </c>
      <c r="AX385" t="s">
        <v>3046</v>
      </c>
    </row>
    <row r="386" spans="1:50">
      <c r="A386" s="1">
        <f>HYPERLINK("https://lsnyc.legalserver.org/matter/dynamic-profile/view/1888891","19-1888891")</f>
        <v>0</v>
      </c>
      <c r="B386" t="s">
        <v>50</v>
      </c>
      <c r="C386" t="s">
        <v>66</v>
      </c>
      <c r="D386" t="s">
        <v>164</v>
      </c>
      <c r="E386" t="s">
        <v>237</v>
      </c>
      <c r="F386" t="s">
        <v>361</v>
      </c>
      <c r="G386" t="s">
        <v>479</v>
      </c>
      <c r="H386" t="s">
        <v>1028</v>
      </c>
      <c r="I386" t="s">
        <v>1367</v>
      </c>
      <c r="J386" t="s">
        <v>1477</v>
      </c>
      <c r="K386" t="s">
        <v>1644</v>
      </c>
      <c r="L386">
        <v>11233</v>
      </c>
      <c r="M386" t="s">
        <v>1670</v>
      </c>
      <c r="P386" t="s">
        <v>1856</v>
      </c>
      <c r="Q386" t="s">
        <v>1936</v>
      </c>
      <c r="R386" t="s">
        <v>1960</v>
      </c>
      <c r="S386" t="s">
        <v>1969</v>
      </c>
      <c r="T386" t="s">
        <v>1671</v>
      </c>
      <c r="V386" t="s">
        <v>1972</v>
      </c>
      <c r="W386" t="s">
        <v>1984</v>
      </c>
      <c r="X386" t="s">
        <v>327</v>
      </c>
      <c r="Y386">
        <v>1700</v>
      </c>
      <c r="Z386" t="s">
        <v>2009</v>
      </c>
      <c r="AA386" t="s">
        <v>2020</v>
      </c>
      <c r="AB386" t="s">
        <v>2029</v>
      </c>
      <c r="AC386" t="s">
        <v>2345</v>
      </c>
      <c r="AD386" t="s">
        <v>2774</v>
      </c>
      <c r="AE386">
        <v>0</v>
      </c>
      <c r="AF386" t="s">
        <v>2902</v>
      </c>
      <c r="AG386" t="s">
        <v>2915</v>
      </c>
      <c r="AH386">
        <v>8</v>
      </c>
      <c r="AJ386">
        <v>2</v>
      </c>
      <c r="AK386">
        <v>2</v>
      </c>
      <c r="AL386">
        <v>36.4</v>
      </c>
      <c r="AO386" t="s">
        <v>2926</v>
      </c>
      <c r="AP386">
        <v>9372</v>
      </c>
      <c r="AV386">
        <v>17.6</v>
      </c>
      <c r="AW386" t="s">
        <v>361</v>
      </c>
      <c r="AX386" t="s">
        <v>3059</v>
      </c>
    </row>
    <row r="387" spans="1:50">
      <c r="A387" s="1">
        <f>HYPERLINK("https://lsnyc.legalserver.org/matter/dynamic-profile/view/1886736","18-1886736")</f>
        <v>0</v>
      </c>
      <c r="B387" t="s">
        <v>50</v>
      </c>
      <c r="C387" t="s">
        <v>129</v>
      </c>
      <c r="D387" t="s">
        <v>164</v>
      </c>
      <c r="E387" t="s">
        <v>359</v>
      </c>
      <c r="F387" t="s">
        <v>361</v>
      </c>
      <c r="G387" t="s">
        <v>479</v>
      </c>
      <c r="H387" t="s">
        <v>1028</v>
      </c>
      <c r="I387" t="s">
        <v>1367</v>
      </c>
      <c r="J387" t="s">
        <v>1477</v>
      </c>
      <c r="K387" t="s">
        <v>1644</v>
      </c>
      <c r="L387">
        <v>11233</v>
      </c>
      <c r="M387" t="s">
        <v>1670</v>
      </c>
      <c r="P387" t="s">
        <v>1857</v>
      </c>
      <c r="Q387" t="s">
        <v>1946</v>
      </c>
      <c r="R387" t="s">
        <v>1958</v>
      </c>
      <c r="S387" t="s">
        <v>1965</v>
      </c>
      <c r="T387" t="s">
        <v>1671</v>
      </c>
      <c r="V387" t="s">
        <v>1981</v>
      </c>
      <c r="W387" t="s">
        <v>1984</v>
      </c>
      <c r="X387" t="s">
        <v>319</v>
      </c>
      <c r="Y387">
        <v>1700</v>
      </c>
      <c r="Z387" t="s">
        <v>2009</v>
      </c>
      <c r="AA387" t="s">
        <v>2020</v>
      </c>
      <c r="AB387" t="s">
        <v>2035</v>
      </c>
      <c r="AC387" t="s">
        <v>2345</v>
      </c>
      <c r="AD387" t="s">
        <v>2774</v>
      </c>
      <c r="AE387">
        <v>8</v>
      </c>
      <c r="AF387" t="s">
        <v>2902</v>
      </c>
      <c r="AG387" t="s">
        <v>2915</v>
      </c>
      <c r="AH387">
        <v>19</v>
      </c>
      <c r="AJ387">
        <v>1</v>
      </c>
      <c r="AK387">
        <v>3</v>
      </c>
      <c r="AL387">
        <v>21.99</v>
      </c>
      <c r="AO387" t="s">
        <v>2926</v>
      </c>
      <c r="AP387">
        <v>5520</v>
      </c>
      <c r="AV387">
        <v>1.75</v>
      </c>
      <c r="AW387" t="s">
        <v>347</v>
      </c>
      <c r="AX387" t="s">
        <v>129</v>
      </c>
    </row>
    <row r="388" spans="1:50">
      <c r="A388" s="1">
        <f>HYPERLINK("https://lsnyc.legalserver.org/matter/dynamic-profile/view/1887643","19-1887643")</f>
        <v>0</v>
      </c>
      <c r="B388" t="s">
        <v>50</v>
      </c>
      <c r="C388" t="s">
        <v>119</v>
      </c>
      <c r="D388" t="s">
        <v>163</v>
      </c>
      <c r="E388" t="s">
        <v>271</v>
      </c>
      <c r="G388" t="s">
        <v>462</v>
      </c>
      <c r="H388" t="s">
        <v>914</v>
      </c>
      <c r="I388" t="s">
        <v>1368</v>
      </c>
      <c r="J388" t="s">
        <v>1556</v>
      </c>
      <c r="K388" t="s">
        <v>1644</v>
      </c>
      <c r="L388">
        <v>11208</v>
      </c>
      <c r="M388" t="s">
        <v>1670</v>
      </c>
      <c r="P388" t="s">
        <v>1858</v>
      </c>
      <c r="Q388" t="s">
        <v>1936</v>
      </c>
      <c r="R388" t="s">
        <v>1960</v>
      </c>
      <c r="T388" t="s">
        <v>1671</v>
      </c>
      <c r="V388" t="s">
        <v>1972</v>
      </c>
      <c r="X388" t="s">
        <v>266</v>
      </c>
      <c r="Y388">
        <v>2000</v>
      </c>
      <c r="Z388" t="s">
        <v>2009</v>
      </c>
      <c r="AA388" t="s">
        <v>2014</v>
      </c>
      <c r="AC388" t="s">
        <v>2346</v>
      </c>
      <c r="AD388" t="s">
        <v>2775</v>
      </c>
      <c r="AE388">
        <v>2</v>
      </c>
      <c r="AF388" t="s">
        <v>2903</v>
      </c>
      <c r="AG388" t="s">
        <v>2915</v>
      </c>
      <c r="AH388">
        <v>1</v>
      </c>
      <c r="AJ388">
        <v>2</v>
      </c>
      <c r="AK388">
        <v>1</v>
      </c>
      <c r="AL388">
        <v>173.46</v>
      </c>
      <c r="AO388" t="s">
        <v>2926</v>
      </c>
      <c r="AP388">
        <v>36044</v>
      </c>
      <c r="AV388">
        <v>12.8</v>
      </c>
      <c r="AW388" t="s">
        <v>230</v>
      </c>
      <c r="AX388" t="s">
        <v>3059</v>
      </c>
    </row>
    <row r="389" spans="1:50">
      <c r="A389" s="1">
        <f>HYPERLINK("https://lsnyc.legalserver.org/matter/dynamic-profile/view/1899050","19-1899050")</f>
        <v>0</v>
      </c>
      <c r="B389" t="s">
        <v>50</v>
      </c>
      <c r="C389" t="s">
        <v>63</v>
      </c>
      <c r="D389" t="s">
        <v>163</v>
      </c>
      <c r="E389" t="s">
        <v>171</v>
      </c>
      <c r="G389" t="s">
        <v>663</v>
      </c>
      <c r="H389" t="s">
        <v>1029</v>
      </c>
      <c r="I389" t="s">
        <v>1369</v>
      </c>
      <c r="J389" t="s">
        <v>1525</v>
      </c>
      <c r="K389" t="s">
        <v>1641</v>
      </c>
      <c r="L389">
        <v>10452</v>
      </c>
      <c r="M389" t="s">
        <v>1670</v>
      </c>
      <c r="Q389" t="s">
        <v>1940</v>
      </c>
      <c r="R389" t="s">
        <v>1958</v>
      </c>
      <c r="T389" t="s">
        <v>1671</v>
      </c>
      <c r="V389" t="s">
        <v>1972</v>
      </c>
      <c r="X389" t="s">
        <v>1991</v>
      </c>
      <c r="Y389">
        <v>1980</v>
      </c>
      <c r="Z389" t="s">
        <v>2006</v>
      </c>
      <c r="AA389" t="s">
        <v>2015</v>
      </c>
      <c r="AC389" t="s">
        <v>2347</v>
      </c>
      <c r="AD389" t="s">
        <v>2776</v>
      </c>
      <c r="AE389">
        <v>3</v>
      </c>
      <c r="AF389" t="s">
        <v>2904</v>
      </c>
      <c r="AG389" t="s">
        <v>2917</v>
      </c>
      <c r="AH389">
        <v>4</v>
      </c>
      <c r="AJ389">
        <v>2</v>
      </c>
      <c r="AK389">
        <v>3</v>
      </c>
      <c r="AL389">
        <v>47.85</v>
      </c>
      <c r="AO389" t="s">
        <v>2926</v>
      </c>
      <c r="AP389">
        <v>14436</v>
      </c>
      <c r="AV389">
        <v>0</v>
      </c>
      <c r="AX389" t="s">
        <v>3046</v>
      </c>
    </row>
    <row r="390" spans="1:50">
      <c r="A390" s="1">
        <f>HYPERLINK("https://lsnyc.legalserver.org/matter/dynamic-profile/view/1899626","19-1899626")</f>
        <v>0</v>
      </c>
      <c r="B390" t="s">
        <v>50</v>
      </c>
      <c r="C390" t="s">
        <v>153</v>
      </c>
      <c r="D390" t="s">
        <v>163</v>
      </c>
      <c r="E390" t="s">
        <v>291</v>
      </c>
      <c r="G390" t="s">
        <v>664</v>
      </c>
      <c r="H390" t="s">
        <v>1030</v>
      </c>
      <c r="I390" t="s">
        <v>1370</v>
      </c>
      <c r="J390" t="s">
        <v>1525</v>
      </c>
      <c r="K390" t="s">
        <v>1641</v>
      </c>
      <c r="L390">
        <v>10457</v>
      </c>
      <c r="M390" t="s">
        <v>1670</v>
      </c>
      <c r="Q390" t="s">
        <v>1675</v>
      </c>
      <c r="R390" t="s">
        <v>1958</v>
      </c>
      <c r="T390" t="s">
        <v>1671</v>
      </c>
      <c r="V390" t="s">
        <v>1972</v>
      </c>
      <c r="X390" t="s">
        <v>1991</v>
      </c>
      <c r="Y390">
        <v>1226</v>
      </c>
      <c r="Z390" t="s">
        <v>2006</v>
      </c>
      <c r="AA390" t="s">
        <v>2016</v>
      </c>
      <c r="AC390" t="s">
        <v>2348</v>
      </c>
      <c r="AD390" t="s">
        <v>2777</v>
      </c>
      <c r="AE390">
        <v>19</v>
      </c>
      <c r="AF390" t="s">
        <v>2902</v>
      </c>
      <c r="AG390" t="s">
        <v>1754</v>
      </c>
      <c r="AH390">
        <v>27</v>
      </c>
      <c r="AJ390">
        <v>1</v>
      </c>
      <c r="AK390">
        <v>1</v>
      </c>
      <c r="AL390">
        <v>124.19</v>
      </c>
      <c r="AO390" t="s">
        <v>2926</v>
      </c>
      <c r="AP390">
        <v>21000</v>
      </c>
      <c r="AV390">
        <v>0</v>
      </c>
      <c r="AX390" t="s">
        <v>3046</v>
      </c>
    </row>
    <row r="391" spans="1:50">
      <c r="A391" s="1">
        <f>HYPERLINK("https://lsnyc.legalserver.org/matter/dynamic-profile/view/1886545","18-1886545")</f>
        <v>0</v>
      </c>
      <c r="B391" t="s">
        <v>50</v>
      </c>
      <c r="C391" t="s">
        <v>116</v>
      </c>
      <c r="D391" t="s">
        <v>164</v>
      </c>
      <c r="E391" t="s">
        <v>330</v>
      </c>
      <c r="F391" t="s">
        <v>359</v>
      </c>
      <c r="G391" t="s">
        <v>665</v>
      </c>
      <c r="H391" t="s">
        <v>870</v>
      </c>
      <c r="I391" t="s">
        <v>1371</v>
      </c>
      <c r="K391" t="s">
        <v>1643</v>
      </c>
      <c r="L391">
        <v>10026</v>
      </c>
      <c r="M391" t="s">
        <v>1670</v>
      </c>
      <c r="P391" t="s">
        <v>1859</v>
      </c>
      <c r="Q391" t="s">
        <v>1940</v>
      </c>
      <c r="R391" t="s">
        <v>1958</v>
      </c>
      <c r="S391" t="s">
        <v>1965</v>
      </c>
      <c r="T391" t="s">
        <v>1671</v>
      </c>
      <c r="V391" t="s">
        <v>1980</v>
      </c>
      <c r="W391" t="s">
        <v>1984</v>
      </c>
      <c r="X391" t="s">
        <v>174</v>
      </c>
      <c r="Y391">
        <v>629</v>
      </c>
      <c r="Z391" t="s">
        <v>2008</v>
      </c>
      <c r="AA391" t="s">
        <v>2016</v>
      </c>
      <c r="AB391" t="s">
        <v>2029</v>
      </c>
      <c r="AC391" t="s">
        <v>2349</v>
      </c>
      <c r="AD391" t="s">
        <v>2778</v>
      </c>
      <c r="AE391">
        <v>15</v>
      </c>
      <c r="AF391" t="s">
        <v>2904</v>
      </c>
      <c r="AG391" t="s">
        <v>1754</v>
      </c>
      <c r="AH391">
        <v>25</v>
      </c>
      <c r="AJ391">
        <v>2</v>
      </c>
      <c r="AK391">
        <v>1</v>
      </c>
      <c r="AL391">
        <v>125.12</v>
      </c>
      <c r="AO391" t="s">
        <v>2927</v>
      </c>
      <c r="AP391">
        <v>26000</v>
      </c>
      <c r="AV391">
        <v>2</v>
      </c>
      <c r="AW391" t="s">
        <v>174</v>
      </c>
      <c r="AX391" t="s">
        <v>3051</v>
      </c>
    </row>
    <row r="392" spans="1:50">
      <c r="A392" s="1">
        <f>HYPERLINK("https://lsnyc.legalserver.org/matter/dynamic-profile/view/1881071","18-1881071")</f>
        <v>0</v>
      </c>
      <c r="B392" t="s">
        <v>50</v>
      </c>
      <c r="C392" t="s">
        <v>64</v>
      </c>
      <c r="D392" t="s">
        <v>164</v>
      </c>
      <c r="E392" t="s">
        <v>238</v>
      </c>
      <c r="F392" t="s">
        <v>309</v>
      </c>
      <c r="G392" t="s">
        <v>427</v>
      </c>
      <c r="H392" t="s">
        <v>981</v>
      </c>
      <c r="I392" t="s">
        <v>1243</v>
      </c>
      <c r="J392" t="s">
        <v>1617</v>
      </c>
      <c r="K392" t="s">
        <v>1643</v>
      </c>
      <c r="L392">
        <v>10033</v>
      </c>
      <c r="M392" t="s">
        <v>1670</v>
      </c>
      <c r="Q392" t="s">
        <v>1936</v>
      </c>
      <c r="R392" t="s">
        <v>1958</v>
      </c>
      <c r="S392" t="s">
        <v>1965</v>
      </c>
      <c r="T392" t="s">
        <v>1671</v>
      </c>
      <c r="V392" t="s">
        <v>1972</v>
      </c>
      <c r="X392" t="s">
        <v>238</v>
      </c>
      <c r="Y392">
        <v>1300</v>
      </c>
      <c r="Z392" t="s">
        <v>2008</v>
      </c>
      <c r="AA392" t="s">
        <v>2020</v>
      </c>
      <c r="AB392" t="s">
        <v>2029</v>
      </c>
      <c r="AC392" t="s">
        <v>2350</v>
      </c>
      <c r="AD392" t="s">
        <v>2779</v>
      </c>
      <c r="AE392">
        <v>232</v>
      </c>
      <c r="AF392" t="s">
        <v>2902</v>
      </c>
      <c r="AG392" t="s">
        <v>1754</v>
      </c>
      <c r="AH392">
        <v>16</v>
      </c>
      <c r="AJ392">
        <v>2</v>
      </c>
      <c r="AK392">
        <v>1</v>
      </c>
      <c r="AL392">
        <v>70.56999999999999</v>
      </c>
      <c r="AO392" t="s">
        <v>2926</v>
      </c>
      <c r="AP392">
        <v>14664</v>
      </c>
      <c r="AQ392" t="s">
        <v>2962</v>
      </c>
      <c r="AV392">
        <v>0.6</v>
      </c>
      <c r="AW392" t="s">
        <v>329</v>
      </c>
      <c r="AX392" t="s">
        <v>3042</v>
      </c>
    </row>
    <row r="393" spans="1:50">
      <c r="A393" s="1">
        <f>HYPERLINK("https://lsnyc.legalserver.org/matter/dynamic-profile/view/1877190","18-1877190")</f>
        <v>0</v>
      </c>
      <c r="B393" t="s">
        <v>50</v>
      </c>
      <c r="C393" t="s">
        <v>64</v>
      </c>
      <c r="D393" t="s">
        <v>163</v>
      </c>
      <c r="E393" t="s">
        <v>360</v>
      </c>
      <c r="G393" t="s">
        <v>427</v>
      </c>
      <c r="H393" t="s">
        <v>981</v>
      </c>
      <c r="I393" t="s">
        <v>1243</v>
      </c>
      <c r="J393" t="s">
        <v>1617</v>
      </c>
      <c r="K393" t="s">
        <v>1643</v>
      </c>
      <c r="L393">
        <v>10033</v>
      </c>
      <c r="M393" t="s">
        <v>1670</v>
      </c>
      <c r="Q393" t="s">
        <v>1939</v>
      </c>
      <c r="R393" t="s">
        <v>1960</v>
      </c>
      <c r="T393" t="s">
        <v>1670</v>
      </c>
      <c r="V393" t="s">
        <v>1972</v>
      </c>
      <c r="X393" t="s">
        <v>360</v>
      </c>
      <c r="Y393">
        <v>1300</v>
      </c>
      <c r="Z393" t="s">
        <v>2008</v>
      </c>
      <c r="AA393" t="s">
        <v>2013</v>
      </c>
      <c r="AC393" t="s">
        <v>2350</v>
      </c>
      <c r="AD393" t="s">
        <v>2779</v>
      </c>
      <c r="AE393">
        <v>232</v>
      </c>
      <c r="AF393" t="s">
        <v>2902</v>
      </c>
      <c r="AG393" t="s">
        <v>1754</v>
      </c>
      <c r="AH393">
        <v>16</v>
      </c>
      <c r="AJ393">
        <v>2</v>
      </c>
      <c r="AK393">
        <v>1</v>
      </c>
      <c r="AL393">
        <v>70.56999999999999</v>
      </c>
      <c r="AO393" t="s">
        <v>2926</v>
      </c>
      <c r="AP393">
        <v>14664</v>
      </c>
      <c r="AV393">
        <v>1.6</v>
      </c>
      <c r="AW393" t="s">
        <v>404</v>
      </c>
      <c r="AX393" t="s">
        <v>3042</v>
      </c>
    </row>
    <row r="394" spans="1:50">
      <c r="A394" s="1">
        <f>HYPERLINK("https://lsnyc.legalserver.org/matter/dynamic-profile/view/1873919","18-1873919")</f>
        <v>0</v>
      </c>
      <c r="B394" t="s">
        <v>50</v>
      </c>
      <c r="C394" t="s">
        <v>102</v>
      </c>
      <c r="D394" t="s">
        <v>164</v>
      </c>
      <c r="E394" t="s">
        <v>352</v>
      </c>
      <c r="F394" t="s">
        <v>359</v>
      </c>
      <c r="G394" t="s">
        <v>666</v>
      </c>
      <c r="H394" t="s">
        <v>1031</v>
      </c>
      <c r="I394" t="s">
        <v>1372</v>
      </c>
      <c r="J394">
        <v>6</v>
      </c>
      <c r="K394" t="s">
        <v>1643</v>
      </c>
      <c r="L394">
        <v>10029</v>
      </c>
      <c r="M394" t="s">
        <v>1670</v>
      </c>
      <c r="Q394" t="s">
        <v>1675</v>
      </c>
      <c r="R394" t="s">
        <v>1958</v>
      </c>
      <c r="S394" t="s">
        <v>1965</v>
      </c>
      <c r="T394" t="s">
        <v>1671</v>
      </c>
      <c r="V394" t="s">
        <v>1972</v>
      </c>
      <c r="W394" t="s">
        <v>1984</v>
      </c>
      <c r="X394" t="s">
        <v>232</v>
      </c>
      <c r="Y394">
        <v>1108</v>
      </c>
      <c r="Z394" t="s">
        <v>2008</v>
      </c>
      <c r="AA394" t="s">
        <v>2016</v>
      </c>
      <c r="AB394" t="s">
        <v>2029</v>
      </c>
      <c r="AC394" t="s">
        <v>2351</v>
      </c>
      <c r="AD394" t="s">
        <v>2780</v>
      </c>
      <c r="AE394">
        <v>15</v>
      </c>
      <c r="AF394" t="s">
        <v>2902</v>
      </c>
      <c r="AG394" t="s">
        <v>2915</v>
      </c>
      <c r="AH394">
        <v>11</v>
      </c>
      <c r="AJ394">
        <v>1</v>
      </c>
      <c r="AK394">
        <v>1</v>
      </c>
      <c r="AL394">
        <v>67.91</v>
      </c>
      <c r="AO394" t="s">
        <v>2927</v>
      </c>
      <c r="AP394">
        <v>11178</v>
      </c>
      <c r="AV394">
        <v>3.1</v>
      </c>
      <c r="AW394" t="s">
        <v>264</v>
      </c>
      <c r="AX394" t="s">
        <v>3052</v>
      </c>
    </row>
    <row r="395" spans="1:50">
      <c r="A395" s="1">
        <f>HYPERLINK("https://lsnyc.legalserver.org/matter/dynamic-profile/view/1871927","18-1871927")</f>
        <v>0</v>
      </c>
      <c r="B395" t="s">
        <v>50</v>
      </c>
      <c r="C395" t="s">
        <v>57</v>
      </c>
      <c r="D395" t="s">
        <v>164</v>
      </c>
      <c r="E395" t="s">
        <v>241</v>
      </c>
      <c r="F395" t="s">
        <v>194</v>
      </c>
      <c r="G395" t="s">
        <v>530</v>
      </c>
      <c r="H395" t="s">
        <v>1032</v>
      </c>
      <c r="I395" t="s">
        <v>1373</v>
      </c>
      <c r="J395" t="s">
        <v>1490</v>
      </c>
      <c r="K395" t="s">
        <v>1641</v>
      </c>
      <c r="L395">
        <v>10468</v>
      </c>
      <c r="M395" t="s">
        <v>1670</v>
      </c>
      <c r="Q395" t="s">
        <v>1936</v>
      </c>
      <c r="R395" t="s">
        <v>1958</v>
      </c>
      <c r="S395" t="s">
        <v>1965</v>
      </c>
      <c r="T395" t="s">
        <v>1671</v>
      </c>
      <c r="V395" t="s">
        <v>1972</v>
      </c>
      <c r="W395" t="s">
        <v>1984</v>
      </c>
      <c r="X395" t="s">
        <v>241</v>
      </c>
      <c r="Y395">
        <v>1227</v>
      </c>
      <c r="Z395" t="s">
        <v>2006</v>
      </c>
      <c r="AA395" t="s">
        <v>2015</v>
      </c>
      <c r="AB395" t="s">
        <v>2029</v>
      </c>
      <c r="AC395" t="s">
        <v>2352</v>
      </c>
      <c r="AD395" t="s">
        <v>2781</v>
      </c>
      <c r="AE395">
        <v>0</v>
      </c>
      <c r="AF395" t="s">
        <v>2904</v>
      </c>
      <c r="AG395" t="s">
        <v>1754</v>
      </c>
      <c r="AH395">
        <v>16</v>
      </c>
      <c r="AJ395">
        <v>1</v>
      </c>
      <c r="AK395">
        <v>1</v>
      </c>
      <c r="AL395">
        <v>167.22</v>
      </c>
      <c r="AO395" t="s">
        <v>2926</v>
      </c>
      <c r="AP395">
        <v>27524</v>
      </c>
      <c r="AV395">
        <v>0.6</v>
      </c>
      <c r="AW395" t="s">
        <v>194</v>
      </c>
      <c r="AX395" t="s">
        <v>3046</v>
      </c>
    </row>
    <row r="396" spans="1:50">
      <c r="A396" s="1">
        <f>HYPERLINK("https://lsnyc.legalserver.org/matter/dynamic-profile/view/1902469","19-1902469")</f>
        <v>0</v>
      </c>
      <c r="B396" t="s">
        <v>50</v>
      </c>
      <c r="C396" t="s">
        <v>154</v>
      </c>
      <c r="D396" t="s">
        <v>164</v>
      </c>
      <c r="E396" t="s">
        <v>361</v>
      </c>
      <c r="F396" t="s">
        <v>400</v>
      </c>
      <c r="G396" t="s">
        <v>667</v>
      </c>
      <c r="H396" t="s">
        <v>1033</v>
      </c>
      <c r="I396" t="s">
        <v>1374</v>
      </c>
      <c r="J396">
        <v>152</v>
      </c>
      <c r="K396" t="s">
        <v>1643</v>
      </c>
      <c r="L396">
        <v>10044</v>
      </c>
      <c r="M396" t="s">
        <v>1670</v>
      </c>
      <c r="P396" t="s">
        <v>1860</v>
      </c>
      <c r="Q396" t="s">
        <v>1936</v>
      </c>
      <c r="R396" t="s">
        <v>1958</v>
      </c>
      <c r="S396" t="s">
        <v>1965</v>
      </c>
      <c r="T396" t="s">
        <v>1671</v>
      </c>
      <c r="V396" t="s">
        <v>1972</v>
      </c>
      <c r="W396" t="s">
        <v>1987</v>
      </c>
      <c r="X396" t="s">
        <v>361</v>
      </c>
      <c r="Y396">
        <v>1127</v>
      </c>
      <c r="Z396" t="s">
        <v>2008</v>
      </c>
      <c r="AA396" t="s">
        <v>2014</v>
      </c>
      <c r="AB396" t="s">
        <v>2029</v>
      </c>
      <c r="AC396" t="s">
        <v>2353</v>
      </c>
      <c r="AD396" t="s">
        <v>2782</v>
      </c>
      <c r="AE396">
        <v>0</v>
      </c>
      <c r="AF396" t="s">
        <v>2904</v>
      </c>
      <c r="AG396" t="s">
        <v>2915</v>
      </c>
      <c r="AH396">
        <v>10</v>
      </c>
      <c r="AJ396">
        <v>1</v>
      </c>
      <c r="AK396">
        <v>2</v>
      </c>
      <c r="AL396">
        <v>153.25</v>
      </c>
      <c r="AO396" t="s">
        <v>2926</v>
      </c>
      <c r="AP396">
        <v>32688</v>
      </c>
      <c r="AV396">
        <v>1</v>
      </c>
      <c r="AW396" t="s">
        <v>361</v>
      </c>
      <c r="AX396" t="s">
        <v>3048</v>
      </c>
    </row>
    <row r="397" spans="1:50">
      <c r="A397" s="1">
        <f>HYPERLINK("https://lsnyc.legalserver.org/matter/dynamic-profile/view/1895967","19-1895967")</f>
        <v>0</v>
      </c>
      <c r="B397" t="s">
        <v>50</v>
      </c>
      <c r="C397" t="s">
        <v>74</v>
      </c>
      <c r="D397" t="s">
        <v>164</v>
      </c>
      <c r="E397" t="s">
        <v>339</v>
      </c>
      <c r="F397" t="s">
        <v>401</v>
      </c>
      <c r="G397" t="s">
        <v>668</v>
      </c>
      <c r="H397" t="s">
        <v>1034</v>
      </c>
      <c r="I397" t="s">
        <v>1312</v>
      </c>
      <c r="K397" t="s">
        <v>1641</v>
      </c>
      <c r="L397">
        <v>10459</v>
      </c>
      <c r="M397" t="s">
        <v>1670</v>
      </c>
      <c r="P397" t="s">
        <v>1691</v>
      </c>
      <c r="Q397" t="s">
        <v>1955</v>
      </c>
      <c r="R397" t="s">
        <v>1958</v>
      </c>
      <c r="S397" t="s">
        <v>1965</v>
      </c>
      <c r="V397" t="s">
        <v>1973</v>
      </c>
      <c r="W397" t="s">
        <v>1984</v>
      </c>
      <c r="X397" t="s">
        <v>1991</v>
      </c>
      <c r="Y397">
        <v>419</v>
      </c>
      <c r="Z397" t="s">
        <v>2006</v>
      </c>
      <c r="AA397" t="s">
        <v>2015</v>
      </c>
      <c r="AB397" t="s">
        <v>2044</v>
      </c>
      <c r="AC397" t="s">
        <v>2354</v>
      </c>
      <c r="AD397" t="s">
        <v>2783</v>
      </c>
      <c r="AE397">
        <v>48</v>
      </c>
      <c r="AF397" t="s">
        <v>2910</v>
      </c>
      <c r="AG397" t="s">
        <v>2922</v>
      </c>
      <c r="AH397">
        <v>20</v>
      </c>
      <c r="AJ397">
        <v>2</v>
      </c>
      <c r="AK397">
        <v>1</v>
      </c>
      <c r="AL397">
        <v>43.38</v>
      </c>
      <c r="AP397">
        <v>9252</v>
      </c>
      <c r="AU397" t="s">
        <v>3021</v>
      </c>
      <c r="AV397">
        <v>1</v>
      </c>
      <c r="AW397" t="s">
        <v>339</v>
      </c>
      <c r="AX397" t="s">
        <v>74</v>
      </c>
    </row>
    <row r="398" spans="1:50">
      <c r="A398" s="1">
        <f>HYPERLINK("https://lsnyc.legalserver.org/matter/dynamic-profile/view/1876521","18-1876521")</f>
        <v>0</v>
      </c>
      <c r="B398" t="s">
        <v>50</v>
      </c>
      <c r="C398" t="s">
        <v>135</v>
      </c>
      <c r="D398" t="s">
        <v>164</v>
      </c>
      <c r="E398" t="s">
        <v>362</v>
      </c>
      <c r="F398" t="s">
        <v>359</v>
      </c>
      <c r="G398" t="s">
        <v>669</v>
      </c>
      <c r="H398" t="s">
        <v>1002</v>
      </c>
      <c r="I398" t="s">
        <v>1375</v>
      </c>
      <c r="J398" t="s">
        <v>1581</v>
      </c>
      <c r="K398" t="s">
        <v>1644</v>
      </c>
      <c r="L398">
        <v>11212</v>
      </c>
      <c r="M398" t="s">
        <v>1670</v>
      </c>
      <c r="P398" t="s">
        <v>1693</v>
      </c>
      <c r="Q398" t="s">
        <v>1942</v>
      </c>
      <c r="R398" t="s">
        <v>1962</v>
      </c>
      <c r="S398" t="s">
        <v>1968</v>
      </c>
      <c r="T398" t="s">
        <v>1670</v>
      </c>
      <c r="V398" t="s">
        <v>1973</v>
      </c>
      <c r="W398" t="s">
        <v>1984</v>
      </c>
      <c r="X398" t="s">
        <v>362</v>
      </c>
      <c r="Y398">
        <v>2150</v>
      </c>
      <c r="Z398" t="s">
        <v>2009</v>
      </c>
      <c r="AB398" t="s">
        <v>2041</v>
      </c>
      <c r="AC398" t="s">
        <v>2355</v>
      </c>
      <c r="AD398" t="s">
        <v>2784</v>
      </c>
      <c r="AE398">
        <v>35</v>
      </c>
      <c r="AF398" t="s">
        <v>2909</v>
      </c>
      <c r="AG398" t="s">
        <v>2915</v>
      </c>
      <c r="AH398">
        <v>27</v>
      </c>
      <c r="AJ398">
        <v>1</v>
      </c>
      <c r="AK398">
        <v>1</v>
      </c>
      <c r="AL398">
        <v>14.37</v>
      </c>
      <c r="AO398" t="s">
        <v>2926</v>
      </c>
      <c r="AP398">
        <v>2366</v>
      </c>
      <c r="AQ398" t="s">
        <v>2963</v>
      </c>
      <c r="AV398">
        <v>2.5</v>
      </c>
      <c r="AW398" t="s">
        <v>359</v>
      </c>
      <c r="AX398" t="s">
        <v>135</v>
      </c>
    </row>
    <row r="399" spans="1:50">
      <c r="A399" s="1">
        <f>HYPERLINK("https://lsnyc.legalserver.org/matter/dynamic-profile/view/1903495","19-1903495")</f>
        <v>0</v>
      </c>
      <c r="B399" t="s">
        <v>50</v>
      </c>
      <c r="C399" t="s">
        <v>63</v>
      </c>
      <c r="D399" t="s">
        <v>163</v>
      </c>
      <c r="E399" t="s">
        <v>222</v>
      </c>
      <c r="G399" t="s">
        <v>670</v>
      </c>
      <c r="H399" t="s">
        <v>1035</v>
      </c>
      <c r="I399" t="s">
        <v>1376</v>
      </c>
      <c r="J399">
        <v>1</v>
      </c>
      <c r="K399" t="s">
        <v>1641</v>
      </c>
      <c r="L399">
        <v>10456</v>
      </c>
      <c r="M399" t="s">
        <v>1670</v>
      </c>
      <c r="P399" t="s">
        <v>1861</v>
      </c>
      <c r="Q399" t="s">
        <v>1939</v>
      </c>
      <c r="R399" t="s">
        <v>1960</v>
      </c>
      <c r="T399" t="s">
        <v>1671</v>
      </c>
      <c r="V399" t="s">
        <v>1972</v>
      </c>
      <c r="W399" t="s">
        <v>1984</v>
      </c>
      <c r="X399" t="s">
        <v>1991</v>
      </c>
      <c r="Y399">
        <v>0</v>
      </c>
      <c r="Z399" t="s">
        <v>2006</v>
      </c>
      <c r="AA399" t="s">
        <v>2015</v>
      </c>
      <c r="AC399" t="s">
        <v>2356</v>
      </c>
      <c r="AD399" t="s">
        <v>2785</v>
      </c>
      <c r="AE399">
        <v>2</v>
      </c>
      <c r="AF399" t="s">
        <v>2904</v>
      </c>
      <c r="AG399" t="s">
        <v>2915</v>
      </c>
      <c r="AH399">
        <v>20</v>
      </c>
      <c r="AJ399">
        <v>2</v>
      </c>
      <c r="AK399">
        <v>1</v>
      </c>
      <c r="AL399">
        <v>79.94</v>
      </c>
      <c r="AO399" t="s">
        <v>2926</v>
      </c>
      <c r="AP399">
        <v>17052</v>
      </c>
      <c r="AV399">
        <v>4.9</v>
      </c>
      <c r="AW399" t="s">
        <v>354</v>
      </c>
      <c r="AX399" t="s">
        <v>63</v>
      </c>
    </row>
    <row r="400" spans="1:50">
      <c r="A400" s="1">
        <f>HYPERLINK("https://lsnyc.legalserver.org/matter/dynamic-profile/view/1899060","19-1899060")</f>
        <v>0</v>
      </c>
      <c r="B400" t="s">
        <v>50</v>
      </c>
      <c r="C400" t="s">
        <v>63</v>
      </c>
      <c r="D400" t="s">
        <v>163</v>
      </c>
      <c r="E400" t="s">
        <v>171</v>
      </c>
      <c r="G400" t="s">
        <v>670</v>
      </c>
      <c r="H400" t="s">
        <v>1035</v>
      </c>
      <c r="I400" t="s">
        <v>1376</v>
      </c>
      <c r="J400">
        <v>1</v>
      </c>
      <c r="K400" t="s">
        <v>1641</v>
      </c>
      <c r="L400">
        <v>10456</v>
      </c>
      <c r="M400" t="s">
        <v>1670</v>
      </c>
      <c r="P400" t="s">
        <v>1862</v>
      </c>
      <c r="Q400" t="s">
        <v>1940</v>
      </c>
      <c r="R400" t="s">
        <v>1960</v>
      </c>
      <c r="T400" t="s">
        <v>1671</v>
      </c>
      <c r="V400" t="s">
        <v>1972</v>
      </c>
      <c r="W400" t="s">
        <v>1984</v>
      </c>
      <c r="X400" t="s">
        <v>1991</v>
      </c>
      <c r="Y400">
        <v>0</v>
      </c>
      <c r="Z400" t="s">
        <v>2006</v>
      </c>
      <c r="AA400" t="s">
        <v>2015</v>
      </c>
      <c r="AC400" t="s">
        <v>2356</v>
      </c>
      <c r="AD400" t="s">
        <v>2785</v>
      </c>
      <c r="AE400">
        <v>2</v>
      </c>
      <c r="AF400" t="s">
        <v>2904</v>
      </c>
      <c r="AG400" t="s">
        <v>2915</v>
      </c>
      <c r="AH400">
        <v>20</v>
      </c>
      <c r="AJ400">
        <v>2</v>
      </c>
      <c r="AK400">
        <v>1</v>
      </c>
      <c r="AL400">
        <v>91.77</v>
      </c>
      <c r="AO400" t="s">
        <v>2926</v>
      </c>
      <c r="AP400">
        <v>19574</v>
      </c>
      <c r="AV400">
        <v>33.8</v>
      </c>
      <c r="AW400" t="s">
        <v>388</v>
      </c>
      <c r="AX400" t="s">
        <v>3046</v>
      </c>
    </row>
    <row r="401" spans="1:50">
      <c r="A401" s="1">
        <f>HYPERLINK("https://lsnyc.legalserver.org/matter/dynamic-profile/view/1887194","19-1887194")</f>
        <v>0</v>
      </c>
      <c r="B401" t="s">
        <v>50</v>
      </c>
      <c r="C401" t="s">
        <v>101</v>
      </c>
      <c r="D401" t="s">
        <v>164</v>
      </c>
      <c r="E401" t="s">
        <v>319</v>
      </c>
      <c r="F401" t="s">
        <v>354</v>
      </c>
      <c r="G401" t="s">
        <v>671</v>
      </c>
      <c r="H401" t="s">
        <v>1036</v>
      </c>
      <c r="I401" t="s">
        <v>1347</v>
      </c>
      <c r="J401" t="s">
        <v>1618</v>
      </c>
      <c r="K401" t="s">
        <v>1643</v>
      </c>
      <c r="L401">
        <v>10029</v>
      </c>
      <c r="M401" t="s">
        <v>1670</v>
      </c>
      <c r="P401" t="s">
        <v>1863</v>
      </c>
      <c r="Q401" t="s">
        <v>1940</v>
      </c>
      <c r="R401" t="s">
        <v>1958</v>
      </c>
      <c r="S401" t="s">
        <v>1965</v>
      </c>
      <c r="T401" t="s">
        <v>1671</v>
      </c>
      <c r="V401" t="s">
        <v>1972</v>
      </c>
      <c r="W401" t="s">
        <v>1984</v>
      </c>
      <c r="X401" t="s">
        <v>186</v>
      </c>
      <c r="Y401">
        <v>3600</v>
      </c>
      <c r="Z401" t="s">
        <v>2008</v>
      </c>
      <c r="AA401" t="s">
        <v>2020</v>
      </c>
      <c r="AB401" t="s">
        <v>2029</v>
      </c>
      <c r="AC401" t="s">
        <v>2357</v>
      </c>
      <c r="AD401" t="s">
        <v>2786</v>
      </c>
      <c r="AE401">
        <v>130</v>
      </c>
      <c r="AF401" t="s">
        <v>2904</v>
      </c>
      <c r="AG401" t="s">
        <v>2915</v>
      </c>
      <c r="AH401">
        <v>6</v>
      </c>
      <c r="AJ401">
        <v>1</v>
      </c>
      <c r="AK401">
        <v>2</v>
      </c>
      <c r="AL401">
        <v>41.69</v>
      </c>
      <c r="AO401" t="s">
        <v>2926</v>
      </c>
      <c r="AP401">
        <v>8664</v>
      </c>
      <c r="AV401">
        <v>1.55</v>
      </c>
      <c r="AW401" t="s">
        <v>237</v>
      </c>
      <c r="AX401" t="s">
        <v>3083</v>
      </c>
    </row>
    <row r="402" spans="1:50">
      <c r="A402" s="1">
        <f>HYPERLINK("https://lsnyc.legalserver.org/matter/dynamic-profile/view/1884474","18-1884474")</f>
        <v>0</v>
      </c>
      <c r="B402" t="s">
        <v>50</v>
      </c>
      <c r="C402" t="s">
        <v>123</v>
      </c>
      <c r="D402" t="s">
        <v>164</v>
      </c>
      <c r="E402" t="s">
        <v>178</v>
      </c>
      <c r="F402" t="s">
        <v>303</v>
      </c>
      <c r="G402" t="s">
        <v>450</v>
      </c>
      <c r="H402" t="s">
        <v>914</v>
      </c>
      <c r="I402" t="s">
        <v>1377</v>
      </c>
      <c r="J402" t="s">
        <v>1488</v>
      </c>
      <c r="K402" t="s">
        <v>1641</v>
      </c>
      <c r="L402">
        <v>10460</v>
      </c>
      <c r="M402" t="s">
        <v>1670</v>
      </c>
      <c r="Q402" t="s">
        <v>1936</v>
      </c>
      <c r="R402" t="s">
        <v>1962</v>
      </c>
      <c r="S402" t="s">
        <v>1965</v>
      </c>
      <c r="V402" t="s">
        <v>1972</v>
      </c>
      <c r="X402" t="s">
        <v>1993</v>
      </c>
      <c r="Y402">
        <v>1268</v>
      </c>
      <c r="Z402" t="s">
        <v>2006</v>
      </c>
      <c r="AA402" t="s">
        <v>2017</v>
      </c>
      <c r="AB402" t="s">
        <v>2029</v>
      </c>
      <c r="AC402" t="s">
        <v>2358</v>
      </c>
      <c r="AD402" t="s">
        <v>2787</v>
      </c>
      <c r="AE402">
        <v>12</v>
      </c>
      <c r="AF402" t="s">
        <v>2904</v>
      </c>
      <c r="AG402" t="s">
        <v>2017</v>
      </c>
      <c r="AH402">
        <v>4</v>
      </c>
      <c r="AJ402">
        <v>1</v>
      </c>
      <c r="AK402">
        <v>2</v>
      </c>
      <c r="AL402">
        <v>0</v>
      </c>
      <c r="AO402" t="s">
        <v>2926</v>
      </c>
      <c r="AP402">
        <v>0</v>
      </c>
      <c r="AV402">
        <v>0.9</v>
      </c>
      <c r="AW402" t="s">
        <v>270</v>
      </c>
      <c r="AX402" t="s">
        <v>3083</v>
      </c>
    </row>
    <row r="403" spans="1:50">
      <c r="A403" s="1">
        <f>HYPERLINK("https://lsnyc.legalserver.org/matter/dynamic-profile/view/1873404","18-1873404")</f>
        <v>0</v>
      </c>
      <c r="B403" t="s">
        <v>50</v>
      </c>
      <c r="C403" t="s">
        <v>78</v>
      </c>
      <c r="D403" t="s">
        <v>164</v>
      </c>
      <c r="E403" t="s">
        <v>215</v>
      </c>
      <c r="F403" t="s">
        <v>402</v>
      </c>
      <c r="G403" t="s">
        <v>672</v>
      </c>
      <c r="H403" t="s">
        <v>1037</v>
      </c>
      <c r="I403" t="s">
        <v>1378</v>
      </c>
      <c r="J403" t="s">
        <v>1508</v>
      </c>
      <c r="K403" t="s">
        <v>1646</v>
      </c>
      <c r="L403">
        <v>10301</v>
      </c>
      <c r="M403" t="s">
        <v>1670</v>
      </c>
      <c r="P403" t="s">
        <v>1864</v>
      </c>
      <c r="Q403" t="s">
        <v>1936</v>
      </c>
      <c r="R403" t="s">
        <v>1960</v>
      </c>
      <c r="S403" t="s">
        <v>1969</v>
      </c>
      <c r="T403" t="s">
        <v>1671</v>
      </c>
      <c r="V403" t="s">
        <v>1972</v>
      </c>
      <c r="W403" t="s">
        <v>1984</v>
      </c>
      <c r="X403" t="s">
        <v>215</v>
      </c>
      <c r="Y403">
        <v>1350</v>
      </c>
      <c r="Z403" t="s">
        <v>2010</v>
      </c>
      <c r="AA403" t="s">
        <v>2015</v>
      </c>
      <c r="AB403" t="s">
        <v>2032</v>
      </c>
      <c r="AC403" t="s">
        <v>2359</v>
      </c>
      <c r="AD403" t="s">
        <v>2788</v>
      </c>
      <c r="AE403">
        <v>80</v>
      </c>
      <c r="AF403" t="s">
        <v>2902</v>
      </c>
      <c r="AG403" t="s">
        <v>1754</v>
      </c>
      <c r="AH403">
        <v>-1</v>
      </c>
      <c r="AJ403">
        <v>2</v>
      </c>
      <c r="AK403">
        <v>1</v>
      </c>
      <c r="AL403">
        <v>40.04</v>
      </c>
      <c r="AO403" t="s">
        <v>2926</v>
      </c>
      <c r="AP403">
        <v>8320</v>
      </c>
      <c r="AR403" t="s">
        <v>2978</v>
      </c>
      <c r="AS403" t="s">
        <v>2017</v>
      </c>
      <c r="AT403" t="s">
        <v>2992</v>
      </c>
      <c r="AU403" t="s">
        <v>3022</v>
      </c>
      <c r="AV403">
        <v>5.95</v>
      </c>
      <c r="AW403" t="s">
        <v>402</v>
      </c>
      <c r="AX403" t="s">
        <v>3062</v>
      </c>
    </row>
    <row r="404" spans="1:50">
      <c r="A404" s="1">
        <f>HYPERLINK("https://lsnyc.legalserver.org/matter/dynamic-profile/view/1871420","18-1871420")</f>
        <v>0</v>
      </c>
      <c r="B404" t="s">
        <v>50</v>
      </c>
      <c r="C404" t="s">
        <v>115</v>
      </c>
      <c r="D404" t="s">
        <v>164</v>
      </c>
      <c r="E404" t="s">
        <v>363</v>
      </c>
      <c r="F404" t="s">
        <v>359</v>
      </c>
      <c r="G404" t="s">
        <v>571</v>
      </c>
      <c r="H404" t="s">
        <v>487</v>
      </c>
      <c r="I404" t="s">
        <v>1379</v>
      </c>
      <c r="J404" t="s">
        <v>1619</v>
      </c>
      <c r="K404" t="s">
        <v>1641</v>
      </c>
      <c r="L404">
        <v>10468</v>
      </c>
      <c r="M404" t="s">
        <v>1670</v>
      </c>
      <c r="Q404" t="s">
        <v>1939</v>
      </c>
      <c r="R404" t="s">
        <v>1958</v>
      </c>
      <c r="S404" t="s">
        <v>1965</v>
      </c>
      <c r="T404" t="s">
        <v>1670</v>
      </c>
      <c r="V404" t="s">
        <v>1972</v>
      </c>
      <c r="X404" t="s">
        <v>363</v>
      </c>
      <c r="Y404">
        <v>833.27</v>
      </c>
      <c r="Z404" t="s">
        <v>2006</v>
      </c>
      <c r="AA404" t="s">
        <v>2015</v>
      </c>
      <c r="AB404" t="s">
        <v>2029</v>
      </c>
      <c r="AC404" t="s">
        <v>2360</v>
      </c>
      <c r="AD404" t="s">
        <v>2789</v>
      </c>
      <c r="AE404">
        <v>58</v>
      </c>
      <c r="AF404" t="s">
        <v>2902</v>
      </c>
      <c r="AG404" t="s">
        <v>1754</v>
      </c>
      <c r="AH404">
        <v>22</v>
      </c>
      <c r="AJ404">
        <v>1</v>
      </c>
      <c r="AK404">
        <v>2</v>
      </c>
      <c r="AL404">
        <v>150.14</v>
      </c>
      <c r="AO404" t="s">
        <v>2927</v>
      </c>
      <c r="AP404">
        <v>31200</v>
      </c>
      <c r="AV404">
        <v>0.7</v>
      </c>
      <c r="AW404" t="s">
        <v>395</v>
      </c>
      <c r="AX404" t="s">
        <v>3046</v>
      </c>
    </row>
    <row r="405" spans="1:50">
      <c r="A405" s="1">
        <f>HYPERLINK("https://lsnyc.legalserver.org/matter/dynamic-profile/view/1871434","18-1871434")</f>
        <v>0</v>
      </c>
      <c r="B405" t="s">
        <v>50</v>
      </c>
      <c r="C405" t="s">
        <v>57</v>
      </c>
      <c r="D405" t="s">
        <v>164</v>
      </c>
      <c r="E405" t="s">
        <v>363</v>
      </c>
      <c r="F405" t="s">
        <v>376</v>
      </c>
      <c r="G405" t="s">
        <v>571</v>
      </c>
      <c r="H405" t="s">
        <v>487</v>
      </c>
      <c r="I405" t="s">
        <v>1379</v>
      </c>
      <c r="J405" t="s">
        <v>1619</v>
      </c>
      <c r="K405" t="s">
        <v>1641</v>
      </c>
      <c r="L405">
        <v>10468</v>
      </c>
      <c r="M405" t="s">
        <v>1670</v>
      </c>
      <c r="Q405" t="s">
        <v>1949</v>
      </c>
      <c r="R405" t="s">
        <v>1959</v>
      </c>
      <c r="S405" t="s">
        <v>1965</v>
      </c>
      <c r="T405" t="s">
        <v>1670</v>
      </c>
      <c r="V405" t="s">
        <v>1972</v>
      </c>
      <c r="X405" t="s">
        <v>363</v>
      </c>
      <c r="Y405">
        <v>833.27</v>
      </c>
      <c r="Z405" t="s">
        <v>2006</v>
      </c>
      <c r="AA405" t="s">
        <v>2015</v>
      </c>
      <c r="AB405" t="s">
        <v>2029</v>
      </c>
      <c r="AC405" t="s">
        <v>2360</v>
      </c>
      <c r="AD405" t="s">
        <v>2789</v>
      </c>
      <c r="AE405">
        <v>58</v>
      </c>
      <c r="AF405" t="s">
        <v>2902</v>
      </c>
      <c r="AH405">
        <v>22</v>
      </c>
      <c r="AJ405">
        <v>1</v>
      </c>
      <c r="AK405">
        <v>2</v>
      </c>
      <c r="AL405">
        <v>150.14</v>
      </c>
      <c r="AO405" t="s">
        <v>2927</v>
      </c>
      <c r="AP405">
        <v>31200</v>
      </c>
      <c r="AV405">
        <v>0.7</v>
      </c>
      <c r="AW405" t="s">
        <v>241</v>
      </c>
      <c r="AX405" t="s">
        <v>3046</v>
      </c>
    </row>
    <row r="406" spans="1:50">
      <c r="A406" s="1">
        <f>HYPERLINK("https://lsnyc.legalserver.org/matter/dynamic-profile/view/1900799","19-1900799")</f>
        <v>0</v>
      </c>
      <c r="B406" t="s">
        <v>50</v>
      </c>
      <c r="C406" t="s">
        <v>133</v>
      </c>
      <c r="D406" t="s">
        <v>163</v>
      </c>
      <c r="E406" t="s">
        <v>357</v>
      </c>
      <c r="G406" t="s">
        <v>673</v>
      </c>
      <c r="H406" t="s">
        <v>1038</v>
      </c>
      <c r="I406" t="s">
        <v>1380</v>
      </c>
      <c r="J406" t="s">
        <v>1575</v>
      </c>
      <c r="K406" t="s">
        <v>1644</v>
      </c>
      <c r="L406">
        <v>11213</v>
      </c>
      <c r="M406" t="s">
        <v>1670</v>
      </c>
      <c r="Q406" t="s">
        <v>1675</v>
      </c>
      <c r="R406" t="s">
        <v>1959</v>
      </c>
      <c r="T406" t="s">
        <v>1670</v>
      </c>
      <c r="V406" t="s">
        <v>1972</v>
      </c>
      <c r="W406" t="s">
        <v>1984</v>
      </c>
      <c r="X406" t="s">
        <v>213</v>
      </c>
      <c r="Y406">
        <v>1200</v>
      </c>
      <c r="Z406" t="s">
        <v>2009</v>
      </c>
      <c r="AC406" t="s">
        <v>2361</v>
      </c>
      <c r="AD406" t="s">
        <v>2790</v>
      </c>
      <c r="AE406">
        <v>35</v>
      </c>
      <c r="AF406" t="s">
        <v>2902</v>
      </c>
      <c r="AH406">
        <v>10</v>
      </c>
      <c r="AJ406">
        <v>3</v>
      </c>
      <c r="AK406">
        <v>1</v>
      </c>
      <c r="AL406">
        <v>77.67</v>
      </c>
      <c r="AO406" t="s">
        <v>2926</v>
      </c>
      <c r="AP406">
        <v>20000</v>
      </c>
      <c r="AQ406" t="s">
        <v>2964</v>
      </c>
      <c r="AV406">
        <v>0</v>
      </c>
      <c r="AX406" t="s">
        <v>3060</v>
      </c>
    </row>
    <row r="407" spans="1:50">
      <c r="A407" s="1">
        <f>HYPERLINK("https://lsnyc.legalserver.org/matter/dynamic-profile/view/1879255","18-1879255")</f>
        <v>0</v>
      </c>
      <c r="B407" t="s">
        <v>50</v>
      </c>
      <c r="C407" t="s">
        <v>133</v>
      </c>
      <c r="D407" t="s">
        <v>163</v>
      </c>
      <c r="E407" t="s">
        <v>250</v>
      </c>
      <c r="G407" t="s">
        <v>673</v>
      </c>
      <c r="H407" t="s">
        <v>1038</v>
      </c>
      <c r="I407" t="s">
        <v>1380</v>
      </c>
      <c r="J407" t="s">
        <v>1575</v>
      </c>
      <c r="K407" t="s">
        <v>1644</v>
      </c>
      <c r="L407">
        <v>11213</v>
      </c>
      <c r="M407" t="s">
        <v>1670</v>
      </c>
      <c r="P407" t="s">
        <v>1865</v>
      </c>
      <c r="Q407" t="s">
        <v>1939</v>
      </c>
      <c r="R407" t="s">
        <v>1960</v>
      </c>
      <c r="T407" t="s">
        <v>1670</v>
      </c>
      <c r="V407" t="s">
        <v>1972</v>
      </c>
      <c r="X407" t="s">
        <v>360</v>
      </c>
      <c r="Y407">
        <v>1200</v>
      </c>
      <c r="Z407" t="s">
        <v>2009</v>
      </c>
      <c r="AC407" t="s">
        <v>2361</v>
      </c>
      <c r="AD407" t="s">
        <v>2790</v>
      </c>
      <c r="AE407">
        <v>35</v>
      </c>
      <c r="AF407" t="s">
        <v>2902</v>
      </c>
      <c r="AH407">
        <v>10</v>
      </c>
      <c r="AJ407">
        <v>3</v>
      </c>
      <c r="AK407">
        <v>1</v>
      </c>
      <c r="AL407">
        <v>79.68000000000001</v>
      </c>
      <c r="AO407" t="s">
        <v>2926</v>
      </c>
      <c r="AP407">
        <v>20000</v>
      </c>
      <c r="AV407">
        <v>0.1</v>
      </c>
      <c r="AW407" t="s">
        <v>328</v>
      </c>
      <c r="AX407" t="s">
        <v>3060</v>
      </c>
    </row>
    <row r="408" spans="1:50">
      <c r="A408" s="1">
        <f>HYPERLINK("https://lsnyc.legalserver.org/matter/dynamic-profile/view/1878587","18-1878587")</f>
        <v>0</v>
      </c>
      <c r="B408" t="s">
        <v>50</v>
      </c>
      <c r="C408" t="s">
        <v>73</v>
      </c>
      <c r="D408" t="s">
        <v>164</v>
      </c>
      <c r="E408" t="s">
        <v>343</v>
      </c>
      <c r="F408" t="s">
        <v>250</v>
      </c>
      <c r="G408" t="s">
        <v>674</v>
      </c>
      <c r="H408" t="s">
        <v>1039</v>
      </c>
      <c r="I408" t="s">
        <v>1381</v>
      </c>
      <c r="J408" t="s">
        <v>1571</v>
      </c>
      <c r="K408" t="s">
        <v>1645</v>
      </c>
      <c r="L408">
        <v>11691</v>
      </c>
      <c r="M408" t="s">
        <v>1670</v>
      </c>
      <c r="P408" t="s">
        <v>1866</v>
      </c>
      <c r="Q408" t="s">
        <v>1936</v>
      </c>
      <c r="R408" t="s">
        <v>1958</v>
      </c>
      <c r="S408" t="s">
        <v>1965</v>
      </c>
      <c r="T408" t="s">
        <v>1671</v>
      </c>
      <c r="V408" t="s">
        <v>1972</v>
      </c>
      <c r="W408" t="s">
        <v>1984</v>
      </c>
      <c r="X408" t="s">
        <v>211</v>
      </c>
      <c r="Y408">
        <v>1174</v>
      </c>
      <c r="Z408" t="s">
        <v>2007</v>
      </c>
      <c r="AA408" t="s">
        <v>2014</v>
      </c>
      <c r="AB408" t="s">
        <v>2029</v>
      </c>
      <c r="AC408" t="s">
        <v>2362</v>
      </c>
      <c r="AD408" t="s">
        <v>2791</v>
      </c>
      <c r="AE408">
        <v>134</v>
      </c>
      <c r="AF408" t="s">
        <v>2902</v>
      </c>
      <c r="AG408" t="s">
        <v>1754</v>
      </c>
      <c r="AH408">
        <v>4</v>
      </c>
      <c r="AJ408">
        <v>1</v>
      </c>
      <c r="AK408">
        <v>1</v>
      </c>
      <c r="AL408">
        <v>140.41</v>
      </c>
      <c r="AO408" t="s">
        <v>2926</v>
      </c>
      <c r="AP408">
        <v>23112</v>
      </c>
      <c r="AV408">
        <v>1.05</v>
      </c>
      <c r="AW408" t="s">
        <v>227</v>
      </c>
      <c r="AX408" t="s">
        <v>3044</v>
      </c>
    </row>
    <row r="409" spans="1:50">
      <c r="A409" s="1">
        <f>HYPERLINK("https://lsnyc.legalserver.org/matter/dynamic-profile/view/1874517","18-1874517")</f>
        <v>0</v>
      </c>
      <c r="B409" t="s">
        <v>50</v>
      </c>
      <c r="C409" t="s">
        <v>62</v>
      </c>
      <c r="D409" t="s">
        <v>163</v>
      </c>
      <c r="E409" t="s">
        <v>314</v>
      </c>
      <c r="G409" t="s">
        <v>675</v>
      </c>
      <c r="H409" t="s">
        <v>1040</v>
      </c>
      <c r="I409" t="s">
        <v>1382</v>
      </c>
      <c r="J409" t="s">
        <v>1620</v>
      </c>
      <c r="K409" t="s">
        <v>1644</v>
      </c>
      <c r="L409">
        <v>11209</v>
      </c>
      <c r="M409" t="s">
        <v>1670</v>
      </c>
      <c r="P409" t="s">
        <v>1867</v>
      </c>
      <c r="Q409" t="s">
        <v>1954</v>
      </c>
      <c r="R409" t="s">
        <v>1964</v>
      </c>
      <c r="T409" t="s">
        <v>1671</v>
      </c>
      <c r="V409" t="s">
        <v>1972</v>
      </c>
      <c r="W409" t="s">
        <v>1986</v>
      </c>
      <c r="X409" t="s">
        <v>278</v>
      </c>
      <c r="Y409">
        <v>1729</v>
      </c>
      <c r="Z409" t="s">
        <v>2009</v>
      </c>
      <c r="AA409" t="s">
        <v>2014</v>
      </c>
      <c r="AC409" t="s">
        <v>2363</v>
      </c>
      <c r="AD409" t="s">
        <v>2792</v>
      </c>
      <c r="AE409">
        <v>116</v>
      </c>
      <c r="AF409" t="s">
        <v>2904</v>
      </c>
      <c r="AG409" t="s">
        <v>1754</v>
      </c>
      <c r="AH409">
        <v>9</v>
      </c>
      <c r="AJ409">
        <v>1</v>
      </c>
      <c r="AK409">
        <v>1</v>
      </c>
      <c r="AL409">
        <v>191.96</v>
      </c>
      <c r="AO409" t="s">
        <v>2926</v>
      </c>
      <c r="AP409">
        <v>31596</v>
      </c>
      <c r="AV409">
        <v>101.1</v>
      </c>
      <c r="AW409" t="s">
        <v>397</v>
      </c>
      <c r="AX409" t="s">
        <v>3079</v>
      </c>
    </row>
    <row r="410" spans="1:50">
      <c r="A410" s="1">
        <f>HYPERLINK("https://lsnyc.legalserver.org/matter/dynamic-profile/view/1891258","19-1891258")</f>
        <v>0</v>
      </c>
      <c r="B410" t="s">
        <v>50</v>
      </c>
      <c r="C410" t="s">
        <v>138</v>
      </c>
      <c r="D410" t="s">
        <v>164</v>
      </c>
      <c r="E410" t="s">
        <v>316</v>
      </c>
      <c r="F410" t="s">
        <v>283</v>
      </c>
      <c r="G410" t="s">
        <v>574</v>
      </c>
      <c r="H410" t="s">
        <v>803</v>
      </c>
      <c r="I410" t="s">
        <v>1383</v>
      </c>
      <c r="J410" t="s">
        <v>1513</v>
      </c>
      <c r="K410" t="s">
        <v>1646</v>
      </c>
      <c r="L410">
        <v>10306</v>
      </c>
      <c r="M410" t="s">
        <v>1670</v>
      </c>
      <c r="P410" t="s">
        <v>1868</v>
      </c>
      <c r="Q410" t="s">
        <v>1936</v>
      </c>
      <c r="R410" t="s">
        <v>1960</v>
      </c>
      <c r="S410" t="s">
        <v>1971</v>
      </c>
      <c r="T410" t="s">
        <v>1671</v>
      </c>
      <c r="V410" t="s">
        <v>1972</v>
      </c>
      <c r="W410" t="s">
        <v>1985</v>
      </c>
      <c r="X410" t="s">
        <v>316</v>
      </c>
      <c r="Y410">
        <v>1800</v>
      </c>
      <c r="Z410" t="s">
        <v>2010</v>
      </c>
      <c r="AA410" t="s">
        <v>2013</v>
      </c>
      <c r="AB410" t="s">
        <v>2032</v>
      </c>
      <c r="AC410" t="s">
        <v>2364</v>
      </c>
      <c r="AD410" t="s">
        <v>2793</v>
      </c>
      <c r="AE410">
        <v>3</v>
      </c>
      <c r="AF410" t="s">
        <v>2903</v>
      </c>
      <c r="AG410" t="s">
        <v>1754</v>
      </c>
      <c r="AH410">
        <v>1</v>
      </c>
      <c r="AJ410">
        <v>1</v>
      </c>
      <c r="AK410">
        <v>1</v>
      </c>
      <c r="AL410">
        <v>22.29</v>
      </c>
      <c r="AO410" t="s">
        <v>2934</v>
      </c>
      <c r="AP410">
        <v>3770</v>
      </c>
      <c r="AR410" t="s">
        <v>2976</v>
      </c>
      <c r="AS410" t="s">
        <v>2982</v>
      </c>
      <c r="AT410" t="s">
        <v>2992</v>
      </c>
      <c r="AU410" t="s">
        <v>3023</v>
      </c>
      <c r="AV410">
        <v>13.6</v>
      </c>
      <c r="AW410" t="s">
        <v>183</v>
      </c>
      <c r="AX410" t="s">
        <v>3056</v>
      </c>
    </row>
    <row r="411" spans="1:50">
      <c r="A411" s="1">
        <f>HYPERLINK("https://lsnyc.legalserver.org/matter/dynamic-profile/view/1884286","18-1884286")</f>
        <v>0</v>
      </c>
      <c r="B411" t="s">
        <v>50</v>
      </c>
      <c r="C411" t="s">
        <v>128</v>
      </c>
      <c r="D411" t="s">
        <v>164</v>
      </c>
      <c r="E411" t="s">
        <v>224</v>
      </c>
      <c r="F411" t="s">
        <v>304</v>
      </c>
      <c r="G411" t="s">
        <v>676</v>
      </c>
      <c r="H411" t="s">
        <v>1041</v>
      </c>
      <c r="I411" t="s">
        <v>1384</v>
      </c>
      <c r="K411" t="s">
        <v>1641</v>
      </c>
      <c r="L411">
        <v>10451</v>
      </c>
      <c r="M411" t="s">
        <v>1670</v>
      </c>
      <c r="Q411" t="s">
        <v>1956</v>
      </c>
      <c r="R411" t="s">
        <v>1958</v>
      </c>
      <c r="S411" t="s">
        <v>1965</v>
      </c>
      <c r="T411" t="s">
        <v>1671</v>
      </c>
      <c r="V411" t="s">
        <v>1980</v>
      </c>
      <c r="W411" t="s">
        <v>1984</v>
      </c>
      <c r="X411" t="s">
        <v>304</v>
      </c>
      <c r="Y411">
        <v>0</v>
      </c>
      <c r="Z411" t="s">
        <v>2006</v>
      </c>
      <c r="AA411" t="s">
        <v>2015</v>
      </c>
      <c r="AB411" t="s">
        <v>2029</v>
      </c>
      <c r="AC411" t="s">
        <v>2365</v>
      </c>
      <c r="AD411" t="s">
        <v>2794</v>
      </c>
      <c r="AE411">
        <v>0</v>
      </c>
      <c r="AF411" t="s">
        <v>2904</v>
      </c>
      <c r="AG411" t="s">
        <v>1754</v>
      </c>
      <c r="AH411">
        <v>0</v>
      </c>
      <c r="AJ411">
        <v>1</v>
      </c>
      <c r="AK411">
        <v>1</v>
      </c>
      <c r="AL411">
        <v>182.26</v>
      </c>
      <c r="AO411" t="s">
        <v>2926</v>
      </c>
      <c r="AP411">
        <v>30000</v>
      </c>
      <c r="AV411">
        <v>1.15</v>
      </c>
      <c r="AW411" t="s">
        <v>304</v>
      </c>
      <c r="AX411" t="s">
        <v>128</v>
      </c>
    </row>
    <row r="412" spans="1:50">
      <c r="A412" s="1">
        <f>HYPERLINK("https://lsnyc.legalserver.org/matter/dynamic-profile/view/1900473","19-1900473")</f>
        <v>0</v>
      </c>
      <c r="B412" t="s">
        <v>50</v>
      </c>
      <c r="C412" t="s">
        <v>88</v>
      </c>
      <c r="D412" t="s">
        <v>163</v>
      </c>
      <c r="E412" t="s">
        <v>364</v>
      </c>
      <c r="G412" t="s">
        <v>677</v>
      </c>
      <c r="H412" t="s">
        <v>1042</v>
      </c>
      <c r="I412" t="s">
        <v>1385</v>
      </c>
      <c r="J412" t="s">
        <v>1509</v>
      </c>
      <c r="K412" t="s">
        <v>1644</v>
      </c>
      <c r="L412">
        <v>11213</v>
      </c>
      <c r="M412" t="s">
        <v>1670</v>
      </c>
      <c r="P412" t="s">
        <v>1869</v>
      </c>
      <c r="Q412" t="s">
        <v>1936</v>
      </c>
      <c r="R412" t="s">
        <v>1960</v>
      </c>
      <c r="T412" t="s">
        <v>1671</v>
      </c>
      <c r="V412" t="s">
        <v>1972</v>
      </c>
      <c r="W412" t="s">
        <v>1984</v>
      </c>
      <c r="X412" t="s">
        <v>327</v>
      </c>
      <c r="Y412">
        <v>719</v>
      </c>
      <c r="Z412" t="s">
        <v>2009</v>
      </c>
      <c r="AA412" t="s">
        <v>2020</v>
      </c>
      <c r="AC412" t="s">
        <v>2366</v>
      </c>
      <c r="AD412" t="s">
        <v>2795</v>
      </c>
      <c r="AE412">
        <v>6</v>
      </c>
      <c r="AF412" t="s">
        <v>2902</v>
      </c>
      <c r="AG412" t="s">
        <v>2918</v>
      </c>
      <c r="AH412">
        <v>22</v>
      </c>
      <c r="AJ412">
        <v>5</v>
      </c>
      <c r="AK412">
        <v>1</v>
      </c>
      <c r="AL412">
        <v>112.94</v>
      </c>
      <c r="AO412" t="s">
        <v>2926</v>
      </c>
      <c r="AP412">
        <v>39066</v>
      </c>
      <c r="AQ412" t="s">
        <v>2965</v>
      </c>
      <c r="AV412">
        <v>6.8</v>
      </c>
      <c r="AW412" t="s">
        <v>389</v>
      </c>
      <c r="AX412" t="s">
        <v>3060</v>
      </c>
    </row>
    <row r="413" spans="1:50">
      <c r="A413" s="1">
        <f>HYPERLINK("https://lsnyc.legalserver.org/matter/dynamic-profile/view/1896750","19-1896750")</f>
        <v>0</v>
      </c>
      <c r="B413" t="s">
        <v>50</v>
      </c>
      <c r="C413" t="s">
        <v>132</v>
      </c>
      <c r="D413" t="s">
        <v>163</v>
      </c>
      <c r="E413" t="s">
        <v>365</v>
      </c>
      <c r="G413" t="s">
        <v>677</v>
      </c>
      <c r="H413" t="s">
        <v>1042</v>
      </c>
      <c r="I413" t="s">
        <v>1385</v>
      </c>
      <c r="J413" t="s">
        <v>1509</v>
      </c>
      <c r="K413" t="s">
        <v>1644</v>
      </c>
      <c r="L413">
        <v>11213</v>
      </c>
      <c r="M413" t="s">
        <v>1670</v>
      </c>
      <c r="P413" t="s">
        <v>1675</v>
      </c>
      <c r="Q413" t="s">
        <v>1937</v>
      </c>
      <c r="R413" t="s">
        <v>1962</v>
      </c>
      <c r="T413" t="s">
        <v>1670</v>
      </c>
      <c r="V413" t="s">
        <v>1972</v>
      </c>
      <c r="X413" t="s">
        <v>345</v>
      </c>
      <c r="Y413">
        <v>719</v>
      </c>
      <c r="Z413" t="s">
        <v>2009</v>
      </c>
      <c r="AA413" t="s">
        <v>2015</v>
      </c>
      <c r="AC413" t="s">
        <v>2366</v>
      </c>
      <c r="AD413" t="s">
        <v>2795</v>
      </c>
      <c r="AE413">
        <v>6</v>
      </c>
      <c r="AF413" t="s">
        <v>2902</v>
      </c>
      <c r="AG413" t="s">
        <v>1754</v>
      </c>
      <c r="AH413">
        <v>22</v>
      </c>
      <c r="AJ413">
        <v>5</v>
      </c>
      <c r="AK413">
        <v>1</v>
      </c>
      <c r="AL413">
        <v>109.86</v>
      </c>
      <c r="AO413" t="s">
        <v>2926</v>
      </c>
      <c r="AP413">
        <v>38000</v>
      </c>
      <c r="AV413">
        <v>0</v>
      </c>
      <c r="AX413" t="s">
        <v>3059</v>
      </c>
    </row>
    <row r="414" spans="1:50">
      <c r="A414" s="1">
        <f>HYPERLINK("https://lsnyc.legalserver.org/matter/dynamic-profile/view/1896757","19-1896757")</f>
        <v>0</v>
      </c>
      <c r="B414" t="s">
        <v>50</v>
      </c>
      <c r="C414" t="s">
        <v>132</v>
      </c>
      <c r="D414" t="s">
        <v>163</v>
      </c>
      <c r="E414" t="s">
        <v>365</v>
      </c>
      <c r="G414" t="s">
        <v>677</v>
      </c>
      <c r="H414" t="s">
        <v>1042</v>
      </c>
      <c r="I414" t="s">
        <v>1385</v>
      </c>
      <c r="J414" t="s">
        <v>1509</v>
      </c>
      <c r="K414" t="s">
        <v>1644</v>
      </c>
      <c r="L414">
        <v>11213</v>
      </c>
      <c r="M414" t="s">
        <v>1670</v>
      </c>
      <c r="P414" t="s">
        <v>1675</v>
      </c>
      <c r="Q414" t="s">
        <v>1937</v>
      </c>
      <c r="R414" t="s">
        <v>1962</v>
      </c>
      <c r="T414" t="s">
        <v>1670</v>
      </c>
      <c r="V414" t="s">
        <v>1972</v>
      </c>
      <c r="X414" t="s">
        <v>255</v>
      </c>
      <c r="Y414">
        <v>719</v>
      </c>
      <c r="Z414" t="s">
        <v>2009</v>
      </c>
      <c r="AA414" t="s">
        <v>2015</v>
      </c>
      <c r="AC414" t="s">
        <v>2366</v>
      </c>
      <c r="AD414" t="s">
        <v>2795</v>
      </c>
      <c r="AE414">
        <v>6</v>
      </c>
      <c r="AF414" t="s">
        <v>2902</v>
      </c>
      <c r="AG414" t="s">
        <v>1754</v>
      </c>
      <c r="AH414">
        <v>22</v>
      </c>
      <c r="AJ414">
        <v>5</v>
      </c>
      <c r="AK414">
        <v>1</v>
      </c>
      <c r="AL414">
        <v>109.86</v>
      </c>
      <c r="AO414" t="s">
        <v>2926</v>
      </c>
      <c r="AP414">
        <v>38000</v>
      </c>
      <c r="AQ414" t="s">
        <v>2966</v>
      </c>
      <c r="AV414">
        <v>0</v>
      </c>
      <c r="AX414" t="s">
        <v>3059</v>
      </c>
    </row>
    <row r="415" spans="1:50">
      <c r="A415" s="1">
        <f>HYPERLINK("https://lsnyc.legalserver.org/matter/dynamic-profile/view/1896760","19-1896760")</f>
        <v>0</v>
      </c>
      <c r="B415" t="s">
        <v>50</v>
      </c>
      <c r="C415" t="s">
        <v>132</v>
      </c>
      <c r="D415" t="s">
        <v>163</v>
      </c>
      <c r="E415" t="s">
        <v>365</v>
      </c>
      <c r="G415" t="s">
        <v>677</v>
      </c>
      <c r="H415" t="s">
        <v>1042</v>
      </c>
      <c r="I415" t="s">
        <v>1385</v>
      </c>
      <c r="J415" t="s">
        <v>1509</v>
      </c>
      <c r="K415" t="s">
        <v>1644</v>
      </c>
      <c r="L415">
        <v>11213</v>
      </c>
      <c r="M415" t="s">
        <v>1670</v>
      </c>
      <c r="P415" t="s">
        <v>1870</v>
      </c>
      <c r="Q415" t="s">
        <v>1938</v>
      </c>
      <c r="R415" t="s">
        <v>1961</v>
      </c>
      <c r="T415" t="s">
        <v>1670</v>
      </c>
      <c r="V415" t="s">
        <v>1972</v>
      </c>
      <c r="X415" t="s">
        <v>266</v>
      </c>
      <c r="Y415">
        <v>719</v>
      </c>
      <c r="Z415" t="s">
        <v>2009</v>
      </c>
      <c r="AA415" t="s">
        <v>2015</v>
      </c>
      <c r="AC415" t="s">
        <v>2366</v>
      </c>
      <c r="AD415" t="s">
        <v>2795</v>
      </c>
      <c r="AE415">
        <v>6</v>
      </c>
      <c r="AF415" t="s">
        <v>2902</v>
      </c>
      <c r="AG415" t="s">
        <v>1754</v>
      </c>
      <c r="AH415">
        <v>22</v>
      </c>
      <c r="AJ415">
        <v>5</v>
      </c>
      <c r="AK415">
        <v>1</v>
      </c>
      <c r="AL415">
        <v>109.86</v>
      </c>
      <c r="AO415" t="s">
        <v>2926</v>
      </c>
      <c r="AP415">
        <v>38000</v>
      </c>
      <c r="AQ415" t="s">
        <v>2966</v>
      </c>
      <c r="AV415">
        <v>0</v>
      </c>
      <c r="AX415" t="s">
        <v>3059</v>
      </c>
    </row>
    <row r="416" spans="1:50">
      <c r="A416" s="1">
        <f>HYPERLINK("https://lsnyc.legalserver.org/matter/dynamic-profile/view/1896764","19-1896764")</f>
        <v>0</v>
      </c>
      <c r="B416" t="s">
        <v>50</v>
      </c>
      <c r="C416" t="s">
        <v>132</v>
      </c>
      <c r="D416" t="s">
        <v>163</v>
      </c>
      <c r="E416" t="s">
        <v>365</v>
      </c>
      <c r="G416" t="s">
        <v>677</v>
      </c>
      <c r="H416" t="s">
        <v>1042</v>
      </c>
      <c r="I416" t="s">
        <v>1385</v>
      </c>
      <c r="J416" t="s">
        <v>1509</v>
      </c>
      <c r="K416" t="s">
        <v>1644</v>
      </c>
      <c r="L416">
        <v>11213</v>
      </c>
      <c r="M416" t="s">
        <v>1670</v>
      </c>
      <c r="P416" t="s">
        <v>1871</v>
      </c>
      <c r="Q416" t="s">
        <v>1939</v>
      </c>
      <c r="R416" t="s">
        <v>1960</v>
      </c>
      <c r="T416" t="s">
        <v>1670</v>
      </c>
      <c r="V416" t="s">
        <v>1972</v>
      </c>
      <c r="X416" t="s">
        <v>266</v>
      </c>
      <c r="Y416">
        <v>719</v>
      </c>
      <c r="Z416" t="s">
        <v>2009</v>
      </c>
      <c r="AA416" t="s">
        <v>2015</v>
      </c>
      <c r="AC416" t="s">
        <v>2366</v>
      </c>
      <c r="AD416" t="s">
        <v>2795</v>
      </c>
      <c r="AE416">
        <v>6</v>
      </c>
      <c r="AF416" t="s">
        <v>2902</v>
      </c>
      <c r="AG416" t="s">
        <v>1754</v>
      </c>
      <c r="AH416">
        <v>22</v>
      </c>
      <c r="AJ416">
        <v>5</v>
      </c>
      <c r="AK416">
        <v>1</v>
      </c>
      <c r="AL416">
        <v>109.86</v>
      </c>
      <c r="AO416" t="s">
        <v>2926</v>
      </c>
      <c r="AP416">
        <v>38000</v>
      </c>
      <c r="AQ416" t="s">
        <v>2967</v>
      </c>
      <c r="AV416">
        <v>1</v>
      </c>
      <c r="AW416" t="s">
        <v>3039</v>
      </c>
      <c r="AX416" t="s">
        <v>3059</v>
      </c>
    </row>
    <row r="417" spans="1:50">
      <c r="A417" s="1">
        <f>HYPERLINK("https://lsnyc.legalserver.org/matter/dynamic-profile/view/1894556","19-1894556")</f>
        <v>0</v>
      </c>
      <c r="B417" t="s">
        <v>50</v>
      </c>
      <c r="C417" t="s">
        <v>105</v>
      </c>
      <c r="D417" t="s">
        <v>164</v>
      </c>
      <c r="E417" t="s">
        <v>274</v>
      </c>
      <c r="F417" t="s">
        <v>295</v>
      </c>
      <c r="G417" t="s">
        <v>678</v>
      </c>
      <c r="H417" t="s">
        <v>1043</v>
      </c>
      <c r="I417" t="s">
        <v>1386</v>
      </c>
      <c r="J417" t="s">
        <v>1621</v>
      </c>
      <c r="K417" t="s">
        <v>1641</v>
      </c>
      <c r="L417">
        <v>10453</v>
      </c>
      <c r="M417" t="s">
        <v>1670</v>
      </c>
      <c r="P417" t="s">
        <v>1872</v>
      </c>
      <c r="Q417" t="s">
        <v>1936</v>
      </c>
      <c r="R417" t="s">
        <v>1958</v>
      </c>
      <c r="S417" t="s">
        <v>1965</v>
      </c>
      <c r="T417" t="s">
        <v>1671</v>
      </c>
      <c r="V417" t="s">
        <v>1972</v>
      </c>
      <c r="W417" t="s">
        <v>1984</v>
      </c>
      <c r="X417" t="s">
        <v>274</v>
      </c>
      <c r="Y417">
        <v>1583</v>
      </c>
      <c r="Z417" t="s">
        <v>2006</v>
      </c>
      <c r="AB417" t="s">
        <v>2029</v>
      </c>
      <c r="AC417" t="s">
        <v>2367</v>
      </c>
      <c r="AD417" t="s">
        <v>2796</v>
      </c>
      <c r="AE417">
        <v>0</v>
      </c>
      <c r="AF417" t="s">
        <v>2904</v>
      </c>
      <c r="AG417" t="s">
        <v>2917</v>
      </c>
      <c r="AH417">
        <v>5</v>
      </c>
      <c r="AJ417">
        <v>1</v>
      </c>
      <c r="AK417">
        <v>2</v>
      </c>
      <c r="AL417">
        <v>78.73999999999999</v>
      </c>
      <c r="AO417" t="s">
        <v>2927</v>
      </c>
      <c r="AP417">
        <v>16796</v>
      </c>
      <c r="AV417">
        <v>0.1</v>
      </c>
      <c r="AW417" t="s">
        <v>295</v>
      </c>
      <c r="AX417" t="s">
        <v>105</v>
      </c>
    </row>
    <row r="418" spans="1:50">
      <c r="A418" s="1">
        <f>HYPERLINK("https://lsnyc.legalserver.org/matter/dynamic-profile/view/1869936","18-1869936")</f>
        <v>0</v>
      </c>
      <c r="B418" t="s">
        <v>50</v>
      </c>
      <c r="C418" t="s">
        <v>155</v>
      </c>
      <c r="D418" t="s">
        <v>164</v>
      </c>
      <c r="E418" t="s">
        <v>366</v>
      </c>
      <c r="F418" t="s">
        <v>166</v>
      </c>
      <c r="G418" t="s">
        <v>679</v>
      </c>
      <c r="H418" t="s">
        <v>1044</v>
      </c>
      <c r="I418" t="s">
        <v>1387</v>
      </c>
      <c r="J418" t="s">
        <v>1569</v>
      </c>
      <c r="K418" t="s">
        <v>1649</v>
      </c>
      <c r="L418">
        <v>11692</v>
      </c>
      <c r="M418" t="s">
        <v>1670</v>
      </c>
      <c r="P418" t="s">
        <v>1873</v>
      </c>
      <c r="Q418" t="s">
        <v>1936</v>
      </c>
      <c r="R418" t="s">
        <v>1958</v>
      </c>
      <c r="S418" t="s">
        <v>1965</v>
      </c>
      <c r="T418" t="s">
        <v>1671</v>
      </c>
      <c r="V418" t="s">
        <v>1972</v>
      </c>
      <c r="W418" t="s">
        <v>1984</v>
      </c>
      <c r="X418" t="s">
        <v>352</v>
      </c>
      <c r="Y418">
        <v>1200</v>
      </c>
      <c r="Z418" t="s">
        <v>2007</v>
      </c>
      <c r="AA418" t="s">
        <v>2014</v>
      </c>
      <c r="AB418" t="s">
        <v>2029</v>
      </c>
      <c r="AC418" t="s">
        <v>2368</v>
      </c>
      <c r="AD418" t="s">
        <v>2797</v>
      </c>
      <c r="AE418">
        <v>60</v>
      </c>
      <c r="AF418" t="s">
        <v>2904</v>
      </c>
      <c r="AG418" t="s">
        <v>2915</v>
      </c>
      <c r="AH418">
        <v>3</v>
      </c>
      <c r="AJ418">
        <v>1</v>
      </c>
      <c r="AK418">
        <v>1</v>
      </c>
      <c r="AL418">
        <v>97.93000000000001</v>
      </c>
      <c r="AO418" t="s">
        <v>2926</v>
      </c>
      <c r="AP418">
        <v>16120</v>
      </c>
      <c r="AV418">
        <v>1.2</v>
      </c>
      <c r="AW418" t="s">
        <v>166</v>
      </c>
      <c r="AX418" t="s">
        <v>3044</v>
      </c>
    </row>
    <row r="419" spans="1:50">
      <c r="A419" s="1">
        <f>HYPERLINK("https://lsnyc.legalserver.org/matter/dynamic-profile/view/1883362","18-1883362")</f>
        <v>0</v>
      </c>
      <c r="B419" t="s">
        <v>50</v>
      </c>
      <c r="C419" t="s">
        <v>58</v>
      </c>
      <c r="D419" t="s">
        <v>164</v>
      </c>
      <c r="E419" t="s">
        <v>315</v>
      </c>
      <c r="F419" t="s">
        <v>345</v>
      </c>
      <c r="G419" t="s">
        <v>680</v>
      </c>
      <c r="H419" t="s">
        <v>1045</v>
      </c>
      <c r="I419" t="s">
        <v>1388</v>
      </c>
      <c r="J419" t="s">
        <v>1506</v>
      </c>
      <c r="K419" t="s">
        <v>1641</v>
      </c>
      <c r="L419">
        <v>10452</v>
      </c>
      <c r="M419" t="s">
        <v>1670</v>
      </c>
      <c r="P419" t="s">
        <v>1675</v>
      </c>
      <c r="Q419" t="s">
        <v>1941</v>
      </c>
      <c r="R419" t="s">
        <v>1958</v>
      </c>
      <c r="S419" t="s">
        <v>1965</v>
      </c>
      <c r="T419" t="s">
        <v>1671</v>
      </c>
      <c r="V419" t="s">
        <v>1972</v>
      </c>
      <c r="X419" t="s">
        <v>315</v>
      </c>
      <c r="Y419">
        <v>900</v>
      </c>
      <c r="Z419" t="s">
        <v>2006</v>
      </c>
      <c r="AA419" t="s">
        <v>2015</v>
      </c>
      <c r="AB419" t="s">
        <v>2029</v>
      </c>
      <c r="AC419" t="s">
        <v>2369</v>
      </c>
      <c r="AD419" t="s">
        <v>2798</v>
      </c>
      <c r="AE419">
        <v>0</v>
      </c>
      <c r="AF419" t="s">
        <v>2908</v>
      </c>
      <c r="AG419" t="s">
        <v>1754</v>
      </c>
      <c r="AH419">
        <v>12</v>
      </c>
      <c r="AJ419">
        <v>1</v>
      </c>
      <c r="AK419">
        <v>1</v>
      </c>
      <c r="AL419">
        <v>110.57</v>
      </c>
      <c r="AO419" t="s">
        <v>2927</v>
      </c>
      <c r="AP419">
        <v>18200</v>
      </c>
      <c r="AV419">
        <v>1</v>
      </c>
      <c r="AW419" t="s">
        <v>3040</v>
      </c>
      <c r="AX419" t="s">
        <v>3046</v>
      </c>
    </row>
    <row r="420" spans="1:50">
      <c r="A420" s="1">
        <f>HYPERLINK("https://lsnyc.legalserver.org/matter/dynamic-profile/view/1888028","19-1888028")</f>
        <v>0</v>
      </c>
      <c r="B420" t="s">
        <v>50</v>
      </c>
      <c r="C420" t="s">
        <v>91</v>
      </c>
      <c r="D420" t="s">
        <v>163</v>
      </c>
      <c r="E420" t="s">
        <v>367</v>
      </c>
      <c r="G420" t="s">
        <v>681</v>
      </c>
      <c r="H420" t="s">
        <v>1046</v>
      </c>
      <c r="I420" t="s">
        <v>1318</v>
      </c>
      <c r="J420" t="s">
        <v>1622</v>
      </c>
      <c r="K420" t="s">
        <v>1643</v>
      </c>
      <c r="L420">
        <v>10032</v>
      </c>
      <c r="M420" t="s">
        <v>1670</v>
      </c>
      <c r="R420" t="s">
        <v>1960</v>
      </c>
      <c r="T420" t="s">
        <v>1670</v>
      </c>
      <c r="V420" t="s">
        <v>1972</v>
      </c>
      <c r="X420" t="s">
        <v>367</v>
      </c>
      <c r="Y420">
        <v>689</v>
      </c>
      <c r="Z420" t="s">
        <v>2008</v>
      </c>
      <c r="AA420" t="s">
        <v>2013</v>
      </c>
      <c r="AC420" t="s">
        <v>2370</v>
      </c>
      <c r="AD420" t="s">
        <v>2799</v>
      </c>
      <c r="AE420">
        <v>42</v>
      </c>
      <c r="AF420" t="s">
        <v>2902</v>
      </c>
      <c r="AG420" t="s">
        <v>1754</v>
      </c>
      <c r="AH420">
        <v>50</v>
      </c>
      <c r="AJ420">
        <v>3</v>
      </c>
      <c r="AK420">
        <v>2</v>
      </c>
      <c r="AL420">
        <v>53.96</v>
      </c>
      <c r="AO420" t="s">
        <v>2927</v>
      </c>
      <c r="AP420">
        <v>15876</v>
      </c>
      <c r="AV420">
        <v>0</v>
      </c>
      <c r="AX420" t="s">
        <v>3042</v>
      </c>
    </row>
    <row r="421" spans="1:50">
      <c r="A421" s="1">
        <f>HYPERLINK("https://lsnyc.legalserver.org/matter/dynamic-profile/view/1900879","19-1900879")</f>
        <v>0</v>
      </c>
      <c r="B421" t="s">
        <v>50</v>
      </c>
      <c r="C421" t="s">
        <v>89</v>
      </c>
      <c r="D421" t="s">
        <v>164</v>
      </c>
      <c r="E421" t="s">
        <v>357</v>
      </c>
      <c r="F421" t="s">
        <v>403</v>
      </c>
      <c r="G421" t="s">
        <v>682</v>
      </c>
      <c r="H421" t="s">
        <v>876</v>
      </c>
      <c r="I421" t="s">
        <v>1389</v>
      </c>
      <c r="J421" t="s">
        <v>1623</v>
      </c>
      <c r="K421" t="s">
        <v>1647</v>
      </c>
      <c r="L421">
        <v>11434</v>
      </c>
      <c r="M421" t="s">
        <v>1670</v>
      </c>
      <c r="P421" t="s">
        <v>1874</v>
      </c>
      <c r="Q421" t="s">
        <v>1939</v>
      </c>
      <c r="R421" t="s">
        <v>1962</v>
      </c>
      <c r="S421" t="s">
        <v>1965</v>
      </c>
      <c r="V421" t="s">
        <v>1972</v>
      </c>
      <c r="X421" t="s">
        <v>357</v>
      </c>
      <c r="Y421">
        <v>800</v>
      </c>
      <c r="Z421" t="s">
        <v>2007</v>
      </c>
      <c r="AA421" t="s">
        <v>2014</v>
      </c>
      <c r="AB421" t="s">
        <v>2029</v>
      </c>
      <c r="AC421" t="s">
        <v>2371</v>
      </c>
      <c r="AD421" t="s">
        <v>2800</v>
      </c>
      <c r="AE421">
        <v>40</v>
      </c>
      <c r="AF421" t="s">
        <v>2902</v>
      </c>
      <c r="AG421" t="s">
        <v>2017</v>
      </c>
      <c r="AH421">
        <v>10</v>
      </c>
      <c r="AJ421">
        <v>3</v>
      </c>
      <c r="AK421">
        <v>1</v>
      </c>
      <c r="AL421">
        <v>112.62</v>
      </c>
      <c r="AO421" t="s">
        <v>2926</v>
      </c>
      <c r="AP421">
        <v>29000</v>
      </c>
      <c r="AV421">
        <v>1</v>
      </c>
      <c r="AW421" t="s">
        <v>403</v>
      </c>
      <c r="AX421" t="s">
        <v>89</v>
      </c>
    </row>
    <row r="422" spans="1:50">
      <c r="A422" s="1">
        <f>HYPERLINK("https://lsnyc.legalserver.org/matter/dynamic-profile/view/1897656","19-1897656")</f>
        <v>0</v>
      </c>
      <c r="B422" t="s">
        <v>50</v>
      </c>
      <c r="C422" t="s">
        <v>73</v>
      </c>
      <c r="D422" t="s">
        <v>163</v>
      </c>
      <c r="E422" t="s">
        <v>219</v>
      </c>
      <c r="G422" t="s">
        <v>683</v>
      </c>
      <c r="H422" t="s">
        <v>909</v>
      </c>
      <c r="I422" t="s">
        <v>1200</v>
      </c>
      <c r="J422">
        <v>919</v>
      </c>
      <c r="K422" t="s">
        <v>1649</v>
      </c>
      <c r="L422">
        <v>11692</v>
      </c>
      <c r="M422" t="s">
        <v>1670</v>
      </c>
      <c r="P422" t="s">
        <v>1875</v>
      </c>
      <c r="Q422" t="s">
        <v>1936</v>
      </c>
      <c r="R422" t="s">
        <v>1960</v>
      </c>
      <c r="T422" t="s">
        <v>1671</v>
      </c>
      <c r="V422" t="s">
        <v>1972</v>
      </c>
      <c r="X422" t="s">
        <v>219</v>
      </c>
      <c r="Y422">
        <v>1885</v>
      </c>
      <c r="Z422" t="s">
        <v>2007</v>
      </c>
      <c r="AA422" t="s">
        <v>2014</v>
      </c>
      <c r="AC422" t="s">
        <v>2372</v>
      </c>
      <c r="AD422" t="s">
        <v>2801</v>
      </c>
      <c r="AE422">
        <v>0</v>
      </c>
      <c r="AG422" t="s">
        <v>1754</v>
      </c>
      <c r="AH422">
        <v>4</v>
      </c>
      <c r="AJ422">
        <v>2</v>
      </c>
      <c r="AK422">
        <v>2</v>
      </c>
      <c r="AL422">
        <v>174.76</v>
      </c>
      <c r="AO422" t="s">
        <v>2926</v>
      </c>
      <c r="AP422">
        <v>45000</v>
      </c>
      <c r="AV422">
        <v>0.3</v>
      </c>
      <c r="AW422" t="s">
        <v>385</v>
      </c>
      <c r="AX422" t="s">
        <v>3044</v>
      </c>
    </row>
    <row r="423" spans="1:50">
      <c r="A423" s="1">
        <f>HYPERLINK("https://lsnyc.legalserver.org/matter/dynamic-profile/view/1875581","18-1875581")</f>
        <v>0</v>
      </c>
      <c r="B423" t="s">
        <v>50</v>
      </c>
      <c r="C423" t="s">
        <v>127</v>
      </c>
      <c r="D423" t="s">
        <v>164</v>
      </c>
      <c r="E423" t="s">
        <v>225</v>
      </c>
      <c r="F423" t="s">
        <v>257</v>
      </c>
      <c r="G423" t="s">
        <v>684</v>
      </c>
      <c r="H423" t="s">
        <v>1047</v>
      </c>
      <c r="I423" t="s">
        <v>1390</v>
      </c>
      <c r="J423">
        <v>1</v>
      </c>
      <c r="K423" t="s">
        <v>1644</v>
      </c>
      <c r="L423">
        <v>11208</v>
      </c>
      <c r="M423" t="s">
        <v>1670</v>
      </c>
      <c r="Q423" t="s">
        <v>1939</v>
      </c>
      <c r="R423" t="s">
        <v>1962</v>
      </c>
      <c r="S423" t="s">
        <v>1968</v>
      </c>
      <c r="T423" t="s">
        <v>1671</v>
      </c>
      <c r="V423" t="s">
        <v>1972</v>
      </c>
      <c r="X423" t="s">
        <v>225</v>
      </c>
      <c r="Y423">
        <v>1956</v>
      </c>
      <c r="Z423" t="s">
        <v>2009</v>
      </c>
      <c r="AA423" t="s">
        <v>2015</v>
      </c>
      <c r="AB423" t="s">
        <v>2038</v>
      </c>
      <c r="AC423" t="s">
        <v>2373</v>
      </c>
      <c r="AD423" t="s">
        <v>2802</v>
      </c>
      <c r="AE423">
        <v>2</v>
      </c>
      <c r="AF423" t="s">
        <v>2903</v>
      </c>
      <c r="AG423" t="s">
        <v>2917</v>
      </c>
      <c r="AH423">
        <v>2</v>
      </c>
      <c r="AJ423">
        <v>1</v>
      </c>
      <c r="AK423">
        <v>5</v>
      </c>
      <c r="AL423">
        <v>35.57</v>
      </c>
      <c r="AO423" t="s">
        <v>2926</v>
      </c>
      <c r="AP423">
        <v>12000</v>
      </c>
      <c r="AQ423" t="s">
        <v>2968</v>
      </c>
      <c r="AV423">
        <v>1.2</v>
      </c>
      <c r="AW423" t="s">
        <v>372</v>
      </c>
      <c r="AX423" t="s">
        <v>127</v>
      </c>
    </row>
    <row r="424" spans="1:50">
      <c r="A424" s="1">
        <f>HYPERLINK("https://lsnyc.legalserver.org/matter/dynamic-profile/view/1861239","18-1861239")</f>
        <v>0</v>
      </c>
      <c r="B424" t="s">
        <v>50</v>
      </c>
      <c r="C424" t="s">
        <v>97</v>
      </c>
      <c r="D424" t="s">
        <v>163</v>
      </c>
      <c r="E424" t="s">
        <v>368</v>
      </c>
      <c r="G424" t="s">
        <v>685</v>
      </c>
      <c r="H424" t="s">
        <v>810</v>
      </c>
      <c r="I424" t="s">
        <v>1391</v>
      </c>
      <c r="J424">
        <v>73</v>
      </c>
      <c r="K424" t="s">
        <v>1643</v>
      </c>
      <c r="L424">
        <v>10031</v>
      </c>
      <c r="M424" t="s">
        <v>1671</v>
      </c>
      <c r="Q424" t="s">
        <v>1952</v>
      </c>
      <c r="R424" t="s">
        <v>1960</v>
      </c>
      <c r="T424" t="s">
        <v>1671</v>
      </c>
      <c r="V424" t="s">
        <v>1972</v>
      </c>
      <c r="X424" t="s">
        <v>1989</v>
      </c>
      <c r="Y424">
        <v>0</v>
      </c>
      <c r="Z424" t="s">
        <v>2008</v>
      </c>
      <c r="AA424" t="s">
        <v>2020</v>
      </c>
      <c r="AC424" t="s">
        <v>2374</v>
      </c>
      <c r="AD424" t="s">
        <v>2803</v>
      </c>
      <c r="AE424">
        <v>30</v>
      </c>
      <c r="AF424" t="s">
        <v>2902</v>
      </c>
      <c r="AG424" t="s">
        <v>1754</v>
      </c>
      <c r="AH424">
        <v>5</v>
      </c>
      <c r="AJ424">
        <v>1</v>
      </c>
      <c r="AK424">
        <v>3</v>
      </c>
      <c r="AL424">
        <v>69.47</v>
      </c>
      <c r="AO424" t="s">
        <v>2926</v>
      </c>
      <c r="AP424">
        <v>26232</v>
      </c>
      <c r="AV424">
        <v>15.7</v>
      </c>
      <c r="AW424" t="s">
        <v>228</v>
      </c>
      <c r="AX424" t="s">
        <v>3042</v>
      </c>
    </row>
    <row r="425" spans="1:50">
      <c r="A425" s="1">
        <f>HYPERLINK("https://lsnyc.legalserver.org/matter/dynamic-profile/view/1895693","19-1895693")</f>
        <v>0</v>
      </c>
      <c r="B425" t="s">
        <v>50</v>
      </c>
      <c r="C425" t="s">
        <v>69</v>
      </c>
      <c r="D425" t="s">
        <v>164</v>
      </c>
      <c r="E425" t="s">
        <v>240</v>
      </c>
      <c r="F425" t="s">
        <v>240</v>
      </c>
      <c r="G425" t="s">
        <v>686</v>
      </c>
      <c r="H425" t="s">
        <v>777</v>
      </c>
      <c r="I425" t="s">
        <v>1392</v>
      </c>
      <c r="J425" t="s">
        <v>1477</v>
      </c>
      <c r="K425" t="s">
        <v>1644</v>
      </c>
      <c r="L425">
        <v>11230</v>
      </c>
      <c r="M425" t="s">
        <v>1671</v>
      </c>
      <c r="Q425" t="s">
        <v>1675</v>
      </c>
      <c r="R425" t="s">
        <v>1958</v>
      </c>
      <c r="S425" t="s">
        <v>1965</v>
      </c>
      <c r="T425" t="s">
        <v>1671</v>
      </c>
      <c r="V425" t="s">
        <v>1972</v>
      </c>
      <c r="X425" t="s">
        <v>240</v>
      </c>
      <c r="Y425">
        <v>0</v>
      </c>
      <c r="Z425" t="s">
        <v>2009</v>
      </c>
      <c r="AB425" t="s">
        <v>2029</v>
      </c>
      <c r="AC425" t="s">
        <v>2375</v>
      </c>
      <c r="AD425" t="s">
        <v>2804</v>
      </c>
      <c r="AE425">
        <v>0</v>
      </c>
      <c r="AH425">
        <v>0</v>
      </c>
      <c r="AJ425">
        <v>2</v>
      </c>
      <c r="AK425">
        <v>1</v>
      </c>
      <c r="AL425">
        <v>187.53</v>
      </c>
      <c r="AO425" t="s">
        <v>2926</v>
      </c>
      <c r="AP425">
        <v>40000</v>
      </c>
      <c r="AV425">
        <v>1.2</v>
      </c>
      <c r="AW425" t="s">
        <v>240</v>
      </c>
      <c r="AX425" t="s">
        <v>69</v>
      </c>
    </row>
    <row r="426" spans="1:50">
      <c r="A426" s="1">
        <f>HYPERLINK("https://lsnyc.legalserver.org/matter/dynamic-profile/view/1885707","18-1885707")</f>
        <v>0</v>
      </c>
      <c r="B426" t="s">
        <v>50</v>
      </c>
      <c r="C426" t="s">
        <v>94</v>
      </c>
      <c r="D426" t="s">
        <v>164</v>
      </c>
      <c r="E426" t="s">
        <v>306</v>
      </c>
      <c r="F426" t="s">
        <v>253</v>
      </c>
      <c r="G426" t="s">
        <v>521</v>
      </c>
      <c r="H426" t="s">
        <v>1048</v>
      </c>
      <c r="I426" t="s">
        <v>1393</v>
      </c>
      <c r="J426">
        <v>24</v>
      </c>
      <c r="K426" t="s">
        <v>1643</v>
      </c>
      <c r="L426">
        <v>10040</v>
      </c>
      <c r="M426" t="s">
        <v>1670</v>
      </c>
      <c r="P426" t="s">
        <v>1876</v>
      </c>
      <c r="Q426" t="s">
        <v>1936</v>
      </c>
      <c r="R426" t="s">
        <v>1960</v>
      </c>
      <c r="S426" t="s">
        <v>1969</v>
      </c>
      <c r="T426" t="s">
        <v>1671</v>
      </c>
      <c r="V426" t="s">
        <v>1972</v>
      </c>
      <c r="X426" t="s">
        <v>306</v>
      </c>
      <c r="Y426">
        <v>1400</v>
      </c>
      <c r="Z426" t="s">
        <v>2008</v>
      </c>
      <c r="AA426" t="s">
        <v>2019</v>
      </c>
      <c r="AB426" t="s">
        <v>2033</v>
      </c>
      <c r="AC426" t="s">
        <v>2376</v>
      </c>
      <c r="AD426" t="s">
        <v>2805</v>
      </c>
      <c r="AE426">
        <v>21</v>
      </c>
      <c r="AF426" t="s">
        <v>2902</v>
      </c>
      <c r="AG426" t="s">
        <v>1754</v>
      </c>
      <c r="AH426">
        <v>1</v>
      </c>
      <c r="AJ426">
        <v>3</v>
      </c>
      <c r="AK426">
        <v>3</v>
      </c>
      <c r="AL426">
        <v>107.88</v>
      </c>
      <c r="AO426" t="s">
        <v>2927</v>
      </c>
      <c r="AP426">
        <v>36400</v>
      </c>
      <c r="AV426">
        <v>50.2</v>
      </c>
      <c r="AW426" t="s">
        <v>253</v>
      </c>
      <c r="AX426" t="s">
        <v>3042</v>
      </c>
    </row>
    <row r="427" spans="1:50">
      <c r="A427" s="1">
        <f>HYPERLINK("https://lsnyc.legalserver.org/matter/dynamic-profile/view/1886842","19-1886842")</f>
        <v>0</v>
      </c>
      <c r="B427" t="s">
        <v>50</v>
      </c>
      <c r="C427" t="s">
        <v>96</v>
      </c>
      <c r="D427" t="s">
        <v>163</v>
      </c>
      <c r="E427" t="s">
        <v>202</v>
      </c>
      <c r="G427" t="s">
        <v>687</v>
      </c>
      <c r="H427" t="s">
        <v>921</v>
      </c>
      <c r="I427" t="s">
        <v>1394</v>
      </c>
      <c r="J427" t="s">
        <v>1510</v>
      </c>
      <c r="K427" t="s">
        <v>1644</v>
      </c>
      <c r="L427">
        <v>11231</v>
      </c>
      <c r="M427" t="s">
        <v>1670</v>
      </c>
      <c r="P427" t="s">
        <v>1877</v>
      </c>
      <c r="Q427" t="s">
        <v>1936</v>
      </c>
      <c r="R427" t="s">
        <v>1960</v>
      </c>
      <c r="V427" t="s">
        <v>1972</v>
      </c>
      <c r="W427" t="s">
        <v>1983</v>
      </c>
      <c r="X427" t="s">
        <v>353</v>
      </c>
      <c r="Y427">
        <v>995.25</v>
      </c>
      <c r="Z427" t="s">
        <v>2009</v>
      </c>
      <c r="AC427" t="s">
        <v>2377</v>
      </c>
      <c r="AD427" t="s">
        <v>2806</v>
      </c>
      <c r="AE427">
        <v>20</v>
      </c>
      <c r="AH427">
        <v>15</v>
      </c>
      <c r="AJ427">
        <v>2</v>
      </c>
      <c r="AK427">
        <v>2</v>
      </c>
      <c r="AL427">
        <v>94.02</v>
      </c>
      <c r="AO427" t="s">
        <v>2926</v>
      </c>
      <c r="AP427">
        <v>23600</v>
      </c>
      <c r="AR427" t="s">
        <v>2976</v>
      </c>
      <c r="AS427" t="s">
        <v>2988</v>
      </c>
      <c r="AT427" t="s">
        <v>2992</v>
      </c>
      <c r="AV427">
        <v>12.05</v>
      </c>
      <c r="AW427" t="s">
        <v>316</v>
      </c>
      <c r="AX427" t="s">
        <v>158</v>
      </c>
    </row>
    <row r="428" spans="1:50">
      <c r="A428" s="1">
        <f>HYPERLINK("https://lsnyc.legalserver.org/matter/dynamic-profile/view/1897230","19-1897230")</f>
        <v>0</v>
      </c>
      <c r="B428" t="s">
        <v>50</v>
      </c>
      <c r="C428" t="s">
        <v>73</v>
      </c>
      <c r="D428" t="s">
        <v>163</v>
      </c>
      <c r="E428" t="s">
        <v>203</v>
      </c>
      <c r="G428" t="s">
        <v>688</v>
      </c>
      <c r="H428" t="s">
        <v>1049</v>
      </c>
      <c r="I428" t="s">
        <v>1293</v>
      </c>
      <c r="J428" t="s">
        <v>1522</v>
      </c>
      <c r="K428" t="s">
        <v>1645</v>
      </c>
      <c r="L428">
        <v>11691</v>
      </c>
      <c r="M428" t="s">
        <v>1670</v>
      </c>
      <c r="Q428" t="s">
        <v>1941</v>
      </c>
      <c r="R428" t="s">
        <v>1962</v>
      </c>
      <c r="T428" t="s">
        <v>1670</v>
      </c>
      <c r="V428" t="s">
        <v>1972</v>
      </c>
      <c r="X428" t="s">
        <v>203</v>
      </c>
      <c r="Y428">
        <v>660</v>
      </c>
      <c r="Z428" t="s">
        <v>2007</v>
      </c>
      <c r="AA428" t="s">
        <v>2016</v>
      </c>
      <c r="AC428" t="s">
        <v>2378</v>
      </c>
      <c r="AD428" t="s">
        <v>2807</v>
      </c>
      <c r="AE428">
        <v>43</v>
      </c>
      <c r="AF428" t="s">
        <v>2902</v>
      </c>
      <c r="AG428" t="s">
        <v>1754</v>
      </c>
      <c r="AH428">
        <v>10</v>
      </c>
      <c r="AJ428">
        <v>3</v>
      </c>
      <c r="AK428">
        <v>1</v>
      </c>
      <c r="AL428">
        <v>60.58</v>
      </c>
      <c r="AO428" t="s">
        <v>2926</v>
      </c>
      <c r="AP428">
        <v>15600</v>
      </c>
      <c r="AV428">
        <v>0</v>
      </c>
      <c r="AX428" t="s">
        <v>3044</v>
      </c>
    </row>
    <row r="429" spans="1:50">
      <c r="A429" s="1">
        <f>HYPERLINK("https://lsnyc.legalserver.org/matter/dynamic-profile/view/1897119","19-1897119")</f>
        <v>0</v>
      </c>
      <c r="B429" t="s">
        <v>50</v>
      </c>
      <c r="C429" t="s">
        <v>73</v>
      </c>
      <c r="D429" t="s">
        <v>163</v>
      </c>
      <c r="E429" t="s">
        <v>203</v>
      </c>
      <c r="G429" t="s">
        <v>688</v>
      </c>
      <c r="H429" t="s">
        <v>1049</v>
      </c>
      <c r="I429" t="s">
        <v>1293</v>
      </c>
      <c r="J429" t="s">
        <v>1522</v>
      </c>
      <c r="K429" t="s">
        <v>1645</v>
      </c>
      <c r="L429">
        <v>11691</v>
      </c>
      <c r="M429" t="s">
        <v>1670</v>
      </c>
      <c r="Q429" t="s">
        <v>1938</v>
      </c>
      <c r="R429" t="s">
        <v>1961</v>
      </c>
      <c r="T429" t="s">
        <v>1670</v>
      </c>
      <c r="V429" t="s">
        <v>1972</v>
      </c>
      <c r="X429" t="s">
        <v>203</v>
      </c>
      <c r="Y429">
        <v>660</v>
      </c>
      <c r="Z429" t="s">
        <v>2007</v>
      </c>
      <c r="AA429" t="s">
        <v>2016</v>
      </c>
      <c r="AC429" t="s">
        <v>2378</v>
      </c>
      <c r="AD429" t="s">
        <v>2807</v>
      </c>
      <c r="AE429">
        <v>43</v>
      </c>
      <c r="AF429" t="s">
        <v>2902</v>
      </c>
      <c r="AG429" t="s">
        <v>1754</v>
      </c>
      <c r="AH429">
        <v>10</v>
      </c>
      <c r="AJ429">
        <v>3</v>
      </c>
      <c r="AK429">
        <v>1</v>
      </c>
      <c r="AL429">
        <v>60.58</v>
      </c>
      <c r="AO429" t="s">
        <v>2926</v>
      </c>
      <c r="AP429">
        <v>15600</v>
      </c>
      <c r="AV429">
        <v>0</v>
      </c>
      <c r="AX429" t="s">
        <v>3044</v>
      </c>
    </row>
    <row r="430" spans="1:50">
      <c r="A430" s="1">
        <f>HYPERLINK("https://lsnyc.legalserver.org/matter/dynamic-profile/view/1897336","19-1897336")</f>
        <v>0</v>
      </c>
      <c r="B430" t="s">
        <v>50</v>
      </c>
      <c r="C430" t="s">
        <v>140</v>
      </c>
      <c r="D430" t="s">
        <v>163</v>
      </c>
      <c r="E430" t="s">
        <v>203</v>
      </c>
      <c r="G430" t="s">
        <v>689</v>
      </c>
      <c r="H430" t="s">
        <v>1050</v>
      </c>
      <c r="I430" t="s">
        <v>1395</v>
      </c>
      <c r="J430" t="s">
        <v>1602</v>
      </c>
      <c r="K430" t="s">
        <v>1656</v>
      </c>
      <c r="L430">
        <v>11101</v>
      </c>
      <c r="M430" t="s">
        <v>1670</v>
      </c>
      <c r="P430" t="s">
        <v>1878</v>
      </c>
      <c r="Q430" t="s">
        <v>1940</v>
      </c>
      <c r="R430" t="s">
        <v>1960</v>
      </c>
      <c r="T430" t="s">
        <v>1671</v>
      </c>
      <c r="V430" t="s">
        <v>1972</v>
      </c>
      <c r="W430" t="s">
        <v>1987</v>
      </c>
      <c r="X430" t="s">
        <v>203</v>
      </c>
      <c r="Y430">
        <v>1311</v>
      </c>
      <c r="Z430" t="s">
        <v>2007</v>
      </c>
      <c r="AA430" t="s">
        <v>2014</v>
      </c>
      <c r="AC430" t="s">
        <v>2070</v>
      </c>
      <c r="AD430" t="s">
        <v>2808</v>
      </c>
      <c r="AE430">
        <v>0</v>
      </c>
      <c r="AF430" t="s">
        <v>2902</v>
      </c>
      <c r="AG430" t="s">
        <v>1754</v>
      </c>
      <c r="AH430">
        <v>21</v>
      </c>
      <c r="AJ430">
        <v>2</v>
      </c>
      <c r="AK430">
        <v>1</v>
      </c>
      <c r="AL430">
        <v>117.21</v>
      </c>
      <c r="AO430" t="s">
        <v>2926</v>
      </c>
      <c r="AP430">
        <v>25000</v>
      </c>
      <c r="AV430">
        <v>7.55</v>
      </c>
      <c r="AW430" t="s">
        <v>289</v>
      </c>
      <c r="AX430" t="s">
        <v>3044</v>
      </c>
    </row>
    <row r="431" spans="1:50">
      <c r="A431" s="1">
        <f>HYPERLINK("https://lsnyc.legalserver.org/matter/dynamic-profile/view/1903412","19-1903412")</f>
        <v>0</v>
      </c>
      <c r="B431" t="s">
        <v>50</v>
      </c>
      <c r="C431" t="s">
        <v>140</v>
      </c>
      <c r="D431" t="s">
        <v>163</v>
      </c>
      <c r="E431" t="s">
        <v>222</v>
      </c>
      <c r="G431" t="s">
        <v>456</v>
      </c>
      <c r="H431" t="s">
        <v>770</v>
      </c>
      <c r="I431" t="s">
        <v>1396</v>
      </c>
      <c r="J431" t="s">
        <v>1534</v>
      </c>
      <c r="K431" t="s">
        <v>1665</v>
      </c>
      <c r="L431">
        <v>11374</v>
      </c>
      <c r="M431" t="s">
        <v>1670</v>
      </c>
      <c r="P431" t="s">
        <v>1879</v>
      </c>
      <c r="Q431" t="s">
        <v>1940</v>
      </c>
      <c r="R431" t="s">
        <v>1963</v>
      </c>
      <c r="T431" t="s">
        <v>1671</v>
      </c>
      <c r="V431" t="s">
        <v>1972</v>
      </c>
      <c r="X431" t="s">
        <v>222</v>
      </c>
      <c r="Y431">
        <v>1900</v>
      </c>
      <c r="Z431" t="s">
        <v>2007</v>
      </c>
      <c r="AA431" t="s">
        <v>2014</v>
      </c>
      <c r="AC431" t="s">
        <v>2379</v>
      </c>
      <c r="AD431" t="s">
        <v>2809</v>
      </c>
      <c r="AE431">
        <v>54</v>
      </c>
      <c r="AF431" t="s">
        <v>2902</v>
      </c>
      <c r="AG431" t="s">
        <v>1754</v>
      </c>
      <c r="AH431">
        <v>4</v>
      </c>
      <c r="AJ431">
        <v>2</v>
      </c>
      <c r="AK431">
        <v>1</v>
      </c>
      <c r="AL431">
        <v>51.57</v>
      </c>
      <c r="AO431" t="s">
        <v>2926</v>
      </c>
      <c r="AP431">
        <v>11000</v>
      </c>
      <c r="AV431">
        <v>1.2</v>
      </c>
      <c r="AW431" t="s">
        <v>393</v>
      </c>
      <c r="AX431" t="s">
        <v>3044</v>
      </c>
    </row>
    <row r="432" spans="1:50">
      <c r="A432" s="1">
        <f>HYPERLINK("https://lsnyc.legalserver.org/matter/dynamic-profile/view/1899758","19-1899758")</f>
        <v>0</v>
      </c>
      <c r="B432" t="s">
        <v>50</v>
      </c>
      <c r="C432" t="s">
        <v>126</v>
      </c>
      <c r="D432" t="s">
        <v>163</v>
      </c>
      <c r="E432" t="s">
        <v>369</v>
      </c>
      <c r="G432" t="s">
        <v>690</v>
      </c>
      <c r="H432" t="s">
        <v>1051</v>
      </c>
      <c r="I432" t="s">
        <v>1131</v>
      </c>
      <c r="J432" t="s">
        <v>1624</v>
      </c>
      <c r="K432" t="s">
        <v>1641</v>
      </c>
      <c r="L432">
        <v>10460</v>
      </c>
      <c r="M432" t="s">
        <v>1670</v>
      </c>
      <c r="P432" t="s">
        <v>1880</v>
      </c>
      <c r="Q432" t="s">
        <v>1936</v>
      </c>
      <c r="R432" t="s">
        <v>1960</v>
      </c>
      <c r="T432" t="s">
        <v>1671</v>
      </c>
      <c r="V432" t="s">
        <v>1972</v>
      </c>
      <c r="X432" t="s">
        <v>1991</v>
      </c>
      <c r="Y432">
        <v>832.5</v>
      </c>
      <c r="Z432" t="s">
        <v>2006</v>
      </c>
      <c r="AA432" t="s">
        <v>2020</v>
      </c>
      <c r="AC432" t="s">
        <v>2380</v>
      </c>
      <c r="AD432" t="s">
        <v>2810</v>
      </c>
      <c r="AE432">
        <v>169</v>
      </c>
      <c r="AF432" t="s">
        <v>2902</v>
      </c>
      <c r="AG432" t="s">
        <v>2915</v>
      </c>
      <c r="AH432">
        <v>15</v>
      </c>
      <c r="AJ432">
        <v>2</v>
      </c>
      <c r="AK432">
        <v>1</v>
      </c>
      <c r="AL432">
        <v>64.81</v>
      </c>
      <c r="AO432" t="s">
        <v>2926</v>
      </c>
      <c r="AP432">
        <v>13824</v>
      </c>
      <c r="AV432">
        <v>6.5</v>
      </c>
      <c r="AW432" t="s">
        <v>337</v>
      </c>
      <c r="AX432" t="s">
        <v>3047</v>
      </c>
    </row>
    <row r="433" spans="1:50">
      <c r="A433" s="1">
        <f>HYPERLINK("https://lsnyc.legalserver.org/matter/dynamic-profile/view/1886876","19-1886876")</f>
        <v>0</v>
      </c>
      <c r="B433" t="s">
        <v>50</v>
      </c>
      <c r="C433" t="s">
        <v>74</v>
      </c>
      <c r="D433" t="s">
        <v>163</v>
      </c>
      <c r="E433" t="s">
        <v>214</v>
      </c>
      <c r="G433" t="s">
        <v>690</v>
      </c>
      <c r="H433" t="s">
        <v>1051</v>
      </c>
      <c r="I433" t="s">
        <v>1131</v>
      </c>
      <c r="J433" t="s">
        <v>1624</v>
      </c>
      <c r="K433" t="s">
        <v>1641</v>
      </c>
      <c r="L433">
        <v>10460</v>
      </c>
      <c r="M433" t="s">
        <v>1670</v>
      </c>
      <c r="P433" t="s">
        <v>1795</v>
      </c>
      <c r="Q433" t="s">
        <v>1939</v>
      </c>
      <c r="R433" t="s">
        <v>1960</v>
      </c>
      <c r="T433" t="s">
        <v>1670</v>
      </c>
      <c r="V433" t="s">
        <v>1972</v>
      </c>
      <c r="X433" t="s">
        <v>1991</v>
      </c>
      <c r="Y433">
        <v>832.5</v>
      </c>
      <c r="Z433" t="s">
        <v>2006</v>
      </c>
      <c r="AA433" t="s">
        <v>2015</v>
      </c>
      <c r="AC433" t="s">
        <v>2380</v>
      </c>
      <c r="AD433" t="s">
        <v>2810</v>
      </c>
      <c r="AE433">
        <v>169</v>
      </c>
      <c r="AF433" t="s">
        <v>2902</v>
      </c>
      <c r="AG433" t="s">
        <v>2915</v>
      </c>
      <c r="AH433">
        <v>15</v>
      </c>
      <c r="AJ433">
        <v>2</v>
      </c>
      <c r="AK433">
        <v>1</v>
      </c>
      <c r="AL433">
        <v>66.53</v>
      </c>
      <c r="AO433" t="s">
        <v>2926</v>
      </c>
      <c r="AP433">
        <v>13824</v>
      </c>
      <c r="AQ433" t="s">
        <v>2969</v>
      </c>
      <c r="AV433">
        <v>0</v>
      </c>
      <c r="AX433" t="s">
        <v>3047</v>
      </c>
    </row>
    <row r="434" spans="1:50">
      <c r="A434" s="1">
        <f>HYPERLINK("https://lsnyc.legalserver.org/matter/dynamic-profile/view/1874115","18-1874115")</f>
        <v>0</v>
      </c>
      <c r="B434" t="s">
        <v>50</v>
      </c>
      <c r="C434" t="s">
        <v>102</v>
      </c>
      <c r="D434" t="s">
        <v>164</v>
      </c>
      <c r="E434" t="s">
        <v>370</v>
      </c>
      <c r="F434" t="s">
        <v>297</v>
      </c>
      <c r="G434" t="s">
        <v>563</v>
      </c>
      <c r="H434" t="s">
        <v>843</v>
      </c>
      <c r="I434" t="s">
        <v>1397</v>
      </c>
      <c r="J434" t="s">
        <v>1622</v>
      </c>
      <c r="K434" t="s">
        <v>1643</v>
      </c>
      <c r="L434">
        <v>10029</v>
      </c>
      <c r="M434" t="s">
        <v>1670</v>
      </c>
      <c r="P434" t="s">
        <v>1881</v>
      </c>
      <c r="Q434" t="s">
        <v>1939</v>
      </c>
      <c r="R434" t="s">
        <v>1958</v>
      </c>
      <c r="S434" t="s">
        <v>1965</v>
      </c>
      <c r="T434" t="s">
        <v>1670</v>
      </c>
      <c r="V434" t="s">
        <v>1972</v>
      </c>
      <c r="W434" t="s">
        <v>1984</v>
      </c>
      <c r="X434" t="s">
        <v>351</v>
      </c>
      <c r="Y434">
        <v>1101</v>
      </c>
      <c r="Z434" t="s">
        <v>2008</v>
      </c>
      <c r="AA434" t="s">
        <v>2024</v>
      </c>
      <c r="AB434" t="s">
        <v>2029</v>
      </c>
      <c r="AC434" t="s">
        <v>2381</v>
      </c>
      <c r="AD434" t="s">
        <v>2811</v>
      </c>
      <c r="AE434">
        <v>76</v>
      </c>
      <c r="AF434" t="s">
        <v>2902</v>
      </c>
      <c r="AG434" t="s">
        <v>1754</v>
      </c>
      <c r="AH434">
        <v>5</v>
      </c>
      <c r="AJ434">
        <v>1</v>
      </c>
      <c r="AK434">
        <v>1</v>
      </c>
      <c r="AL434">
        <v>196.84</v>
      </c>
      <c r="AO434" t="s">
        <v>2926</v>
      </c>
      <c r="AP434">
        <v>32400</v>
      </c>
      <c r="AV434">
        <v>2</v>
      </c>
      <c r="AW434" t="s">
        <v>229</v>
      </c>
      <c r="AX434" t="s">
        <v>3066</v>
      </c>
    </row>
    <row r="435" spans="1:50">
      <c r="A435" s="1">
        <f>HYPERLINK("https://lsnyc.legalserver.org/matter/dynamic-profile/view/1878974","18-1878974")</f>
        <v>0</v>
      </c>
      <c r="B435" t="s">
        <v>50</v>
      </c>
      <c r="C435" t="s">
        <v>71</v>
      </c>
      <c r="D435" t="s">
        <v>164</v>
      </c>
      <c r="E435" t="s">
        <v>200</v>
      </c>
      <c r="F435" t="s">
        <v>361</v>
      </c>
      <c r="G435" t="s">
        <v>649</v>
      </c>
      <c r="H435" t="s">
        <v>806</v>
      </c>
      <c r="I435" t="s">
        <v>1398</v>
      </c>
      <c r="K435" t="s">
        <v>1646</v>
      </c>
      <c r="L435">
        <v>10304</v>
      </c>
      <c r="M435" t="s">
        <v>1670</v>
      </c>
      <c r="P435" t="s">
        <v>1882</v>
      </c>
      <c r="Q435" t="s">
        <v>1936</v>
      </c>
      <c r="R435" t="s">
        <v>1960</v>
      </c>
      <c r="S435" t="s">
        <v>1969</v>
      </c>
      <c r="T435" t="s">
        <v>1671</v>
      </c>
      <c r="V435" t="s">
        <v>1972</v>
      </c>
      <c r="W435" t="s">
        <v>1984</v>
      </c>
      <c r="X435" t="s">
        <v>200</v>
      </c>
      <c r="Y435">
        <v>325</v>
      </c>
      <c r="Z435" t="s">
        <v>2010</v>
      </c>
      <c r="AA435" t="s">
        <v>2020</v>
      </c>
      <c r="AB435" t="s">
        <v>2032</v>
      </c>
      <c r="AC435" t="s">
        <v>2382</v>
      </c>
      <c r="AD435" t="s">
        <v>2812</v>
      </c>
      <c r="AE435">
        <v>2</v>
      </c>
      <c r="AF435" t="s">
        <v>2909</v>
      </c>
      <c r="AG435" t="s">
        <v>2915</v>
      </c>
      <c r="AH435">
        <v>19</v>
      </c>
      <c r="AJ435">
        <v>1</v>
      </c>
      <c r="AK435">
        <v>1</v>
      </c>
      <c r="AL435">
        <v>54.68</v>
      </c>
      <c r="AO435" t="s">
        <v>2926</v>
      </c>
      <c r="AP435">
        <v>9000</v>
      </c>
      <c r="AR435" t="s">
        <v>2979</v>
      </c>
      <c r="AS435" t="s">
        <v>2982</v>
      </c>
      <c r="AT435" t="s">
        <v>2992</v>
      </c>
      <c r="AU435" t="s">
        <v>3024</v>
      </c>
      <c r="AV435">
        <v>15.25</v>
      </c>
      <c r="AW435" t="s">
        <v>361</v>
      </c>
      <c r="AX435" t="s">
        <v>3062</v>
      </c>
    </row>
    <row r="436" spans="1:50">
      <c r="A436" s="1">
        <f>HYPERLINK("https://lsnyc.legalserver.org/matter/dynamic-profile/view/1891536","19-1891536")</f>
        <v>0</v>
      </c>
      <c r="B436" t="s">
        <v>50</v>
      </c>
      <c r="C436" t="s">
        <v>119</v>
      </c>
      <c r="D436" t="s">
        <v>164</v>
      </c>
      <c r="E436" t="s">
        <v>294</v>
      </c>
      <c r="F436" t="s">
        <v>190</v>
      </c>
      <c r="G436" t="s">
        <v>691</v>
      </c>
      <c r="H436" t="s">
        <v>1052</v>
      </c>
      <c r="I436" t="s">
        <v>1399</v>
      </c>
      <c r="J436" t="s">
        <v>1543</v>
      </c>
      <c r="K436" t="s">
        <v>1644</v>
      </c>
      <c r="L436">
        <v>11208</v>
      </c>
      <c r="M436" t="s">
        <v>1670</v>
      </c>
      <c r="P436" t="s">
        <v>1883</v>
      </c>
      <c r="Q436" t="s">
        <v>1940</v>
      </c>
      <c r="R436" t="s">
        <v>1962</v>
      </c>
      <c r="S436" t="s">
        <v>1968</v>
      </c>
      <c r="V436" t="s">
        <v>1972</v>
      </c>
      <c r="X436" t="s">
        <v>294</v>
      </c>
      <c r="Y436">
        <v>1500</v>
      </c>
      <c r="Z436" t="s">
        <v>2009</v>
      </c>
      <c r="AA436" t="s">
        <v>2014</v>
      </c>
      <c r="AB436" t="s">
        <v>2034</v>
      </c>
      <c r="AC436" t="s">
        <v>2383</v>
      </c>
      <c r="AD436" t="s">
        <v>2813</v>
      </c>
      <c r="AE436">
        <v>6</v>
      </c>
      <c r="AF436" t="s">
        <v>2903</v>
      </c>
      <c r="AH436">
        <v>3</v>
      </c>
      <c r="AJ436">
        <v>1</v>
      </c>
      <c r="AK436">
        <v>2</v>
      </c>
      <c r="AL436">
        <v>107.83</v>
      </c>
      <c r="AO436" t="s">
        <v>2927</v>
      </c>
      <c r="AP436">
        <v>23000</v>
      </c>
      <c r="AV436">
        <v>1.2</v>
      </c>
      <c r="AW436" t="s">
        <v>294</v>
      </c>
      <c r="AX436" t="s">
        <v>3049</v>
      </c>
    </row>
    <row r="437" spans="1:50">
      <c r="A437" s="1">
        <f>HYPERLINK("https://lsnyc.legalserver.org/matter/dynamic-profile/view/1885400","18-1885400")</f>
        <v>0</v>
      </c>
      <c r="B437" t="s">
        <v>50</v>
      </c>
      <c r="C437" t="s">
        <v>103</v>
      </c>
      <c r="D437" t="s">
        <v>164</v>
      </c>
      <c r="E437" t="s">
        <v>231</v>
      </c>
      <c r="F437" t="s">
        <v>223</v>
      </c>
      <c r="G437" t="s">
        <v>692</v>
      </c>
      <c r="H437" t="s">
        <v>1053</v>
      </c>
      <c r="I437" t="s">
        <v>1400</v>
      </c>
      <c r="J437">
        <v>1</v>
      </c>
      <c r="K437" t="s">
        <v>1644</v>
      </c>
      <c r="L437">
        <v>11207</v>
      </c>
      <c r="M437" t="s">
        <v>1670</v>
      </c>
      <c r="R437" t="s">
        <v>1958</v>
      </c>
      <c r="S437" t="s">
        <v>1965</v>
      </c>
      <c r="V437" t="s">
        <v>1972</v>
      </c>
      <c r="X437" t="s">
        <v>231</v>
      </c>
      <c r="Y437">
        <v>0</v>
      </c>
      <c r="Z437" t="s">
        <v>2009</v>
      </c>
      <c r="AB437" t="s">
        <v>2029</v>
      </c>
      <c r="AC437" t="s">
        <v>2384</v>
      </c>
      <c r="AD437" t="s">
        <v>2814</v>
      </c>
      <c r="AE437">
        <v>0</v>
      </c>
      <c r="AH437">
        <v>0</v>
      </c>
      <c r="AJ437">
        <v>1</v>
      </c>
      <c r="AK437">
        <v>2</v>
      </c>
      <c r="AL437">
        <v>44.52</v>
      </c>
      <c r="AP437">
        <v>9252</v>
      </c>
      <c r="AV437">
        <v>0.75</v>
      </c>
      <c r="AW437" t="s">
        <v>231</v>
      </c>
      <c r="AX437" t="s">
        <v>103</v>
      </c>
    </row>
    <row r="438" spans="1:50">
      <c r="A438" s="1">
        <f>HYPERLINK("https://lsnyc.legalserver.org/matter/dynamic-profile/view/1884173","18-1884173")</f>
        <v>0</v>
      </c>
      <c r="B438" t="s">
        <v>50</v>
      </c>
      <c r="C438" t="s">
        <v>119</v>
      </c>
      <c r="D438" t="s">
        <v>164</v>
      </c>
      <c r="E438" t="s">
        <v>371</v>
      </c>
      <c r="F438" t="s">
        <v>306</v>
      </c>
      <c r="G438" t="s">
        <v>502</v>
      </c>
      <c r="H438" t="s">
        <v>1054</v>
      </c>
      <c r="I438" t="s">
        <v>1401</v>
      </c>
      <c r="K438" t="s">
        <v>1644</v>
      </c>
      <c r="L438">
        <v>11207</v>
      </c>
      <c r="M438" t="s">
        <v>1670</v>
      </c>
      <c r="P438" t="s">
        <v>1884</v>
      </c>
      <c r="Q438" t="s">
        <v>1936</v>
      </c>
      <c r="R438" t="s">
        <v>1958</v>
      </c>
      <c r="S438" t="s">
        <v>1965</v>
      </c>
      <c r="T438" t="s">
        <v>1671</v>
      </c>
      <c r="V438" t="s">
        <v>1972</v>
      </c>
      <c r="W438" t="s">
        <v>1985</v>
      </c>
      <c r="X438" t="s">
        <v>224</v>
      </c>
      <c r="Y438">
        <v>1775</v>
      </c>
      <c r="Z438" t="s">
        <v>2009</v>
      </c>
      <c r="AA438" t="s">
        <v>2011</v>
      </c>
      <c r="AB438" t="s">
        <v>2029</v>
      </c>
      <c r="AC438" t="s">
        <v>2385</v>
      </c>
      <c r="AD438" t="s">
        <v>2815</v>
      </c>
      <c r="AE438">
        <v>4</v>
      </c>
      <c r="AF438" t="s">
        <v>2903</v>
      </c>
      <c r="AG438" t="s">
        <v>1754</v>
      </c>
      <c r="AH438">
        <v>2</v>
      </c>
      <c r="AJ438">
        <v>2</v>
      </c>
      <c r="AK438">
        <v>1</v>
      </c>
      <c r="AL438">
        <v>125.12</v>
      </c>
      <c r="AO438" t="s">
        <v>2926</v>
      </c>
      <c r="AP438">
        <v>26000</v>
      </c>
      <c r="AV438">
        <v>1.5</v>
      </c>
      <c r="AW438" t="s">
        <v>371</v>
      </c>
      <c r="AX438" t="s">
        <v>3059</v>
      </c>
    </row>
    <row r="439" spans="1:50">
      <c r="A439" s="1">
        <f>HYPERLINK("https://lsnyc.legalserver.org/matter/dynamic-profile/view/1898006","19-1898006")</f>
        <v>0</v>
      </c>
      <c r="B439" t="s">
        <v>50</v>
      </c>
      <c r="C439" t="s">
        <v>103</v>
      </c>
      <c r="D439" t="s">
        <v>163</v>
      </c>
      <c r="E439" t="s">
        <v>239</v>
      </c>
      <c r="G439" t="s">
        <v>693</v>
      </c>
      <c r="H439" t="s">
        <v>1055</v>
      </c>
      <c r="I439" t="s">
        <v>1402</v>
      </c>
      <c r="J439">
        <v>1</v>
      </c>
      <c r="K439" t="s">
        <v>1644</v>
      </c>
      <c r="L439">
        <v>11208</v>
      </c>
      <c r="M439" t="s">
        <v>1670</v>
      </c>
      <c r="P439" t="s">
        <v>1885</v>
      </c>
      <c r="Q439" t="s">
        <v>1940</v>
      </c>
      <c r="R439" t="s">
        <v>1960</v>
      </c>
      <c r="V439" t="s">
        <v>1972</v>
      </c>
      <c r="X439" t="s">
        <v>239</v>
      </c>
      <c r="Y439">
        <v>1200</v>
      </c>
      <c r="Z439" t="s">
        <v>2009</v>
      </c>
      <c r="AA439" t="s">
        <v>2020</v>
      </c>
      <c r="AC439" t="s">
        <v>2386</v>
      </c>
      <c r="AD439" t="s">
        <v>2816</v>
      </c>
      <c r="AE439">
        <v>3</v>
      </c>
      <c r="AF439" t="s">
        <v>2904</v>
      </c>
      <c r="AH439">
        <v>1</v>
      </c>
      <c r="AJ439">
        <v>1</v>
      </c>
      <c r="AK439">
        <v>2</v>
      </c>
      <c r="AL439">
        <v>19.75</v>
      </c>
      <c r="AO439" t="s">
        <v>2926</v>
      </c>
      <c r="AP439">
        <v>4212</v>
      </c>
      <c r="AV439">
        <v>1.5</v>
      </c>
      <c r="AW439" t="s">
        <v>293</v>
      </c>
      <c r="AX439" t="s">
        <v>3049</v>
      </c>
    </row>
    <row r="440" spans="1:50">
      <c r="A440" s="1">
        <f>HYPERLINK("https://lsnyc.legalserver.org/matter/dynamic-profile/view/1874458","18-1874458")</f>
        <v>0</v>
      </c>
      <c r="B440" t="s">
        <v>50</v>
      </c>
      <c r="C440" t="s">
        <v>96</v>
      </c>
      <c r="D440" t="s">
        <v>163</v>
      </c>
      <c r="E440" t="s">
        <v>314</v>
      </c>
      <c r="G440" t="s">
        <v>694</v>
      </c>
      <c r="H440" t="s">
        <v>1000</v>
      </c>
      <c r="I440" t="s">
        <v>1403</v>
      </c>
      <c r="J440" t="s">
        <v>1625</v>
      </c>
      <c r="K440" t="s">
        <v>1644</v>
      </c>
      <c r="L440">
        <v>11226</v>
      </c>
      <c r="M440" t="s">
        <v>1670</v>
      </c>
      <c r="Q440" t="s">
        <v>1938</v>
      </c>
      <c r="R440" t="s">
        <v>1961</v>
      </c>
      <c r="T440" t="s">
        <v>1671</v>
      </c>
      <c r="V440" t="s">
        <v>1972</v>
      </c>
      <c r="X440" t="s">
        <v>352</v>
      </c>
      <c r="Y440">
        <v>859.1900000000001</v>
      </c>
      <c r="Z440" t="s">
        <v>2009</v>
      </c>
      <c r="AA440" t="s">
        <v>2016</v>
      </c>
      <c r="AC440" t="s">
        <v>2387</v>
      </c>
      <c r="AD440" t="s">
        <v>2817</v>
      </c>
      <c r="AE440">
        <v>0</v>
      </c>
      <c r="AF440" t="s">
        <v>2902</v>
      </c>
      <c r="AG440" t="s">
        <v>1754</v>
      </c>
      <c r="AH440">
        <v>10</v>
      </c>
      <c r="AJ440">
        <v>2</v>
      </c>
      <c r="AK440">
        <v>2</v>
      </c>
      <c r="AL440">
        <v>111.55</v>
      </c>
      <c r="AO440" t="s">
        <v>2926</v>
      </c>
      <c r="AP440">
        <v>28000</v>
      </c>
      <c r="AV440">
        <v>0.6</v>
      </c>
      <c r="AW440" t="s">
        <v>314</v>
      </c>
      <c r="AX440" t="s">
        <v>3079</v>
      </c>
    </row>
    <row r="441" spans="1:50">
      <c r="A441" s="1">
        <f>HYPERLINK("https://lsnyc.legalserver.org/matter/dynamic-profile/view/1879223","18-1879223")</f>
        <v>0</v>
      </c>
      <c r="B441" t="s">
        <v>50</v>
      </c>
      <c r="C441" t="s">
        <v>65</v>
      </c>
      <c r="D441" t="s">
        <v>163</v>
      </c>
      <c r="E441" t="s">
        <v>250</v>
      </c>
      <c r="G441" t="s">
        <v>695</v>
      </c>
      <c r="H441" t="s">
        <v>1016</v>
      </c>
      <c r="I441" t="s">
        <v>1121</v>
      </c>
      <c r="J441" t="s">
        <v>1484</v>
      </c>
      <c r="K441" t="s">
        <v>1644</v>
      </c>
      <c r="L441">
        <v>11226</v>
      </c>
      <c r="M441" t="s">
        <v>1670</v>
      </c>
      <c r="Q441" t="s">
        <v>1936</v>
      </c>
      <c r="R441" t="s">
        <v>1960</v>
      </c>
      <c r="V441" t="s">
        <v>1972</v>
      </c>
      <c r="X441" t="s">
        <v>252</v>
      </c>
      <c r="Y441">
        <v>0</v>
      </c>
      <c r="Z441" t="s">
        <v>2009</v>
      </c>
      <c r="AC441" t="s">
        <v>2388</v>
      </c>
      <c r="AD441" t="s">
        <v>2818</v>
      </c>
      <c r="AE441">
        <v>0</v>
      </c>
      <c r="AH441">
        <v>0</v>
      </c>
      <c r="AJ441">
        <v>4</v>
      </c>
      <c r="AK441">
        <v>1</v>
      </c>
      <c r="AL441">
        <v>198.25</v>
      </c>
      <c r="AO441" t="s">
        <v>2926</v>
      </c>
      <c r="AP441">
        <v>58324</v>
      </c>
      <c r="AV441">
        <v>81.55</v>
      </c>
      <c r="AW441" t="s">
        <v>403</v>
      </c>
      <c r="AX441" t="s">
        <v>69</v>
      </c>
    </row>
    <row r="442" spans="1:50">
      <c r="A442" s="1">
        <f>HYPERLINK("https://lsnyc.legalserver.org/matter/dynamic-profile/view/1887009","19-1887009")</f>
        <v>0</v>
      </c>
      <c r="B442" t="s">
        <v>50</v>
      </c>
      <c r="C442" t="s">
        <v>101</v>
      </c>
      <c r="D442" t="s">
        <v>164</v>
      </c>
      <c r="E442" t="s">
        <v>267</v>
      </c>
      <c r="F442" t="s">
        <v>354</v>
      </c>
      <c r="G442" t="s">
        <v>696</v>
      </c>
      <c r="H442" t="s">
        <v>833</v>
      </c>
      <c r="I442" t="s">
        <v>1404</v>
      </c>
      <c r="J442" t="s">
        <v>1575</v>
      </c>
      <c r="K442" t="s">
        <v>1643</v>
      </c>
      <c r="L442">
        <v>10029</v>
      </c>
      <c r="M442" t="s">
        <v>1670</v>
      </c>
      <c r="P442" t="s">
        <v>1886</v>
      </c>
      <c r="Q442" t="s">
        <v>1936</v>
      </c>
      <c r="R442" t="s">
        <v>1958</v>
      </c>
      <c r="S442" t="s">
        <v>1965</v>
      </c>
      <c r="T442" t="s">
        <v>1671</v>
      </c>
      <c r="V442" t="s">
        <v>1972</v>
      </c>
      <c r="W442" t="s">
        <v>1984</v>
      </c>
      <c r="X442" t="s">
        <v>1993</v>
      </c>
      <c r="Y442">
        <v>832.3200000000001</v>
      </c>
      <c r="Z442" t="s">
        <v>2008</v>
      </c>
      <c r="AA442" t="s">
        <v>2020</v>
      </c>
      <c r="AB442" t="s">
        <v>2029</v>
      </c>
      <c r="AC442" t="s">
        <v>2389</v>
      </c>
      <c r="AD442" t="s">
        <v>2819</v>
      </c>
      <c r="AE442">
        <v>10</v>
      </c>
      <c r="AF442" t="s">
        <v>2902</v>
      </c>
      <c r="AG442" t="s">
        <v>1754</v>
      </c>
      <c r="AH442">
        <v>3</v>
      </c>
      <c r="AJ442">
        <v>1</v>
      </c>
      <c r="AK442">
        <v>1</v>
      </c>
      <c r="AL442">
        <v>200.49</v>
      </c>
      <c r="AO442" t="s">
        <v>2926</v>
      </c>
      <c r="AP442">
        <v>33000</v>
      </c>
      <c r="AV442">
        <v>2</v>
      </c>
      <c r="AW442" t="s">
        <v>237</v>
      </c>
      <c r="AX442" t="s">
        <v>3067</v>
      </c>
    </row>
    <row r="443" spans="1:50">
      <c r="A443" s="1">
        <f>HYPERLINK("https://lsnyc.legalserver.org/matter/dynamic-profile/view/1902312","19-1902312")</f>
        <v>0</v>
      </c>
      <c r="B443" t="s">
        <v>50</v>
      </c>
      <c r="C443" t="s">
        <v>140</v>
      </c>
      <c r="D443" t="s">
        <v>163</v>
      </c>
      <c r="E443" t="s">
        <v>268</v>
      </c>
      <c r="G443" t="s">
        <v>697</v>
      </c>
      <c r="H443" t="s">
        <v>1056</v>
      </c>
      <c r="I443" t="s">
        <v>1405</v>
      </c>
      <c r="J443" t="s">
        <v>1626</v>
      </c>
      <c r="K443" t="s">
        <v>1652</v>
      </c>
      <c r="L443">
        <v>11361</v>
      </c>
      <c r="M443" t="s">
        <v>1670</v>
      </c>
      <c r="P443" t="s">
        <v>1887</v>
      </c>
      <c r="Q443" t="s">
        <v>1940</v>
      </c>
      <c r="R443" t="s">
        <v>1960</v>
      </c>
      <c r="T443" t="s">
        <v>1671</v>
      </c>
      <c r="V443" t="s">
        <v>1972</v>
      </c>
      <c r="W443" t="s">
        <v>1984</v>
      </c>
      <c r="X443" t="s">
        <v>268</v>
      </c>
      <c r="Y443">
        <v>2150</v>
      </c>
      <c r="Z443" t="s">
        <v>2007</v>
      </c>
      <c r="AA443" t="s">
        <v>2014</v>
      </c>
      <c r="AC443" t="s">
        <v>2390</v>
      </c>
      <c r="AD443" t="s">
        <v>2820</v>
      </c>
      <c r="AE443">
        <v>26</v>
      </c>
      <c r="AF443" t="s">
        <v>2904</v>
      </c>
      <c r="AG443" t="s">
        <v>1754</v>
      </c>
      <c r="AH443">
        <v>8</v>
      </c>
      <c r="AJ443">
        <v>1</v>
      </c>
      <c r="AK443">
        <v>1</v>
      </c>
      <c r="AL443">
        <v>165.58</v>
      </c>
      <c r="AO443" t="s">
        <v>2926</v>
      </c>
      <c r="AP443">
        <v>28000</v>
      </c>
      <c r="AV443">
        <v>1.6</v>
      </c>
      <c r="AW443" t="s">
        <v>3037</v>
      </c>
      <c r="AX443" t="s">
        <v>3044</v>
      </c>
    </row>
    <row r="444" spans="1:50">
      <c r="A444" s="1">
        <f>HYPERLINK("https://lsnyc.legalserver.org/matter/dynamic-profile/view/1885216","18-1885216")</f>
        <v>0</v>
      </c>
      <c r="B444" t="s">
        <v>50</v>
      </c>
      <c r="C444" t="s">
        <v>52</v>
      </c>
      <c r="D444" t="s">
        <v>164</v>
      </c>
      <c r="E444" t="s">
        <v>246</v>
      </c>
      <c r="F444" t="s">
        <v>394</v>
      </c>
      <c r="G444" t="s">
        <v>698</v>
      </c>
      <c r="H444" t="s">
        <v>963</v>
      </c>
      <c r="I444" t="s">
        <v>1406</v>
      </c>
      <c r="J444" t="s">
        <v>1570</v>
      </c>
      <c r="K444" t="s">
        <v>1641</v>
      </c>
      <c r="L444">
        <v>10460</v>
      </c>
      <c r="M444" t="s">
        <v>1670</v>
      </c>
      <c r="P444" t="s">
        <v>1888</v>
      </c>
      <c r="Q444" t="s">
        <v>1936</v>
      </c>
      <c r="R444" t="s">
        <v>1958</v>
      </c>
      <c r="S444" t="s">
        <v>1965</v>
      </c>
      <c r="T444" t="s">
        <v>1671</v>
      </c>
      <c r="V444" t="s">
        <v>1972</v>
      </c>
      <c r="W444" t="s">
        <v>1985</v>
      </c>
      <c r="X444" t="s">
        <v>376</v>
      </c>
      <c r="Y444">
        <v>1500</v>
      </c>
      <c r="Z444" t="s">
        <v>2006</v>
      </c>
      <c r="AA444" t="s">
        <v>2017</v>
      </c>
      <c r="AB444" t="s">
        <v>2029</v>
      </c>
      <c r="AC444" t="s">
        <v>2391</v>
      </c>
      <c r="AD444" t="s">
        <v>2821</v>
      </c>
      <c r="AE444">
        <v>40</v>
      </c>
      <c r="AF444" t="s">
        <v>2904</v>
      </c>
      <c r="AG444" t="s">
        <v>1754</v>
      </c>
      <c r="AH444">
        <v>1</v>
      </c>
      <c r="AJ444">
        <v>2</v>
      </c>
      <c r="AK444">
        <v>3</v>
      </c>
      <c r="AL444">
        <v>150.92</v>
      </c>
      <c r="AO444" t="s">
        <v>2927</v>
      </c>
      <c r="AP444">
        <v>44400</v>
      </c>
      <c r="AV444">
        <v>1.6</v>
      </c>
      <c r="AW444" t="s">
        <v>376</v>
      </c>
      <c r="AX444" t="s">
        <v>3078</v>
      </c>
    </row>
    <row r="445" spans="1:50">
      <c r="A445" s="1">
        <f>HYPERLINK("https://lsnyc.legalserver.org/matter/dynamic-profile/view/1889830","19-1889830")</f>
        <v>0</v>
      </c>
      <c r="B445" t="s">
        <v>50</v>
      </c>
      <c r="C445" t="s">
        <v>57</v>
      </c>
      <c r="D445" t="s">
        <v>164</v>
      </c>
      <c r="E445" t="s">
        <v>336</v>
      </c>
      <c r="F445" t="s">
        <v>221</v>
      </c>
      <c r="G445" t="s">
        <v>699</v>
      </c>
      <c r="H445" t="s">
        <v>1057</v>
      </c>
      <c r="I445" t="s">
        <v>1407</v>
      </c>
      <c r="J445" t="s">
        <v>1491</v>
      </c>
      <c r="K445" t="s">
        <v>1641</v>
      </c>
      <c r="L445">
        <v>10452</v>
      </c>
      <c r="M445" t="s">
        <v>1670</v>
      </c>
      <c r="R445" t="s">
        <v>1958</v>
      </c>
      <c r="S445" t="s">
        <v>1965</v>
      </c>
      <c r="T445" t="s">
        <v>1671</v>
      </c>
      <c r="V445" t="s">
        <v>1972</v>
      </c>
      <c r="X445" t="s">
        <v>316</v>
      </c>
      <c r="Y445">
        <v>788.67</v>
      </c>
      <c r="Z445" t="s">
        <v>2006</v>
      </c>
      <c r="AA445" t="s">
        <v>2015</v>
      </c>
      <c r="AB445" t="s">
        <v>2029</v>
      </c>
      <c r="AC445" t="s">
        <v>2392</v>
      </c>
      <c r="AD445" t="s">
        <v>2822</v>
      </c>
      <c r="AE445">
        <v>62</v>
      </c>
      <c r="AF445" t="s">
        <v>2903</v>
      </c>
      <c r="AG445" t="s">
        <v>1754</v>
      </c>
      <c r="AH445">
        <v>29</v>
      </c>
      <c r="AJ445">
        <v>2</v>
      </c>
      <c r="AK445">
        <v>1</v>
      </c>
      <c r="AL445">
        <v>185.28</v>
      </c>
      <c r="AO445" t="s">
        <v>2927</v>
      </c>
      <c r="AP445">
        <v>39520</v>
      </c>
      <c r="AV445">
        <v>0.1</v>
      </c>
      <c r="AW445" t="s">
        <v>265</v>
      </c>
      <c r="AX445" t="s">
        <v>3046</v>
      </c>
    </row>
    <row r="446" spans="1:50">
      <c r="A446" s="1">
        <f>HYPERLINK("https://lsnyc.legalserver.org/matter/dynamic-profile/view/1885321","18-1885321")</f>
        <v>0</v>
      </c>
      <c r="B446" t="s">
        <v>50</v>
      </c>
      <c r="C446" t="s">
        <v>63</v>
      </c>
      <c r="D446" t="s">
        <v>163</v>
      </c>
      <c r="E446" t="s">
        <v>246</v>
      </c>
      <c r="G446" t="s">
        <v>700</v>
      </c>
      <c r="H446" t="s">
        <v>810</v>
      </c>
      <c r="I446" t="s">
        <v>1227</v>
      </c>
      <c r="J446" t="s">
        <v>1541</v>
      </c>
      <c r="K446" t="s">
        <v>1641</v>
      </c>
      <c r="L446">
        <v>10463</v>
      </c>
      <c r="M446" t="s">
        <v>1670</v>
      </c>
      <c r="P446" t="s">
        <v>1889</v>
      </c>
      <c r="Q446" t="s">
        <v>1939</v>
      </c>
      <c r="R446" t="s">
        <v>1960</v>
      </c>
      <c r="T446" t="s">
        <v>1670</v>
      </c>
      <c r="V446" t="s">
        <v>1972</v>
      </c>
      <c r="X446" t="s">
        <v>359</v>
      </c>
      <c r="Y446">
        <v>958.35</v>
      </c>
      <c r="Z446" t="s">
        <v>2006</v>
      </c>
      <c r="AA446" t="s">
        <v>2015</v>
      </c>
      <c r="AC446" t="s">
        <v>2393</v>
      </c>
      <c r="AD446" t="s">
        <v>2823</v>
      </c>
      <c r="AE446">
        <v>55</v>
      </c>
      <c r="AF446" t="s">
        <v>2902</v>
      </c>
      <c r="AG446" t="s">
        <v>1754</v>
      </c>
      <c r="AH446">
        <v>14</v>
      </c>
      <c r="AJ446">
        <v>2</v>
      </c>
      <c r="AK446">
        <v>2</v>
      </c>
      <c r="AL446">
        <v>46.61</v>
      </c>
      <c r="AO446" t="s">
        <v>2927</v>
      </c>
      <c r="AP446">
        <v>11700</v>
      </c>
      <c r="AV446">
        <v>0</v>
      </c>
      <c r="AX446" t="s">
        <v>3054</v>
      </c>
    </row>
    <row r="447" spans="1:50">
      <c r="A447" s="1">
        <f>HYPERLINK("https://lsnyc.legalserver.org/matter/dynamic-profile/view/1903997","19-1903997")</f>
        <v>0</v>
      </c>
      <c r="B447" t="s">
        <v>50</v>
      </c>
      <c r="C447" t="s">
        <v>132</v>
      </c>
      <c r="D447" t="s">
        <v>163</v>
      </c>
      <c r="E447" t="s">
        <v>289</v>
      </c>
      <c r="G447" t="s">
        <v>701</v>
      </c>
      <c r="H447" t="s">
        <v>1058</v>
      </c>
      <c r="I447" t="s">
        <v>1248</v>
      </c>
      <c r="J447" t="s">
        <v>1570</v>
      </c>
      <c r="K447" t="s">
        <v>1644</v>
      </c>
      <c r="L447">
        <v>11213</v>
      </c>
      <c r="M447" t="s">
        <v>1670</v>
      </c>
      <c r="P447" t="s">
        <v>1754</v>
      </c>
      <c r="Q447" t="s">
        <v>1937</v>
      </c>
      <c r="R447" t="s">
        <v>1962</v>
      </c>
      <c r="T447" t="s">
        <v>1670</v>
      </c>
      <c r="V447" t="s">
        <v>1977</v>
      </c>
      <c r="W447" t="s">
        <v>1984</v>
      </c>
      <c r="X447" t="s">
        <v>266</v>
      </c>
      <c r="Y447">
        <v>951</v>
      </c>
      <c r="Z447" t="s">
        <v>2009</v>
      </c>
      <c r="AA447" t="s">
        <v>2027</v>
      </c>
      <c r="AC447" t="s">
        <v>2394</v>
      </c>
      <c r="AD447" t="s">
        <v>2824</v>
      </c>
      <c r="AE447">
        <v>19</v>
      </c>
      <c r="AF447" t="s">
        <v>2902</v>
      </c>
      <c r="AG447" t="s">
        <v>2919</v>
      </c>
      <c r="AH447">
        <v>16</v>
      </c>
      <c r="AJ447">
        <v>3</v>
      </c>
      <c r="AK447">
        <v>3</v>
      </c>
      <c r="AL447">
        <v>52.62</v>
      </c>
      <c r="AO447" t="s">
        <v>2926</v>
      </c>
      <c r="AP447">
        <v>18200</v>
      </c>
      <c r="AV447">
        <v>0</v>
      </c>
      <c r="AX447" t="s">
        <v>3060</v>
      </c>
    </row>
    <row r="448" spans="1:50">
      <c r="A448" s="1">
        <f>HYPERLINK("https://lsnyc.legalserver.org/matter/dynamic-profile/view/1885168","18-1885168")</f>
        <v>0</v>
      </c>
      <c r="B448" t="s">
        <v>50</v>
      </c>
      <c r="C448" t="s">
        <v>132</v>
      </c>
      <c r="D448" t="s">
        <v>164</v>
      </c>
      <c r="E448" t="s">
        <v>176</v>
      </c>
      <c r="F448" t="s">
        <v>394</v>
      </c>
      <c r="G448" t="s">
        <v>701</v>
      </c>
      <c r="H448" t="s">
        <v>1058</v>
      </c>
      <c r="I448" t="s">
        <v>1248</v>
      </c>
      <c r="J448" t="s">
        <v>1570</v>
      </c>
      <c r="K448" t="s">
        <v>1644</v>
      </c>
      <c r="L448">
        <v>11213</v>
      </c>
      <c r="M448" t="s">
        <v>1670</v>
      </c>
      <c r="P448" t="s">
        <v>1675</v>
      </c>
      <c r="Q448" t="s">
        <v>1937</v>
      </c>
      <c r="R448" t="s">
        <v>1962</v>
      </c>
      <c r="S448" t="s">
        <v>1968</v>
      </c>
      <c r="T448" t="s">
        <v>1670</v>
      </c>
      <c r="V448" t="s">
        <v>1972</v>
      </c>
      <c r="W448" t="s">
        <v>1984</v>
      </c>
      <c r="X448" t="s">
        <v>2002</v>
      </c>
      <c r="Y448">
        <v>951</v>
      </c>
      <c r="Z448" t="s">
        <v>2009</v>
      </c>
      <c r="AA448" t="s">
        <v>2027</v>
      </c>
      <c r="AB448" t="s">
        <v>2031</v>
      </c>
      <c r="AC448" t="s">
        <v>2394</v>
      </c>
      <c r="AD448" t="s">
        <v>2824</v>
      </c>
      <c r="AE448">
        <v>19</v>
      </c>
      <c r="AF448" t="s">
        <v>2902</v>
      </c>
      <c r="AG448" t="s">
        <v>2919</v>
      </c>
      <c r="AH448">
        <v>16</v>
      </c>
      <c r="AJ448">
        <v>3</v>
      </c>
      <c r="AK448">
        <v>3</v>
      </c>
      <c r="AL448">
        <v>53.94</v>
      </c>
      <c r="AO448" t="s">
        <v>2926</v>
      </c>
      <c r="AP448">
        <v>18200</v>
      </c>
      <c r="AV448">
        <v>0.08</v>
      </c>
      <c r="AW448" t="s">
        <v>332</v>
      </c>
      <c r="AX448" t="s">
        <v>3060</v>
      </c>
    </row>
    <row r="449" spans="1:50">
      <c r="A449" s="1">
        <f>HYPERLINK("https://lsnyc.legalserver.org/matter/dynamic-profile/view/1885176","18-1885176")</f>
        <v>0</v>
      </c>
      <c r="B449" t="s">
        <v>50</v>
      </c>
      <c r="C449" t="s">
        <v>132</v>
      </c>
      <c r="D449" t="s">
        <v>163</v>
      </c>
      <c r="E449" t="s">
        <v>176</v>
      </c>
      <c r="G449" t="s">
        <v>701</v>
      </c>
      <c r="H449" t="s">
        <v>1058</v>
      </c>
      <c r="I449" t="s">
        <v>1248</v>
      </c>
      <c r="J449" t="s">
        <v>1570</v>
      </c>
      <c r="K449" t="s">
        <v>1644</v>
      </c>
      <c r="L449">
        <v>11213</v>
      </c>
      <c r="M449" t="s">
        <v>1670</v>
      </c>
      <c r="P449" t="s">
        <v>1675</v>
      </c>
      <c r="Q449" t="s">
        <v>1938</v>
      </c>
      <c r="R449" t="s">
        <v>1961</v>
      </c>
      <c r="T449" t="s">
        <v>1670</v>
      </c>
      <c r="V449" t="s">
        <v>1972</v>
      </c>
      <c r="W449" t="s">
        <v>1984</v>
      </c>
      <c r="X449" t="s">
        <v>2002</v>
      </c>
      <c r="Y449">
        <v>951</v>
      </c>
      <c r="Z449" t="s">
        <v>2009</v>
      </c>
      <c r="AA449" t="s">
        <v>2027</v>
      </c>
      <c r="AC449" t="s">
        <v>2394</v>
      </c>
      <c r="AD449" t="s">
        <v>2824</v>
      </c>
      <c r="AE449">
        <v>19</v>
      </c>
      <c r="AF449" t="s">
        <v>2902</v>
      </c>
      <c r="AG449" t="s">
        <v>2919</v>
      </c>
      <c r="AH449">
        <v>16</v>
      </c>
      <c r="AJ449">
        <v>3</v>
      </c>
      <c r="AK449">
        <v>3</v>
      </c>
      <c r="AL449">
        <v>53.94</v>
      </c>
      <c r="AO449" t="s">
        <v>2926</v>
      </c>
      <c r="AP449">
        <v>18200</v>
      </c>
      <c r="AQ449" t="s">
        <v>2970</v>
      </c>
      <c r="AV449">
        <v>0</v>
      </c>
      <c r="AX449" t="s">
        <v>3060</v>
      </c>
    </row>
    <row r="450" spans="1:50">
      <c r="A450" s="1">
        <f>HYPERLINK("https://lsnyc.legalserver.org/matter/dynamic-profile/view/1885174","18-1885174")</f>
        <v>0</v>
      </c>
      <c r="B450" t="s">
        <v>50</v>
      </c>
      <c r="C450" t="s">
        <v>132</v>
      </c>
      <c r="D450" t="s">
        <v>163</v>
      </c>
      <c r="E450" t="s">
        <v>176</v>
      </c>
      <c r="G450" t="s">
        <v>701</v>
      </c>
      <c r="H450" t="s">
        <v>1058</v>
      </c>
      <c r="I450" t="s">
        <v>1248</v>
      </c>
      <c r="J450" t="s">
        <v>1570</v>
      </c>
      <c r="K450" t="s">
        <v>1644</v>
      </c>
      <c r="L450">
        <v>11213</v>
      </c>
      <c r="M450" t="s">
        <v>1670</v>
      </c>
      <c r="P450" t="s">
        <v>1813</v>
      </c>
      <c r="Q450" t="s">
        <v>1939</v>
      </c>
      <c r="R450" t="s">
        <v>1960</v>
      </c>
      <c r="T450" t="s">
        <v>1670</v>
      </c>
      <c r="V450" t="s">
        <v>1972</v>
      </c>
      <c r="W450" t="s">
        <v>1984</v>
      </c>
      <c r="X450" t="s">
        <v>2002</v>
      </c>
      <c r="Y450">
        <v>951</v>
      </c>
      <c r="Z450" t="s">
        <v>2009</v>
      </c>
      <c r="AA450" t="s">
        <v>2027</v>
      </c>
      <c r="AC450" t="s">
        <v>2394</v>
      </c>
      <c r="AD450" t="s">
        <v>2824</v>
      </c>
      <c r="AE450">
        <v>19</v>
      </c>
      <c r="AF450" t="s">
        <v>2902</v>
      </c>
      <c r="AG450" t="s">
        <v>2919</v>
      </c>
      <c r="AH450">
        <v>16</v>
      </c>
      <c r="AJ450">
        <v>3</v>
      </c>
      <c r="AK450">
        <v>3</v>
      </c>
      <c r="AL450">
        <v>53.94</v>
      </c>
      <c r="AO450" t="s">
        <v>2926</v>
      </c>
      <c r="AP450">
        <v>18200</v>
      </c>
      <c r="AQ450" t="s">
        <v>2971</v>
      </c>
      <c r="AV450">
        <v>0</v>
      </c>
      <c r="AX450" t="s">
        <v>3060</v>
      </c>
    </row>
    <row r="451" spans="1:50">
      <c r="A451" s="1">
        <f>HYPERLINK("https://lsnyc.legalserver.org/matter/dynamic-profile/view/1895307","19-1895307")</f>
        <v>0</v>
      </c>
      <c r="B451" t="s">
        <v>50</v>
      </c>
      <c r="C451" t="s">
        <v>129</v>
      </c>
      <c r="D451" t="s">
        <v>163</v>
      </c>
      <c r="E451" t="s">
        <v>326</v>
      </c>
      <c r="G451" t="s">
        <v>701</v>
      </c>
      <c r="H451" t="s">
        <v>1058</v>
      </c>
      <c r="I451" t="s">
        <v>1248</v>
      </c>
      <c r="J451" t="s">
        <v>1570</v>
      </c>
      <c r="K451" t="s">
        <v>1644</v>
      </c>
      <c r="L451">
        <v>11213</v>
      </c>
      <c r="M451" t="s">
        <v>1670</v>
      </c>
      <c r="Q451" t="s">
        <v>1946</v>
      </c>
      <c r="R451" t="s">
        <v>1964</v>
      </c>
      <c r="T451" t="s">
        <v>1670</v>
      </c>
      <c r="V451" t="s">
        <v>1978</v>
      </c>
      <c r="X451" t="s">
        <v>326</v>
      </c>
      <c r="Y451">
        <v>951</v>
      </c>
      <c r="Z451" t="s">
        <v>2009</v>
      </c>
      <c r="AA451" t="s">
        <v>2027</v>
      </c>
      <c r="AC451" t="s">
        <v>2394</v>
      </c>
      <c r="AD451" t="s">
        <v>2824</v>
      </c>
      <c r="AE451">
        <v>19</v>
      </c>
      <c r="AF451" t="s">
        <v>2902</v>
      </c>
      <c r="AG451" t="s">
        <v>2919</v>
      </c>
      <c r="AH451">
        <v>16</v>
      </c>
      <c r="AJ451">
        <v>3</v>
      </c>
      <c r="AK451">
        <v>3</v>
      </c>
      <c r="AL451">
        <v>52.62</v>
      </c>
      <c r="AO451" t="s">
        <v>2926</v>
      </c>
      <c r="AP451">
        <v>18200</v>
      </c>
      <c r="AV451">
        <v>0.35</v>
      </c>
      <c r="AW451" t="s">
        <v>337</v>
      </c>
      <c r="AX451" t="s">
        <v>3059</v>
      </c>
    </row>
    <row r="452" spans="1:50">
      <c r="A452" s="1">
        <f>HYPERLINK("https://lsnyc.legalserver.org/matter/dynamic-profile/view/1900651","19-1900651")</f>
        <v>0</v>
      </c>
      <c r="B452" t="s">
        <v>50</v>
      </c>
      <c r="C452" t="s">
        <v>129</v>
      </c>
      <c r="D452" t="s">
        <v>163</v>
      </c>
      <c r="E452" t="s">
        <v>328</v>
      </c>
      <c r="G452" t="s">
        <v>701</v>
      </c>
      <c r="H452" t="s">
        <v>1058</v>
      </c>
      <c r="I452" t="s">
        <v>1248</v>
      </c>
      <c r="J452" t="s">
        <v>1570</v>
      </c>
      <c r="K452" t="s">
        <v>1644</v>
      </c>
      <c r="L452">
        <v>11213</v>
      </c>
      <c r="M452" t="s">
        <v>1670</v>
      </c>
      <c r="P452" t="s">
        <v>1890</v>
      </c>
      <c r="Q452" t="s">
        <v>1936</v>
      </c>
      <c r="R452" t="s">
        <v>1960</v>
      </c>
      <c r="T452" t="s">
        <v>1670</v>
      </c>
      <c r="V452" t="s">
        <v>1972</v>
      </c>
      <c r="W452" t="s">
        <v>1984</v>
      </c>
      <c r="X452" t="s">
        <v>275</v>
      </c>
      <c r="Y452">
        <v>951</v>
      </c>
      <c r="Z452" t="s">
        <v>2009</v>
      </c>
      <c r="AA452" t="s">
        <v>2027</v>
      </c>
      <c r="AC452" t="s">
        <v>2394</v>
      </c>
      <c r="AD452" t="s">
        <v>2824</v>
      </c>
      <c r="AE452">
        <v>19</v>
      </c>
      <c r="AF452" t="s">
        <v>2902</v>
      </c>
      <c r="AG452" t="s">
        <v>2919</v>
      </c>
      <c r="AH452">
        <v>16</v>
      </c>
      <c r="AJ452">
        <v>3</v>
      </c>
      <c r="AK452">
        <v>3</v>
      </c>
      <c r="AL452">
        <v>52.62</v>
      </c>
      <c r="AO452" t="s">
        <v>2926</v>
      </c>
      <c r="AP452">
        <v>18200</v>
      </c>
      <c r="AQ452" t="s">
        <v>2970</v>
      </c>
      <c r="AV452">
        <v>5.5</v>
      </c>
      <c r="AW452" t="s">
        <v>346</v>
      </c>
      <c r="AX452" t="s">
        <v>3060</v>
      </c>
    </row>
    <row r="453" spans="1:50">
      <c r="A453" s="1">
        <f>HYPERLINK("https://lsnyc.legalserver.org/matter/dynamic-profile/view/1878449","18-1878449")</f>
        <v>0</v>
      </c>
      <c r="B453" t="s">
        <v>50</v>
      </c>
      <c r="C453" t="s">
        <v>101</v>
      </c>
      <c r="D453" t="s">
        <v>163</v>
      </c>
      <c r="E453" t="s">
        <v>312</v>
      </c>
      <c r="G453" t="s">
        <v>702</v>
      </c>
      <c r="H453" t="s">
        <v>1059</v>
      </c>
      <c r="I453" t="s">
        <v>1408</v>
      </c>
      <c r="J453" t="s">
        <v>1525</v>
      </c>
      <c r="K453" t="s">
        <v>1643</v>
      </c>
      <c r="L453">
        <v>10029</v>
      </c>
      <c r="M453" t="s">
        <v>1670</v>
      </c>
      <c r="P453" t="s">
        <v>1891</v>
      </c>
      <c r="Q453" t="s">
        <v>1939</v>
      </c>
      <c r="R453" t="s">
        <v>1960</v>
      </c>
      <c r="T453" t="s">
        <v>1671</v>
      </c>
      <c r="V453" t="s">
        <v>1972</v>
      </c>
      <c r="W453" t="s">
        <v>1984</v>
      </c>
      <c r="X453" t="s">
        <v>311</v>
      </c>
      <c r="Y453">
        <v>1138</v>
      </c>
      <c r="Z453" t="s">
        <v>2008</v>
      </c>
      <c r="AA453" t="s">
        <v>2013</v>
      </c>
      <c r="AC453" t="s">
        <v>2395</v>
      </c>
      <c r="AD453" t="s">
        <v>2825</v>
      </c>
      <c r="AE453">
        <v>10</v>
      </c>
      <c r="AF453" t="s">
        <v>2902</v>
      </c>
      <c r="AG453" t="s">
        <v>1754</v>
      </c>
      <c r="AH453">
        <v>15</v>
      </c>
      <c r="AJ453">
        <v>1</v>
      </c>
      <c r="AK453">
        <v>2</v>
      </c>
      <c r="AL453">
        <v>128.2</v>
      </c>
      <c r="AO453" t="s">
        <v>2926</v>
      </c>
      <c r="AP453">
        <v>26640</v>
      </c>
      <c r="AV453">
        <v>137.05</v>
      </c>
      <c r="AW453" t="s">
        <v>397</v>
      </c>
      <c r="AX453" t="s">
        <v>3084</v>
      </c>
    </row>
    <row r="454" spans="1:50">
      <c r="A454" s="1">
        <f>HYPERLINK("https://lsnyc.legalserver.org/matter/dynamic-profile/view/1882560","18-1882560")</f>
        <v>0</v>
      </c>
      <c r="B454" t="s">
        <v>50</v>
      </c>
      <c r="C454" t="s">
        <v>156</v>
      </c>
      <c r="D454" t="s">
        <v>163</v>
      </c>
      <c r="E454" t="s">
        <v>309</v>
      </c>
      <c r="G454" t="s">
        <v>703</v>
      </c>
      <c r="H454" t="s">
        <v>939</v>
      </c>
      <c r="I454" t="s">
        <v>1409</v>
      </c>
      <c r="J454" t="s">
        <v>1513</v>
      </c>
      <c r="K454" t="s">
        <v>1641</v>
      </c>
      <c r="L454">
        <v>10462</v>
      </c>
      <c r="M454" t="s">
        <v>1670</v>
      </c>
      <c r="Q454" t="s">
        <v>1942</v>
      </c>
      <c r="R454" t="s">
        <v>1959</v>
      </c>
      <c r="T454" t="s">
        <v>1671</v>
      </c>
      <c r="V454" t="s">
        <v>1973</v>
      </c>
      <c r="X454" t="s">
        <v>309</v>
      </c>
      <c r="Y454">
        <v>2181</v>
      </c>
      <c r="Z454" t="s">
        <v>2006</v>
      </c>
      <c r="AA454" t="s">
        <v>2017</v>
      </c>
      <c r="AC454" t="s">
        <v>2396</v>
      </c>
      <c r="AD454" t="s">
        <v>2826</v>
      </c>
      <c r="AE454">
        <v>2</v>
      </c>
      <c r="AF454" t="s">
        <v>2903</v>
      </c>
      <c r="AG454" t="s">
        <v>2915</v>
      </c>
      <c r="AH454">
        <v>2</v>
      </c>
      <c r="AJ454">
        <v>2</v>
      </c>
      <c r="AK454">
        <v>4</v>
      </c>
      <c r="AL454">
        <v>88.92</v>
      </c>
      <c r="AO454" t="s">
        <v>2926</v>
      </c>
      <c r="AP454">
        <v>60000</v>
      </c>
      <c r="AV454">
        <v>4.25</v>
      </c>
      <c r="AW454" t="s">
        <v>294</v>
      </c>
      <c r="AX454" t="s">
        <v>3070</v>
      </c>
    </row>
    <row r="455" spans="1:50">
      <c r="A455" s="1">
        <f>HYPERLINK("https://lsnyc.legalserver.org/matter/dynamic-profile/view/1889085","19-1889085")</f>
        <v>0</v>
      </c>
      <c r="B455" t="s">
        <v>50</v>
      </c>
      <c r="C455" t="s">
        <v>97</v>
      </c>
      <c r="D455" t="s">
        <v>163</v>
      </c>
      <c r="E455" t="s">
        <v>236</v>
      </c>
      <c r="G455" t="s">
        <v>685</v>
      </c>
      <c r="H455" t="s">
        <v>1060</v>
      </c>
      <c r="I455" t="s">
        <v>1410</v>
      </c>
      <c r="J455">
        <v>33</v>
      </c>
      <c r="K455" t="s">
        <v>1643</v>
      </c>
      <c r="L455">
        <v>10034</v>
      </c>
      <c r="M455" t="s">
        <v>1670</v>
      </c>
      <c r="Q455" t="s">
        <v>1941</v>
      </c>
      <c r="R455" t="s">
        <v>1959</v>
      </c>
      <c r="T455" t="s">
        <v>1671</v>
      </c>
      <c r="V455" t="s">
        <v>1972</v>
      </c>
      <c r="X455" t="s">
        <v>236</v>
      </c>
      <c r="Y455">
        <v>1059.36</v>
      </c>
      <c r="Z455" t="s">
        <v>2008</v>
      </c>
      <c r="AA455" t="s">
        <v>2020</v>
      </c>
      <c r="AC455" t="s">
        <v>2397</v>
      </c>
      <c r="AD455" t="s">
        <v>2827</v>
      </c>
      <c r="AE455">
        <v>25</v>
      </c>
      <c r="AF455" t="s">
        <v>2902</v>
      </c>
      <c r="AG455" t="s">
        <v>2918</v>
      </c>
      <c r="AH455">
        <v>4</v>
      </c>
      <c r="AJ455">
        <v>1</v>
      </c>
      <c r="AK455">
        <v>4</v>
      </c>
      <c r="AL455">
        <v>124.97</v>
      </c>
      <c r="AO455" t="s">
        <v>2927</v>
      </c>
      <c r="AP455">
        <v>37704</v>
      </c>
      <c r="AV455">
        <v>6.2</v>
      </c>
      <c r="AW455" t="s">
        <v>399</v>
      </c>
      <c r="AX455" t="s">
        <v>3042</v>
      </c>
    </row>
    <row r="456" spans="1:50">
      <c r="A456" s="1">
        <f>HYPERLINK("https://lsnyc.legalserver.org/matter/dynamic-profile/view/1889088","19-1889088")</f>
        <v>0</v>
      </c>
      <c r="B456" t="s">
        <v>50</v>
      </c>
      <c r="C456" t="s">
        <v>97</v>
      </c>
      <c r="D456" t="s">
        <v>163</v>
      </c>
      <c r="E456" t="s">
        <v>236</v>
      </c>
      <c r="G456" t="s">
        <v>685</v>
      </c>
      <c r="H456" t="s">
        <v>1060</v>
      </c>
      <c r="I456" t="s">
        <v>1410</v>
      </c>
      <c r="J456">
        <v>33</v>
      </c>
      <c r="K456" t="s">
        <v>1643</v>
      </c>
      <c r="L456">
        <v>10034</v>
      </c>
      <c r="M456" t="s">
        <v>1670</v>
      </c>
      <c r="P456" t="s">
        <v>1892</v>
      </c>
      <c r="Q456" t="s">
        <v>1936</v>
      </c>
      <c r="R456" t="s">
        <v>1960</v>
      </c>
      <c r="T456" t="s">
        <v>1671</v>
      </c>
      <c r="V456" t="s">
        <v>1972</v>
      </c>
      <c r="X456" t="s">
        <v>236</v>
      </c>
      <c r="Y456">
        <v>1059</v>
      </c>
      <c r="Z456" t="s">
        <v>2008</v>
      </c>
      <c r="AA456" t="s">
        <v>2020</v>
      </c>
      <c r="AC456" t="s">
        <v>2397</v>
      </c>
      <c r="AD456" t="s">
        <v>2827</v>
      </c>
      <c r="AE456">
        <v>25</v>
      </c>
      <c r="AF456" t="s">
        <v>2914</v>
      </c>
      <c r="AG456" t="s">
        <v>2918</v>
      </c>
      <c r="AH456">
        <v>4</v>
      </c>
      <c r="AJ456">
        <v>1</v>
      </c>
      <c r="AK456">
        <v>4</v>
      </c>
      <c r="AL456">
        <v>124.97</v>
      </c>
      <c r="AO456" t="s">
        <v>2927</v>
      </c>
      <c r="AP456">
        <v>37704</v>
      </c>
      <c r="AV456">
        <v>26.05</v>
      </c>
      <c r="AW456" t="s">
        <v>393</v>
      </c>
      <c r="AX456" t="s">
        <v>3042</v>
      </c>
    </row>
    <row r="457" spans="1:50">
      <c r="A457" s="1">
        <f>HYPERLINK("https://lsnyc.legalserver.org/matter/dynamic-profile/view/1887933","19-1887933")</f>
        <v>0</v>
      </c>
      <c r="B457" t="s">
        <v>50</v>
      </c>
      <c r="C457" t="s">
        <v>97</v>
      </c>
      <c r="D457" t="s">
        <v>163</v>
      </c>
      <c r="E457" t="s">
        <v>332</v>
      </c>
      <c r="G457" t="s">
        <v>704</v>
      </c>
      <c r="H457" t="s">
        <v>806</v>
      </c>
      <c r="I457" t="s">
        <v>1411</v>
      </c>
      <c r="K457" t="s">
        <v>1643</v>
      </c>
      <c r="L457">
        <v>10034</v>
      </c>
      <c r="M457" t="s">
        <v>1670</v>
      </c>
      <c r="P457" t="s">
        <v>1771</v>
      </c>
      <c r="Q457" t="s">
        <v>1939</v>
      </c>
      <c r="R457" t="s">
        <v>1960</v>
      </c>
      <c r="T457" t="s">
        <v>1671</v>
      </c>
      <c r="V457" t="s">
        <v>1972</v>
      </c>
      <c r="X457" t="s">
        <v>332</v>
      </c>
      <c r="Y457">
        <v>1442.38</v>
      </c>
      <c r="Z457" t="s">
        <v>2008</v>
      </c>
      <c r="AA457" t="s">
        <v>2013</v>
      </c>
      <c r="AC457" t="s">
        <v>2398</v>
      </c>
      <c r="AD457" t="s">
        <v>2828</v>
      </c>
      <c r="AE457">
        <v>25</v>
      </c>
      <c r="AF457" t="s">
        <v>2902</v>
      </c>
      <c r="AG457" t="s">
        <v>1754</v>
      </c>
      <c r="AH457">
        <v>10</v>
      </c>
      <c r="AJ457">
        <v>2</v>
      </c>
      <c r="AK457">
        <v>3</v>
      </c>
      <c r="AL457">
        <v>118.97</v>
      </c>
      <c r="AO457" t="s">
        <v>2927</v>
      </c>
      <c r="AP457">
        <v>35000</v>
      </c>
      <c r="AV457">
        <v>0</v>
      </c>
      <c r="AX457" t="s">
        <v>3042</v>
      </c>
    </row>
    <row r="458" spans="1:50">
      <c r="A458" s="1">
        <f>HYPERLINK("https://lsnyc.legalserver.org/matter/dynamic-profile/view/1893854","19-1893854")</f>
        <v>0</v>
      </c>
      <c r="B458" t="s">
        <v>50</v>
      </c>
      <c r="C458" t="s">
        <v>107</v>
      </c>
      <c r="D458" t="s">
        <v>163</v>
      </c>
      <c r="E458" t="s">
        <v>350</v>
      </c>
      <c r="G458" t="s">
        <v>705</v>
      </c>
      <c r="H458" t="s">
        <v>1061</v>
      </c>
      <c r="I458" t="s">
        <v>1412</v>
      </c>
      <c r="J458" t="s">
        <v>1542</v>
      </c>
      <c r="K458" t="s">
        <v>1644</v>
      </c>
      <c r="L458">
        <v>11208</v>
      </c>
      <c r="M458" t="s">
        <v>1670</v>
      </c>
      <c r="P458" t="s">
        <v>1893</v>
      </c>
      <c r="Q458" t="s">
        <v>1936</v>
      </c>
      <c r="R458" t="s">
        <v>1958</v>
      </c>
      <c r="T458" t="s">
        <v>1671</v>
      </c>
      <c r="V458" t="s">
        <v>1972</v>
      </c>
      <c r="X458" t="s">
        <v>249</v>
      </c>
      <c r="Y458">
        <v>1550</v>
      </c>
      <c r="Z458" t="s">
        <v>2009</v>
      </c>
      <c r="AC458" t="s">
        <v>2399</v>
      </c>
      <c r="AD458" t="s">
        <v>2829</v>
      </c>
      <c r="AE458">
        <v>2</v>
      </c>
      <c r="AF458" t="s">
        <v>2903</v>
      </c>
      <c r="AG458" t="s">
        <v>1754</v>
      </c>
      <c r="AH458">
        <v>5</v>
      </c>
      <c r="AJ458">
        <v>1</v>
      </c>
      <c r="AK458">
        <v>2</v>
      </c>
      <c r="AL458">
        <v>135.96</v>
      </c>
      <c r="AO458" t="s">
        <v>2926</v>
      </c>
      <c r="AP458">
        <v>29000</v>
      </c>
      <c r="AV458">
        <v>1.3</v>
      </c>
      <c r="AW458" t="s">
        <v>213</v>
      </c>
      <c r="AX458" t="s">
        <v>3059</v>
      </c>
    </row>
    <row r="459" spans="1:50">
      <c r="A459" s="1">
        <f>HYPERLINK("https://lsnyc.legalserver.org/matter/dynamic-profile/view/1896428","19-1896428")</f>
        <v>0</v>
      </c>
      <c r="B459" t="s">
        <v>50</v>
      </c>
      <c r="C459" t="s">
        <v>57</v>
      </c>
      <c r="D459" t="s">
        <v>164</v>
      </c>
      <c r="E459" t="s">
        <v>217</v>
      </c>
      <c r="F459" t="s">
        <v>220</v>
      </c>
      <c r="G459" t="s">
        <v>706</v>
      </c>
      <c r="H459" t="s">
        <v>806</v>
      </c>
      <c r="I459" t="s">
        <v>1413</v>
      </c>
      <c r="J459">
        <v>2</v>
      </c>
      <c r="K459" t="s">
        <v>1641</v>
      </c>
      <c r="L459">
        <v>10452</v>
      </c>
      <c r="M459" t="s">
        <v>1670</v>
      </c>
      <c r="P459" t="s">
        <v>1894</v>
      </c>
      <c r="Q459" t="s">
        <v>1940</v>
      </c>
      <c r="R459" t="s">
        <v>1958</v>
      </c>
      <c r="S459" t="s">
        <v>1965</v>
      </c>
      <c r="T459" t="s">
        <v>1671</v>
      </c>
      <c r="V459" t="s">
        <v>1972</v>
      </c>
      <c r="X459" t="s">
        <v>1991</v>
      </c>
      <c r="Y459">
        <v>1600</v>
      </c>
      <c r="Z459" t="s">
        <v>2006</v>
      </c>
      <c r="AA459" t="s">
        <v>2020</v>
      </c>
      <c r="AB459" t="s">
        <v>2029</v>
      </c>
      <c r="AC459" t="s">
        <v>2400</v>
      </c>
      <c r="AD459" t="s">
        <v>2830</v>
      </c>
      <c r="AE459">
        <v>3</v>
      </c>
      <c r="AF459" t="s">
        <v>2904</v>
      </c>
      <c r="AG459" t="s">
        <v>1754</v>
      </c>
      <c r="AH459">
        <v>5</v>
      </c>
      <c r="AJ459">
        <v>4</v>
      </c>
      <c r="AK459">
        <v>2</v>
      </c>
      <c r="AL459">
        <v>80.94</v>
      </c>
      <c r="AO459" t="s">
        <v>2927</v>
      </c>
      <c r="AP459">
        <v>27996</v>
      </c>
      <c r="AV459">
        <v>0.85</v>
      </c>
      <c r="AW459" t="s">
        <v>220</v>
      </c>
      <c r="AX459" t="s">
        <v>3067</v>
      </c>
    </row>
    <row r="460" spans="1:50">
      <c r="A460" s="1">
        <f>HYPERLINK("https://lsnyc.legalserver.org/matter/dynamic-profile/view/1895666","19-1895666")</f>
        <v>0</v>
      </c>
      <c r="B460" t="s">
        <v>50</v>
      </c>
      <c r="C460" t="s">
        <v>90</v>
      </c>
      <c r="D460" t="s">
        <v>164</v>
      </c>
      <c r="E460" t="s">
        <v>235</v>
      </c>
      <c r="F460" t="s">
        <v>404</v>
      </c>
      <c r="G460" t="s">
        <v>707</v>
      </c>
      <c r="H460" t="s">
        <v>1062</v>
      </c>
      <c r="I460" t="s">
        <v>1338</v>
      </c>
      <c r="J460" t="s">
        <v>1550</v>
      </c>
      <c r="K460" t="s">
        <v>1646</v>
      </c>
      <c r="L460">
        <v>10304</v>
      </c>
      <c r="M460" t="s">
        <v>1670</v>
      </c>
      <c r="P460" t="s">
        <v>1895</v>
      </c>
      <c r="Q460" t="s">
        <v>1936</v>
      </c>
      <c r="R460" t="s">
        <v>1960</v>
      </c>
      <c r="S460" t="s">
        <v>1969</v>
      </c>
      <c r="T460" t="s">
        <v>1671</v>
      </c>
      <c r="V460" t="s">
        <v>1973</v>
      </c>
      <c r="W460" t="s">
        <v>1984</v>
      </c>
      <c r="X460" t="s">
        <v>235</v>
      </c>
      <c r="Y460">
        <v>1400</v>
      </c>
      <c r="Z460" t="s">
        <v>2010</v>
      </c>
      <c r="AA460" t="s">
        <v>2017</v>
      </c>
      <c r="AB460" t="s">
        <v>2041</v>
      </c>
      <c r="AC460" t="s">
        <v>2401</v>
      </c>
      <c r="AD460" t="s">
        <v>2831</v>
      </c>
      <c r="AE460">
        <v>0</v>
      </c>
      <c r="AF460" t="s">
        <v>2909</v>
      </c>
      <c r="AG460" t="s">
        <v>2915</v>
      </c>
      <c r="AH460">
        <v>6</v>
      </c>
      <c r="AJ460">
        <v>1</v>
      </c>
      <c r="AK460">
        <v>4</v>
      </c>
      <c r="AL460">
        <v>95.66</v>
      </c>
      <c r="AO460" t="s">
        <v>2926</v>
      </c>
      <c r="AP460">
        <v>28860</v>
      </c>
      <c r="AV460">
        <v>8.1</v>
      </c>
      <c r="AW460" t="s">
        <v>1995</v>
      </c>
      <c r="AX460" t="s">
        <v>3050</v>
      </c>
    </row>
    <row r="461" spans="1:50">
      <c r="A461" s="1">
        <f>HYPERLINK("https://lsnyc.legalserver.org/matter/dynamic-profile/view/1883904","18-1883904")</f>
        <v>0</v>
      </c>
      <c r="B461" t="s">
        <v>50</v>
      </c>
      <c r="C461" t="s">
        <v>95</v>
      </c>
      <c r="D461" t="s">
        <v>164</v>
      </c>
      <c r="E461" t="s">
        <v>345</v>
      </c>
      <c r="F461" t="s">
        <v>297</v>
      </c>
      <c r="G461" t="s">
        <v>542</v>
      </c>
      <c r="H461" t="s">
        <v>1063</v>
      </c>
      <c r="I461" t="s">
        <v>1414</v>
      </c>
      <c r="J461">
        <v>1</v>
      </c>
      <c r="K461" t="s">
        <v>1641</v>
      </c>
      <c r="L461">
        <v>10457</v>
      </c>
      <c r="M461" t="s">
        <v>1670</v>
      </c>
      <c r="Q461" t="s">
        <v>1940</v>
      </c>
      <c r="R461" t="s">
        <v>1958</v>
      </c>
      <c r="S461" t="s">
        <v>1965</v>
      </c>
      <c r="T461" t="s">
        <v>1671</v>
      </c>
      <c r="V461" t="s">
        <v>1972</v>
      </c>
      <c r="W461" t="s">
        <v>1984</v>
      </c>
      <c r="X461" t="s">
        <v>373</v>
      </c>
      <c r="Y461">
        <v>900</v>
      </c>
      <c r="Z461" t="s">
        <v>2006</v>
      </c>
      <c r="AA461" t="s">
        <v>2019</v>
      </c>
      <c r="AB461" t="s">
        <v>2029</v>
      </c>
      <c r="AC461" t="s">
        <v>2402</v>
      </c>
      <c r="AD461" t="s">
        <v>2832</v>
      </c>
      <c r="AE461">
        <v>3</v>
      </c>
      <c r="AH461">
        <v>8</v>
      </c>
      <c r="AJ461">
        <v>1</v>
      </c>
      <c r="AK461">
        <v>1</v>
      </c>
      <c r="AL461">
        <v>151.64</v>
      </c>
      <c r="AO461" t="s">
        <v>2926</v>
      </c>
      <c r="AP461">
        <v>24960</v>
      </c>
      <c r="AQ461" t="s">
        <v>2972</v>
      </c>
      <c r="AV461">
        <v>1.25</v>
      </c>
      <c r="AW461" t="s">
        <v>297</v>
      </c>
      <c r="AX461" t="s">
        <v>3052</v>
      </c>
    </row>
    <row r="462" spans="1:50">
      <c r="A462" s="1">
        <f>HYPERLINK("https://lsnyc.legalserver.org/matter/dynamic-profile/view/1886592","18-1886592")</f>
        <v>0</v>
      </c>
      <c r="B462" t="s">
        <v>50</v>
      </c>
      <c r="C462" t="s">
        <v>128</v>
      </c>
      <c r="D462" t="s">
        <v>164</v>
      </c>
      <c r="E462" t="s">
        <v>330</v>
      </c>
      <c r="F462" t="s">
        <v>236</v>
      </c>
      <c r="G462" t="s">
        <v>708</v>
      </c>
      <c r="H462" t="s">
        <v>1064</v>
      </c>
      <c r="I462" t="s">
        <v>1415</v>
      </c>
      <c r="K462" t="s">
        <v>1641</v>
      </c>
      <c r="L462">
        <v>10452</v>
      </c>
      <c r="M462" t="s">
        <v>1670</v>
      </c>
      <c r="Q462" t="s">
        <v>1675</v>
      </c>
      <c r="R462" t="s">
        <v>1958</v>
      </c>
      <c r="S462" t="s">
        <v>1965</v>
      </c>
      <c r="T462" t="s">
        <v>1671</v>
      </c>
      <c r="V462" t="s">
        <v>1972</v>
      </c>
      <c r="X462" t="s">
        <v>332</v>
      </c>
      <c r="Y462">
        <v>0</v>
      </c>
      <c r="Z462" t="s">
        <v>2006</v>
      </c>
      <c r="AA462" t="s">
        <v>2015</v>
      </c>
      <c r="AB462" t="s">
        <v>2029</v>
      </c>
      <c r="AC462" t="s">
        <v>2101</v>
      </c>
      <c r="AD462" t="s">
        <v>2833</v>
      </c>
      <c r="AE462">
        <v>0</v>
      </c>
      <c r="AF462" t="s">
        <v>2904</v>
      </c>
      <c r="AG462" t="s">
        <v>1754</v>
      </c>
      <c r="AH462">
        <v>0</v>
      </c>
      <c r="AJ462">
        <v>2</v>
      </c>
      <c r="AK462">
        <v>2</v>
      </c>
      <c r="AL462">
        <v>82.87</v>
      </c>
      <c r="AO462" t="s">
        <v>2927</v>
      </c>
      <c r="AP462">
        <v>20800</v>
      </c>
      <c r="AU462" t="s">
        <v>3025</v>
      </c>
      <c r="AV462">
        <v>3.1</v>
      </c>
      <c r="AW462" t="s">
        <v>236</v>
      </c>
      <c r="AX462" t="s">
        <v>128</v>
      </c>
    </row>
    <row r="463" spans="1:50">
      <c r="A463" s="1">
        <f>HYPERLINK("https://lsnyc.legalserver.org/matter/dynamic-profile/view/1889261","19-1889261")</f>
        <v>0</v>
      </c>
      <c r="B463" t="s">
        <v>50</v>
      </c>
      <c r="C463" t="s">
        <v>52</v>
      </c>
      <c r="D463" t="s">
        <v>163</v>
      </c>
      <c r="E463" t="s">
        <v>277</v>
      </c>
      <c r="G463" t="s">
        <v>709</v>
      </c>
      <c r="H463" t="s">
        <v>843</v>
      </c>
      <c r="I463" t="s">
        <v>1416</v>
      </c>
      <c r="J463" t="s">
        <v>1512</v>
      </c>
      <c r="K463" t="s">
        <v>1641</v>
      </c>
      <c r="L463">
        <v>10458</v>
      </c>
      <c r="M463" t="s">
        <v>1670</v>
      </c>
      <c r="P463" t="s">
        <v>1896</v>
      </c>
      <c r="Q463" t="s">
        <v>1939</v>
      </c>
      <c r="R463" t="s">
        <v>1960</v>
      </c>
      <c r="T463" t="s">
        <v>1670</v>
      </c>
      <c r="V463" t="s">
        <v>1972</v>
      </c>
      <c r="X463" t="s">
        <v>266</v>
      </c>
      <c r="Y463">
        <v>1122.95</v>
      </c>
      <c r="Z463" t="s">
        <v>2006</v>
      </c>
      <c r="AA463" t="s">
        <v>2015</v>
      </c>
      <c r="AC463" t="s">
        <v>2403</v>
      </c>
      <c r="AD463" t="s">
        <v>2834</v>
      </c>
      <c r="AE463">
        <v>142</v>
      </c>
      <c r="AF463" t="s">
        <v>2902</v>
      </c>
      <c r="AG463" t="s">
        <v>1754</v>
      </c>
      <c r="AH463">
        <v>6</v>
      </c>
      <c r="AJ463">
        <v>2</v>
      </c>
      <c r="AK463">
        <v>2</v>
      </c>
      <c r="AL463">
        <v>100.97</v>
      </c>
      <c r="AO463" t="s">
        <v>2927</v>
      </c>
      <c r="AP463">
        <v>26000</v>
      </c>
      <c r="AV463">
        <v>2.15</v>
      </c>
      <c r="AW463" t="s">
        <v>3038</v>
      </c>
      <c r="AX463" t="s">
        <v>128</v>
      </c>
    </row>
    <row r="464" spans="1:50">
      <c r="A464" s="1">
        <f>HYPERLINK("https://lsnyc.legalserver.org/matter/dynamic-profile/view/1877693","18-1877693")</f>
        <v>0</v>
      </c>
      <c r="B464" t="s">
        <v>50</v>
      </c>
      <c r="C464" t="s">
        <v>71</v>
      </c>
      <c r="D464" t="s">
        <v>164</v>
      </c>
      <c r="E464" t="s">
        <v>372</v>
      </c>
      <c r="F464" t="s">
        <v>353</v>
      </c>
      <c r="G464" t="s">
        <v>710</v>
      </c>
      <c r="H464" t="s">
        <v>868</v>
      </c>
      <c r="I464" t="s">
        <v>1417</v>
      </c>
      <c r="K464" t="s">
        <v>1646</v>
      </c>
      <c r="L464">
        <v>10304</v>
      </c>
      <c r="M464" t="s">
        <v>1670</v>
      </c>
      <c r="P464" t="s">
        <v>1897</v>
      </c>
      <c r="Q464" t="s">
        <v>1940</v>
      </c>
      <c r="R464" t="s">
        <v>1960</v>
      </c>
      <c r="S464" t="s">
        <v>1969</v>
      </c>
      <c r="T464" t="s">
        <v>1671</v>
      </c>
      <c r="V464" t="s">
        <v>1972</v>
      </c>
      <c r="W464" t="s">
        <v>1984</v>
      </c>
      <c r="X464" t="s">
        <v>372</v>
      </c>
      <c r="Y464">
        <v>2250</v>
      </c>
      <c r="Z464" t="s">
        <v>2010</v>
      </c>
      <c r="AA464" t="s">
        <v>2017</v>
      </c>
      <c r="AB464" t="s">
        <v>2033</v>
      </c>
      <c r="AC464" t="s">
        <v>2404</v>
      </c>
      <c r="AD464" t="s">
        <v>2835</v>
      </c>
      <c r="AE464">
        <v>2</v>
      </c>
      <c r="AF464" t="s">
        <v>2903</v>
      </c>
      <c r="AG464" t="s">
        <v>2915</v>
      </c>
      <c r="AH464">
        <v>6</v>
      </c>
      <c r="AJ464">
        <v>1</v>
      </c>
      <c r="AK464">
        <v>2</v>
      </c>
      <c r="AL464">
        <v>144.37</v>
      </c>
      <c r="AO464" t="s">
        <v>2926</v>
      </c>
      <c r="AP464">
        <v>30000</v>
      </c>
      <c r="AR464" t="s">
        <v>2979</v>
      </c>
      <c r="AS464" t="s">
        <v>2017</v>
      </c>
      <c r="AT464" t="s">
        <v>2993</v>
      </c>
      <c r="AU464" t="s">
        <v>3002</v>
      </c>
      <c r="AV464">
        <v>8.9</v>
      </c>
      <c r="AW464" t="s">
        <v>353</v>
      </c>
      <c r="AX464" t="s">
        <v>3062</v>
      </c>
    </row>
    <row r="465" spans="1:50">
      <c r="A465" s="1">
        <f>HYPERLINK("https://lsnyc.legalserver.org/matter/dynamic-profile/view/1882159","18-1882159")</f>
        <v>0</v>
      </c>
      <c r="B465" t="s">
        <v>50</v>
      </c>
      <c r="C465" t="s">
        <v>73</v>
      </c>
      <c r="D465" t="s">
        <v>164</v>
      </c>
      <c r="E465" t="s">
        <v>252</v>
      </c>
      <c r="F465" t="s">
        <v>377</v>
      </c>
      <c r="G465" t="s">
        <v>711</v>
      </c>
      <c r="H465" t="s">
        <v>1065</v>
      </c>
      <c r="I465" t="s">
        <v>1418</v>
      </c>
      <c r="K465" t="s">
        <v>1647</v>
      </c>
      <c r="L465">
        <v>11436</v>
      </c>
      <c r="M465" t="s">
        <v>1670</v>
      </c>
      <c r="P465" t="s">
        <v>1898</v>
      </c>
      <c r="Q465" t="s">
        <v>1940</v>
      </c>
      <c r="R465" t="s">
        <v>1958</v>
      </c>
      <c r="S465" t="s">
        <v>1965</v>
      </c>
      <c r="T465" t="s">
        <v>1671</v>
      </c>
      <c r="V465" t="s">
        <v>1972</v>
      </c>
      <c r="W465" t="s">
        <v>1985</v>
      </c>
      <c r="X465" t="s">
        <v>252</v>
      </c>
      <c r="Y465">
        <v>1000</v>
      </c>
      <c r="Z465" t="s">
        <v>2007</v>
      </c>
      <c r="AA465" t="s">
        <v>2014</v>
      </c>
      <c r="AB465" t="s">
        <v>2029</v>
      </c>
      <c r="AC465" t="s">
        <v>2405</v>
      </c>
      <c r="AD465" t="s">
        <v>2836</v>
      </c>
      <c r="AE465">
        <v>1</v>
      </c>
      <c r="AF465" t="s">
        <v>2903</v>
      </c>
      <c r="AG465" t="s">
        <v>1754</v>
      </c>
      <c r="AH465">
        <v>11</v>
      </c>
      <c r="AJ465">
        <v>3</v>
      </c>
      <c r="AK465">
        <v>2</v>
      </c>
      <c r="AL465">
        <v>53.03</v>
      </c>
      <c r="AO465" t="s">
        <v>2926</v>
      </c>
      <c r="AP465">
        <v>15600</v>
      </c>
      <c r="AV465">
        <v>0.6</v>
      </c>
      <c r="AW465" t="s">
        <v>377</v>
      </c>
      <c r="AX465" t="s">
        <v>85</v>
      </c>
    </row>
    <row r="466" spans="1:50">
      <c r="A466" s="1">
        <f>HYPERLINK("https://lsnyc.legalserver.org/matter/dynamic-profile/view/1877561","18-1877561")</f>
        <v>0</v>
      </c>
      <c r="B466" t="s">
        <v>50</v>
      </c>
      <c r="C466" t="s">
        <v>141</v>
      </c>
      <c r="D466" t="s">
        <v>164</v>
      </c>
      <c r="E466" t="s">
        <v>344</v>
      </c>
      <c r="F466" t="s">
        <v>359</v>
      </c>
      <c r="G466" t="s">
        <v>712</v>
      </c>
      <c r="H466" t="s">
        <v>1066</v>
      </c>
      <c r="I466" t="s">
        <v>1419</v>
      </c>
      <c r="J466">
        <v>55</v>
      </c>
      <c r="K466" t="s">
        <v>1656</v>
      </c>
      <c r="L466">
        <v>11101</v>
      </c>
      <c r="M466" t="s">
        <v>1670</v>
      </c>
      <c r="P466" t="s">
        <v>1899</v>
      </c>
      <c r="Q466" t="s">
        <v>1936</v>
      </c>
      <c r="R466" t="s">
        <v>1958</v>
      </c>
      <c r="S466" t="s">
        <v>1965</v>
      </c>
      <c r="T466" t="s">
        <v>1671</v>
      </c>
      <c r="V466" t="s">
        <v>1972</v>
      </c>
      <c r="W466" t="s">
        <v>1985</v>
      </c>
      <c r="X466" t="s">
        <v>292</v>
      </c>
      <c r="Y466">
        <v>1600</v>
      </c>
      <c r="Z466" t="s">
        <v>2007</v>
      </c>
      <c r="AA466" t="s">
        <v>2014</v>
      </c>
      <c r="AB466" t="s">
        <v>2029</v>
      </c>
      <c r="AC466" t="s">
        <v>2406</v>
      </c>
      <c r="AD466" t="s">
        <v>2837</v>
      </c>
      <c r="AE466">
        <v>30</v>
      </c>
      <c r="AF466" t="s">
        <v>2902</v>
      </c>
      <c r="AG466" t="s">
        <v>1754</v>
      </c>
      <c r="AH466">
        <v>1</v>
      </c>
      <c r="AJ466">
        <v>2</v>
      </c>
      <c r="AK466">
        <v>1</v>
      </c>
      <c r="AL466">
        <v>187.68</v>
      </c>
      <c r="AO466" t="s">
        <v>2926</v>
      </c>
      <c r="AP466">
        <v>39000</v>
      </c>
      <c r="AV466">
        <v>0.5</v>
      </c>
      <c r="AW466" t="s">
        <v>344</v>
      </c>
      <c r="AX466" t="s">
        <v>85</v>
      </c>
    </row>
    <row r="467" spans="1:50">
      <c r="A467" s="1">
        <f>HYPERLINK("https://lsnyc.legalserver.org/matter/dynamic-profile/view/1885771","18-1885771")</f>
        <v>0</v>
      </c>
      <c r="B467" t="s">
        <v>50</v>
      </c>
      <c r="C467" t="s">
        <v>79</v>
      </c>
      <c r="D467" t="s">
        <v>163</v>
      </c>
      <c r="E467" t="s">
        <v>306</v>
      </c>
      <c r="G467" t="s">
        <v>713</v>
      </c>
      <c r="H467" t="s">
        <v>1067</v>
      </c>
      <c r="I467" t="s">
        <v>1420</v>
      </c>
      <c r="J467" t="s">
        <v>1486</v>
      </c>
      <c r="K467" t="s">
        <v>1644</v>
      </c>
      <c r="L467">
        <v>11238</v>
      </c>
      <c r="M467" t="s">
        <v>1670</v>
      </c>
      <c r="P467" t="s">
        <v>1675</v>
      </c>
      <c r="Q467" t="s">
        <v>1941</v>
      </c>
      <c r="R467" t="s">
        <v>1961</v>
      </c>
      <c r="T467" t="s">
        <v>1670</v>
      </c>
      <c r="V467" t="s">
        <v>1972</v>
      </c>
      <c r="W467" t="s">
        <v>1984</v>
      </c>
      <c r="X467" t="s">
        <v>223</v>
      </c>
      <c r="Y467">
        <v>0</v>
      </c>
      <c r="Z467" t="s">
        <v>2009</v>
      </c>
      <c r="AC467" t="s">
        <v>2407</v>
      </c>
      <c r="AD467" t="s">
        <v>2838</v>
      </c>
      <c r="AE467">
        <v>0</v>
      </c>
      <c r="AF467" t="s">
        <v>2902</v>
      </c>
      <c r="AG467" t="s">
        <v>2918</v>
      </c>
      <c r="AH467">
        <v>0</v>
      </c>
      <c r="AJ467">
        <v>1</v>
      </c>
      <c r="AK467">
        <v>1</v>
      </c>
      <c r="AL467">
        <v>41.85</v>
      </c>
      <c r="AO467" t="s">
        <v>2926</v>
      </c>
      <c r="AP467">
        <v>6888</v>
      </c>
      <c r="AV467">
        <v>37.95</v>
      </c>
      <c r="AW467" t="s">
        <v>222</v>
      </c>
      <c r="AX467" t="s">
        <v>3060</v>
      </c>
    </row>
    <row r="468" spans="1:50">
      <c r="A468" s="1">
        <f>HYPERLINK("https://lsnyc.legalserver.org/matter/dynamic-profile/view/1885003","18-1885003")</f>
        <v>0</v>
      </c>
      <c r="B468" t="s">
        <v>50</v>
      </c>
      <c r="C468" t="s">
        <v>123</v>
      </c>
      <c r="D468" t="s">
        <v>163</v>
      </c>
      <c r="E468" t="s">
        <v>373</v>
      </c>
      <c r="G468" t="s">
        <v>714</v>
      </c>
      <c r="H468" t="s">
        <v>1068</v>
      </c>
      <c r="I468" t="s">
        <v>1421</v>
      </c>
      <c r="J468" t="s">
        <v>1602</v>
      </c>
      <c r="K468" t="s">
        <v>1641</v>
      </c>
      <c r="L468">
        <v>10456</v>
      </c>
      <c r="M468" t="s">
        <v>1670</v>
      </c>
      <c r="P468" t="s">
        <v>1900</v>
      </c>
      <c r="Q468" t="s">
        <v>1938</v>
      </c>
      <c r="R468" t="s">
        <v>1962</v>
      </c>
      <c r="T468" t="s">
        <v>1671</v>
      </c>
      <c r="V468" t="s">
        <v>1972</v>
      </c>
      <c r="W468" t="s">
        <v>1984</v>
      </c>
      <c r="X468" t="s">
        <v>174</v>
      </c>
      <c r="Y468">
        <v>515.24</v>
      </c>
      <c r="Z468" t="s">
        <v>2006</v>
      </c>
      <c r="AC468" t="s">
        <v>2408</v>
      </c>
      <c r="AD468" t="s">
        <v>2839</v>
      </c>
      <c r="AE468">
        <v>0</v>
      </c>
      <c r="AF468" t="s">
        <v>2908</v>
      </c>
      <c r="AG468" t="s">
        <v>1754</v>
      </c>
      <c r="AH468">
        <v>40</v>
      </c>
      <c r="AJ468">
        <v>1</v>
      </c>
      <c r="AK468">
        <v>1</v>
      </c>
      <c r="AL468">
        <v>102.11</v>
      </c>
      <c r="AO468" t="s">
        <v>2926</v>
      </c>
      <c r="AP468">
        <v>16807.92</v>
      </c>
      <c r="AV468">
        <v>0.5</v>
      </c>
      <c r="AW468" t="s">
        <v>373</v>
      </c>
      <c r="AX468" t="s">
        <v>123</v>
      </c>
    </row>
    <row r="469" spans="1:50">
      <c r="A469" s="1">
        <f>HYPERLINK("https://lsnyc.legalserver.org/matter/dynamic-profile/view/1874519","18-1874519")</f>
        <v>0</v>
      </c>
      <c r="B469" t="s">
        <v>50</v>
      </c>
      <c r="C469" t="s">
        <v>53</v>
      </c>
      <c r="D469" t="s">
        <v>164</v>
      </c>
      <c r="E469" t="s">
        <v>314</v>
      </c>
      <c r="F469" t="s">
        <v>166</v>
      </c>
      <c r="G469" t="s">
        <v>715</v>
      </c>
      <c r="H469" t="s">
        <v>1069</v>
      </c>
      <c r="I469" t="s">
        <v>1422</v>
      </c>
      <c r="J469" t="s">
        <v>1627</v>
      </c>
      <c r="K469" t="s">
        <v>1651</v>
      </c>
      <c r="L469">
        <v>11412</v>
      </c>
      <c r="M469" t="s">
        <v>1670</v>
      </c>
      <c r="P469" t="s">
        <v>1901</v>
      </c>
      <c r="Q469" t="s">
        <v>1940</v>
      </c>
      <c r="R469" t="s">
        <v>1958</v>
      </c>
      <c r="S469" t="s">
        <v>1965</v>
      </c>
      <c r="T469" t="s">
        <v>1671</v>
      </c>
      <c r="V469" t="s">
        <v>1972</v>
      </c>
      <c r="W469" t="s">
        <v>1985</v>
      </c>
      <c r="X469" t="s">
        <v>314</v>
      </c>
      <c r="Y469">
        <v>1900</v>
      </c>
      <c r="Z469" t="s">
        <v>2007</v>
      </c>
      <c r="AA469" t="s">
        <v>2014</v>
      </c>
      <c r="AB469" t="s">
        <v>2029</v>
      </c>
      <c r="AC469" t="s">
        <v>2409</v>
      </c>
      <c r="AD469" t="s">
        <v>2840</v>
      </c>
      <c r="AE469">
        <v>3</v>
      </c>
      <c r="AF469" t="s">
        <v>2903</v>
      </c>
      <c r="AG469" t="s">
        <v>1754</v>
      </c>
      <c r="AH469">
        <v>2</v>
      </c>
      <c r="AJ469">
        <v>2</v>
      </c>
      <c r="AK469">
        <v>5</v>
      </c>
      <c r="AL469">
        <v>55.18</v>
      </c>
      <c r="AO469" t="s">
        <v>2926</v>
      </c>
      <c r="AP469">
        <v>21000</v>
      </c>
      <c r="AV469">
        <v>0.4</v>
      </c>
      <c r="AW469" t="s">
        <v>166</v>
      </c>
      <c r="AX469" t="s">
        <v>53</v>
      </c>
    </row>
    <row r="470" spans="1:50">
      <c r="A470" s="1">
        <f>HYPERLINK("https://lsnyc.legalserver.org/matter/dynamic-profile/view/1889314","19-1889314")</f>
        <v>0</v>
      </c>
      <c r="B470" t="s">
        <v>50</v>
      </c>
      <c r="C470" t="s">
        <v>90</v>
      </c>
      <c r="D470" t="s">
        <v>163</v>
      </c>
      <c r="E470" t="s">
        <v>210</v>
      </c>
      <c r="G470" t="s">
        <v>716</v>
      </c>
      <c r="H470" t="s">
        <v>1070</v>
      </c>
      <c r="I470" t="s">
        <v>1423</v>
      </c>
      <c r="J470" t="s">
        <v>1628</v>
      </c>
      <c r="K470" t="s">
        <v>1646</v>
      </c>
      <c r="L470">
        <v>10304</v>
      </c>
      <c r="M470" t="s">
        <v>1670</v>
      </c>
      <c r="P470" t="s">
        <v>1902</v>
      </c>
      <c r="Q470" t="s">
        <v>1940</v>
      </c>
      <c r="R470" t="s">
        <v>1960</v>
      </c>
      <c r="T470" t="s">
        <v>1671</v>
      </c>
      <c r="V470" t="s">
        <v>1973</v>
      </c>
      <c r="W470" t="s">
        <v>1984</v>
      </c>
      <c r="X470" t="s">
        <v>210</v>
      </c>
      <c r="Y470">
        <v>480</v>
      </c>
      <c r="Z470" t="s">
        <v>2010</v>
      </c>
      <c r="AA470" t="s">
        <v>2017</v>
      </c>
      <c r="AC470" t="s">
        <v>2410</v>
      </c>
      <c r="AD470" t="s">
        <v>2841</v>
      </c>
      <c r="AE470">
        <v>0</v>
      </c>
      <c r="AF470" t="s">
        <v>2907</v>
      </c>
      <c r="AH470">
        <v>2</v>
      </c>
      <c r="AJ470">
        <v>1</v>
      </c>
      <c r="AK470">
        <v>3</v>
      </c>
      <c r="AL470">
        <v>129.24</v>
      </c>
      <c r="AP470">
        <v>33279.96</v>
      </c>
      <c r="AV470">
        <v>21.9</v>
      </c>
      <c r="AW470" t="s">
        <v>399</v>
      </c>
      <c r="AX470" t="s">
        <v>112</v>
      </c>
    </row>
    <row r="471" spans="1:50">
      <c r="A471" s="1">
        <f>HYPERLINK("https://lsnyc.legalserver.org/matter/dynamic-profile/view/1902477","19-1902477")</f>
        <v>0</v>
      </c>
      <c r="B471" t="s">
        <v>50</v>
      </c>
      <c r="C471" t="s">
        <v>157</v>
      </c>
      <c r="D471" t="s">
        <v>164</v>
      </c>
      <c r="E471" t="s">
        <v>361</v>
      </c>
      <c r="F471" t="s">
        <v>405</v>
      </c>
      <c r="G471" t="s">
        <v>717</v>
      </c>
      <c r="H471" t="s">
        <v>1071</v>
      </c>
      <c r="I471" t="s">
        <v>1424</v>
      </c>
      <c r="J471" t="s">
        <v>1506</v>
      </c>
      <c r="K471" t="s">
        <v>1643</v>
      </c>
      <c r="L471">
        <v>10028</v>
      </c>
      <c r="M471" t="s">
        <v>1670</v>
      </c>
      <c r="P471" t="s">
        <v>1903</v>
      </c>
      <c r="Q471" t="s">
        <v>1940</v>
      </c>
      <c r="R471" t="s">
        <v>1958</v>
      </c>
      <c r="S471" t="s">
        <v>1965</v>
      </c>
      <c r="T471" t="s">
        <v>1671</v>
      </c>
      <c r="V471" t="s">
        <v>1972</v>
      </c>
      <c r="X471" t="s">
        <v>361</v>
      </c>
      <c r="Y471">
        <v>0</v>
      </c>
      <c r="Z471" t="s">
        <v>2008</v>
      </c>
      <c r="AA471" t="s">
        <v>2014</v>
      </c>
      <c r="AB471" t="s">
        <v>2029</v>
      </c>
      <c r="AC471" t="s">
        <v>2411</v>
      </c>
      <c r="AD471" t="s">
        <v>2842</v>
      </c>
      <c r="AE471">
        <v>0</v>
      </c>
      <c r="AF471" t="s">
        <v>2904</v>
      </c>
      <c r="AG471" t="s">
        <v>1754</v>
      </c>
      <c r="AH471">
        <v>3</v>
      </c>
      <c r="AJ471">
        <v>2</v>
      </c>
      <c r="AK471">
        <v>2</v>
      </c>
      <c r="AL471">
        <v>190.29</v>
      </c>
      <c r="AO471" t="s">
        <v>2935</v>
      </c>
      <c r="AP471">
        <v>49000</v>
      </c>
      <c r="AV471">
        <v>1</v>
      </c>
      <c r="AW471" t="s">
        <v>361</v>
      </c>
      <c r="AX471" t="s">
        <v>3061</v>
      </c>
    </row>
    <row r="472" spans="1:50">
      <c r="A472" s="1">
        <f>HYPERLINK("https://lsnyc.legalserver.org/matter/dynamic-profile/view/1870468","18-1870468")</f>
        <v>0</v>
      </c>
      <c r="B472" t="s">
        <v>50</v>
      </c>
      <c r="C472" t="s">
        <v>101</v>
      </c>
      <c r="D472" t="s">
        <v>163</v>
      </c>
      <c r="E472" t="s">
        <v>374</v>
      </c>
      <c r="G472" t="s">
        <v>718</v>
      </c>
      <c r="H472" t="s">
        <v>1072</v>
      </c>
      <c r="I472" t="s">
        <v>1425</v>
      </c>
      <c r="J472" t="s">
        <v>1486</v>
      </c>
      <c r="K472" t="s">
        <v>1643</v>
      </c>
      <c r="L472">
        <v>10029</v>
      </c>
      <c r="M472" t="s">
        <v>1670</v>
      </c>
      <c r="P472" t="s">
        <v>1904</v>
      </c>
      <c r="Q472" t="s">
        <v>1936</v>
      </c>
      <c r="R472" t="s">
        <v>1960</v>
      </c>
      <c r="T472" t="s">
        <v>1671</v>
      </c>
      <c r="V472" t="s">
        <v>1972</v>
      </c>
      <c r="W472" t="s">
        <v>1984</v>
      </c>
      <c r="X472" t="s">
        <v>2003</v>
      </c>
      <c r="Y472">
        <v>986</v>
      </c>
      <c r="Z472" t="s">
        <v>2008</v>
      </c>
      <c r="AA472" t="s">
        <v>2014</v>
      </c>
      <c r="AC472" t="s">
        <v>2412</v>
      </c>
      <c r="AD472" t="s">
        <v>2843</v>
      </c>
      <c r="AE472">
        <v>24</v>
      </c>
      <c r="AF472" t="s">
        <v>2907</v>
      </c>
      <c r="AG472" t="s">
        <v>1754</v>
      </c>
      <c r="AH472">
        <v>1</v>
      </c>
      <c r="AJ472">
        <v>2</v>
      </c>
      <c r="AK472">
        <v>2</v>
      </c>
      <c r="AL472">
        <v>75.7</v>
      </c>
      <c r="AO472" t="s">
        <v>2927</v>
      </c>
      <c r="AP472">
        <v>19000</v>
      </c>
      <c r="AV472">
        <v>31.5</v>
      </c>
      <c r="AW472" t="s">
        <v>405</v>
      </c>
      <c r="AX472" t="s">
        <v>3048</v>
      </c>
    </row>
    <row r="473" spans="1:50">
      <c r="A473" s="1">
        <f>HYPERLINK("https://lsnyc.legalserver.org/matter/dynamic-profile/view/1889077","19-1889077")</f>
        <v>0</v>
      </c>
      <c r="B473" t="s">
        <v>50</v>
      </c>
      <c r="C473" t="s">
        <v>91</v>
      </c>
      <c r="D473" t="s">
        <v>164</v>
      </c>
      <c r="E473" t="s">
        <v>236</v>
      </c>
      <c r="F473" t="s">
        <v>208</v>
      </c>
      <c r="G473" t="s">
        <v>719</v>
      </c>
      <c r="H473" t="s">
        <v>1073</v>
      </c>
      <c r="I473" t="s">
        <v>1426</v>
      </c>
      <c r="J473">
        <v>32</v>
      </c>
      <c r="K473" t="s">
        <v>1643</v>
      </c>
      <c r="L473">
        <v>10033</v>
      </c>
      <c r="M473" t="s">
        <v>1670</v>
      </c>
      <c r="P473" t="s">
        <v>1905</v>
      </c>
      <c r="Q473" t="s">
        <v>1936</v>
      </c>
      <c r="R473" t="s">
        <v>1958</v>
      </c>
      <c r="S473" t="s">
        <v>1965</v>
      </c>
      <c r="T473" t="s">
        <v>1671</v>
      </c>
      <c r="V473" t="s">
        <v>1972</v>
      </c>
      <c r="X473" t="s">
        <v>236</v>
      </c>
      <c r="Y473">
        <v>1486.14</v>
      </c>
      <c r="Z473" t="s">
        <v>2008</v>
      </c>
      <c r="AA473" t="s">
        <v>2013</v>
      </c>
      <c r="AB473" t="s">
        <v>2029</v>
      </c>
      <c r="AC473" t="s">
        <v>2413</v>
      </c>
      <c r="AD473" t="s">
        <v>2844</v>
      </c>
      <c r="AE473">
        <v>30</v>
      </c>
      <c r="AF473" t="s">
        <v>2902</v>
      </c>
      <c r="AG473" t="s">
        <v>1754</v>
      </c>
      <c r="AH473">
        <v>2</v>
      </c>
      <c r="AJ473">
        <v>1</v>
      </c>
      <c r="AK473">
        <v>1</v>
      </c>
      <c r="AL473">
        <v>57.34</v>
      </c>
      <c r="AO473" t="s">
        <v>2927</v>
      </c>
      <c r="AP473">
        <v>9696</v>
      </c>
      <c r="AV473">
        <v>4.5</v>
      </c>
      <c r="AW473" t="s">
        <v>182</v>
      </c>
      <c r="AX473" t="s">
        <v>3042</v>
      </c>
    </row>
    <row r="474" spans="1:50">
      <c r="A474" s="1">
        <f>HYPERLINK("https://lsnyc.legalserver.org/matter/dynamic-profile/view/1871620","18-1871620")</f>
        <v>0</v>
      </c>
      <c r="B474" t="s">
        <v>50</v>
      </c>
      <c r="C474" t="s">
        <v>71</v>
      </c>
      <c r="D474" t="s">
        <v>164</v>
      </c>
      <c r="E474" t="s">
        <v>300</v>
      </c>
      <c r="F474" t="s">
        <v>281</v>
      </c>
      <c r="G474" t="s">
        <v>720</v>
      </c>
      <c r="H474" t="s">
        <v>848</v>
      </c>
      <c r="I474" t="s">
        <v>1427</v>
      </c>
      <c r="J474" t="s">
        <v>1627</v>
      </c>
      <c r="K474" t="s">
        <v>1646</v>
      </c>
      <c r="L474">
        <v>10301</v>
      </c>
      <c r="M474" t="s">
        <v>1670</v>
      </c>
      <c r="P474" t="s">
        <v>1693</v>
      </c>
      <c r="Q474" t="s">
        <v>1940</v>
      </c>
      <c r="R474" t="s">
        <v>1962</v>
      </c>
      <c r="S474" t="s">
        <v>1968</v>
      </c>
      <c r="T474" t="s">
        <v>1671</v>
      </c>
      <c r="V474" t="s">
        <v>1972</v>
      </c>
      <c r="W474" t="s">
        <v>1984</v>
      </c>
      <c r="X474" t="s">
        <v>2004</v>
      </c>
      <c r="Y474">
        <v>1555</v>
      </c>
      <c r="Z474" t="s">
        <v>2010</v>
      </c>
      <c r="AA474" t="s">
        <v>2024</v>
      </c>
      <c r="AB474" t="s">
        <v>2029</v>
      </c>
      <c r="AC474" t="s">
        <v>2414</v>
      </c>
      <c r="AD474" t="s">
        <v>2845</v>
      </c>
      <c r="AE474">
        <v>2</v>
      </c>
      <c r="AF474" t="s">
        <v>2904</v>
      </c>
      <c r="AG474" t="s">
        <v>2915</v>
      </c>
      <c r="AH474">
        <v>3</v>
      </c>
      <c r="AJ474">
        <v>2</v>
      </c>
      <c r="AK474">
        <v>1</v>
      </c>
      <c r="AL474">
        <v>108.28</v>
      </c>
      <c r="AO474" t="s">
        <v>2926</v>
      </c>
      <c r="AP474">
        <v>22500</v>
      </c>
      <c r="AV474">
        <v>3.6</v>
      </c>
      <c r="AW474" t="s">
        <v>281</v>
      </c>
      <c r="AX474" t="s">
        <v>3083</v>
      </c>
    </row>
    <row r="475" spans="1:50">
      <c r="A475" s="1">
        <f>HYPERLINK("https://lsnyc.legalserver.org/matter/dynamic-profile/view/1887313","19-1887313")</f>
        <v>0</v>
      </c>
      <c r="B475" t="s">
        <v>50</v>
      </c>
      <c r="C475" t="s">
        <v>109</v>
      </c>
      <c r="D475" t="s">
        <v>164</v>
      </c>
      <c r="E475" t="s">
        <v>302</v>
      </c>
      <c r="F475" t="s">
        <v>406</v>
      </c>
      <c r="G475" t="s">
        <v>720</v>
      </c>
      <c r="H475" t="s">
        <v>848</v>
      </c>
      <c r="I475" t="s">
        <v>1427</v>
      </c>
      <c r="J475" t="s">
        <v>1627</v>
      </c>
      <c r="K475" t="s">
        <v>1646</v>
      </c>
      <c r="L475">
        <v>10301</v>
      </c>
      <c r="M475" t="s">
        <v>1670</v>
      </c>
      <c r="P475" t="s">
        <v>1906</v>
      </c>
      <c r="Q475" t="s">
        <v>1940</v>
      </c>
      <c r="R475" t="s">
        <v>1960</v>
      </c>
      <c r="S475" t="s">
        <v>1969</v>
      </c>
      <c r="T475" t="s">
        <v>1671</v>
      </c>
      <c r="V475" t="s">
        <v>1972</v>
      </c>
      <c r="W475" t="s">
        <v>1984</v>
      </c>
      <c r="X475" t="s">
        <v>302</v>
      </c>
      <c r="Y475">
        <v>1555</v>
      </c>
      <c r="Z475" t="s">
        <v>2010</v>
      </c>
      <c r="AB475" t="s">
        <v>2032</v>
      </c>
      <c r="AC475" t="s">
        <v>2414</v>
      </c>
      <c r="AD475" t="s">
        <v>2845</v>
      </c>
      <c r="AE475">
        <v>3</v>
      </c>
      <c r="AF475" t="s">
        <v>2903</v>
      </c>
      <c r="AG475" t="s">
        <v>2915</v>
      </c>
      <c r="AH475">
        <v>3</v>
      </c>
      <c r="AJ475">
        <v>2</v>
      </c>
      <c r="AK475">
        <v>1</v>
      </c>
      <c r="AL475">
        <v>108.28</v>
      </c>
      <c r="AO475" t="s">
        <v>2926</v>
      </c>
      <c r="AP475">
        <v>22500</v>
      </c>
      <c r="AR475" t="s">
        <v>2979</v>
      </c>
      <c r="AS475" t="s">
        <v>2982</v>
      </c>
      <c r="AT475" t="s">
        <v>2992</v>
      </c>
      <c r="AU475" t="s">
        <v>3026</v>
      </c>
      <c r="AV475">
        <v>18.2</v>
      </c>
      <c r="AW475" t="s">
        <v>190</v>
      </c>
      <c r="AX475" t="s">
        <v>3072</v>
      </c>
    </row>
    <row r="476" spans="1:50">
      <c r="A476" s="1">
        <f>HYPERLINK("https://lsnyc.legalserver.org/matter/dynamic-profile/view/1885967","18-1885967")</f>
        <v>0</v>
      </c>
      <c r="B476" t="s">
        <v>50</v>
      </c>
      <c r="C476" t="s">
        <v>63</v>
      </c>
      <c r="D476" t="s">
        <v>163</v>
      </c>
      <c r="E476" t="s">
        <v>375</v>
      </c>
      <c r="G476" t="s">
        <v>721</v>
      </c>
      <c r="H476" t="s">
        <v>918</v>
      </c>
      <c r="I476" t="s">
        <v>1227</v>
      </c>
      <c r="J476" t="s">
        <v>1575</v>
      </c>
      <c r="K476" t="s">
        <v>1641</v>
      </c>
      <c r="L476">
        <v>10463</v>
      </c>
      <c r="M476" t="s">
        <v>1670</v>
      </c>
      <c r="P476" t="s">
        <v>1763</v>
      </c>
      <c r="Q476" t="s">
        <v>1939</v>
      </c>
      <c r="R476" t="s">
        <v>1960</v>
      </c>
      <c r="T476" t="s">
        <v>1670</v>
      </c>
      <c r="V476" t="s">
        <v>1972</v>
      </c>
      <c r="X476" t="s">
        <v>222</v>
      </c>
      <c r="Y476">
        <v>1428</v>
      </c>
      <c r="Z476" t="s">
        <v>2006</v>
      </c>
      <c r="AA476" t="s">
        <v>2015</v>
      </c>
      <c r="AC476" t="s">
        <v>2415</v>
      </c>
      <c r="AD476" t="s">
        <v>2846</v>
      </c>
      <c r="AE476">
        <v>0</v>
      </c>
      <c r="AF476" t="s">
        <v>2902</v>
      </c>
      <c r="AG476" t="s">
        <v>2917</v>
      </c>
      <c r="AH476">
        <v>3</v>
      </c>
      <c r="AJ476">
        <v>2</v>
      </c>
      <c r="AK476">
        <v>1</v>
      </c>
      <c r="AL476">
        <v>52.94</v>
      </c>
      <c r="AO476" t="s">
        <v>2927</v>
      </c>
      <c r="AP476">
        <v>11000</v>
      </c>
      <c r="AV476">
        <v>4.4</v>
      </c>
      <c r="AW476" t="s">
        <v>1995</v>
      </c>
      <c r="AX476" t="s">
        <v>3054</v>
      </c>
    </row>
    <row r="477" spans="1:50">
      <c r="A477" s="1">
        <f>HYPERLINK("https://lsnyc.legalserver.org/matter/dynamic-profile/view/1870091","18-1870091")</f>
        <v>0</v>
      </c>
      <c r="B477" t="s">
        <v>50</v>
      </c>
      <c r="C477" t="s">
        <v>129</v>
      </c>
      <c r="D477" t="s">
        <v>164</v>
      </c>
      <c r="E477" t="s">
        <v>259</v>
      </c>
      <c r="F477" t="s">
        <v>225</v>
      </c>
      <c r="G477" t="s">
        <v>722</v>
      </c>
      <c r="H477" t="s">
        <v>945</v>
      </c>
      <c r="I477" t="s">
        <v>1428</v>
      </c>
      <c r="J477" t="s">
        <v>1629</v>
      </c>
      <c r="K477" t="s">
        <v>1644</v>
      </c>
      <c r="L477">
        <v>11207</v>
      </c>
      <c r="M477" t="s">
        <v>1670</v>
      </c>
      <c r="P477" t="s">
        <v>1907</v>
      </c>
      <c r="Q477" t="s">
        <v>1940</v>
      </c>
      <c r="R477" t="s">
        <v>1958</v>
      </c>
      <c r="S477" t="s">
        <v>1965</v>
      </c>
      <c r="V477" t="s">
        <v>1972</v>
      </c>
      <c r="X477" t="s">
        <v>225</v>
      </c>
      <c r="Y477">
        <v>650</v>
      </c>
      <c r="Z477" t="s">
        <v>2009</v>
      </c>
      <c r="AA477" t="s">
        <v>2018</v>
      </c>
      <c r="AB477" t="s">
        <v>2029</v>
      </c>
      <c r="AC477" t="s">
        <v>2416</v>
      </c>
      <c r="AD477" t="s">
        <v>2847</v>
      </c>
      <c r="AE477">
        <v>3</v>
      </c>
      <c r="AH477">
        <v>8</v>
      </c>
      <c r="AJ477">
        <v>1</v>
      </c>
      <c r="AK477">
        <v>3</v>
      </c>
      <c r="AL477">
        <v>41.43</v>
      </c>
      <c r="AO477" t="s">
        <v>2926</v>
      </c>
      <c r="AP477">
        <v>10400</v>
      </c>
      <c r="AQ477" t="s">
        <v>2953</v>
      </c>
      <c r="AV477">
        <v>4.1</v>
      </c>
      <c r="AW477" t="s">
        <v>225</v>
      </c>
      <c r="AX477" t="s">
        <v>3069</v>
      </c>
    </row>
    <row r="478" spans="1:50">
      <c r="A478" s="1">
        <f>HYPERLINK("https://lsnyc.legalserver.org/matter/dynamic-profile/view/1894837","19-1894837")</f>
        <v>0</v>
      </c>
      <c r="B478" t="s">
        <v>50</v>
      </c>
      <c r="C478" t="s">
        <v>57</v>
      </c>
      <c r="D478" t="s">
        <v>163</v>
      </c>
      <c r="E478" t="s">
        <v>177</v>
      </c>
      <c r="G478" t="s">
        <v>723</v>
      </c>
      <c r="H478" t="s">
        <v>1074</v>
      </c>
      <c r="I478" t="s">
        <v>1112</v>
      </c>
      <c r="J478" t="s">
        <v>1630</v>
      </c>
      <c r="K478" t="s">
        <v>1641</v>
      </c>
      <c r="L478">
        <v>10453</v>
      </c>
      <c r="M478" t="s">
        <v>1670</v>
      </c>
      <c r="Q478" t="s">
        <v>1938</v>
      </c>
      <c r="R478" t="s">
        <v>1961</v>
      </c>
      <c r="T478" t="s">
        <v>1670</v>
      </c>
      <c r="V478" t="s">
        <v>1972</v>
      </c>
      <c r="X478" t="s">
        <v>392</v>
      </c>
      <c r="Y478">
        <v>1049.5</v>
      </c>
      <c r="Z478" t="s">
        <v>2006</v>
      </c>
      <c r="AA478" t="s">
        <v>2016</v>
      </c>
      <c r="AC478" t="s">
        <v>2417</v>
      </c>
      <c r="AD478" t="s">
        <v>2848</v>
      </c>
      <c r="AE478">
        <v>170</v>
      </c>
      <c r="AF478" t="s">
        <v>2902</v>
      </c>
      <c r="AG478" t="s">
        <v>1754</v>
      </c>
      <c r="AH478">
        <v>3</v>
      </c>
      <c r="AJ478">
        <v>2</v>
      </c>
      <c r="AK478">
        <v>2</v>
      </c>
      <c r="AL478">
        <v>70.68000000000001</v>
      </c>
      <c r="AO478" t="s">
        <v>2927</v>
      </c>
      <c r="AP478">
        <v>18200</v>
      </c>
      <c r="AV478">
        <v>0</v>
      </c>
      <c r="AX478" t="s">
        <v>3045</v>
      </c>
    </row>
    <row r="479" spans="1:50">
      <c r="A479" s="1">
        <f>HYPERLINK("https://lsnyc.legalserver.org/matter/dynamic-profile/view/1894468","19-1894468")</f>
        <v>0</v>
      </c>
      <c r="B479" t="s">
        <v>50</v>
      </c>
      <c r="C479" t="s">
        <v>57</v>
      </c>
      <c r="D479" t="s">
        <v>163</v>
      </c>
      <c r="E479" t="s">
        <v>177</v>
      </c>
      <c r="G479" t="s">
        <v>723</v>
      </c>
      <c r="H479" t="s">
        <v>1074</v>
      </c>
      <c r="I479" t="s">
        <v>1112</v>
      </c>
      <c r="J479" t="s">
        <v>1630</v>
      </c>
      <c r="K479" t="s">
        <v>1641</v>
      </c>
      <c r="L479">
        <v>10453</v>
      </c>
      <c r="M479" t="s">
        <v>1670</v>
      </c>
      <c r="P479" t="s">
        <v>1677</v>
      </c>
      <c r="Q479" t="s">
        <v>1939</v>
      </c>
      <c r="R479" t="s">
        <v>1960</v>
      </c>
      <c r="T479" t="s">
        <v>1670</v>
      </c>
      <c r="V479" t="s">
        <v>1972</v>
      </c>
      <c r="X479" t="s">
        <v>283</v>
      </c>
      <c r="Y479">
        <v>1049.5</v>
      </c>
      <c r="Z479" t="s">
        <v>2006</v>
      </c>
      <c r="AA479" t="s">
        <v>2016</v>
      </c>
      <c r="AC479" t="s">
        <v>2417</v>
      </c>
      <c r="AD479" t="s">
        <v>2848</v>
      </c>
      <c r="AE479">
        <v>170</v>
      </c>
      <c r="AF479" t="s">
        <v>2908</v>
      </c>
      <c r="AH479">
        <v>3</v>
      </c>
      <c r="AJ479">
        <v>2</v>
      </c>
      <c r="AK479">
        <v>2</v>
      </c>
      <c r="AL479">
        <v>70.68000000000001</v>
      </c>
      <c r="AO479" t="s">
        <v>2927</v>
      </c>
      <c r="AP479">
        <v>18200</v>
      </c>
      <c r="AV479">
        <v>0</v>
      </c>
      <c r="AX479" t="s">
        <v>3045</v>
      </c>
    </row>
    <row r="480" spans="1:50">
      <c r="A480" s="1">
        <f>HYPERLINK("https://lsnyc.legalserver.org/matter/dynamic-profile/view/1890432","19-1890432")</f>
        <v>0</v>
      </c>
      <c r="B480" t="s">
        <v>50</v>
      </c>
      <c r="C480" t="s">
        <v>138</v>
      </c>
      <c r="D480" t="s">
        <v>163</v>
      </c>
      <c r="E480" t="s">
        <v>294</v>
      </c>
      <c r="G480" t="s">
        <v>438</v>
      </c>
      <c r="H480" t="s">
        <v>1075</v>
      </c>
      <c r="I480" t="s">
        <v>1429</v>
      </c>
      <c r="J480" t="s">
        <v>1631</v>
      </c>
      <c r="K480" t="s">
        <v>1646</v>
      </c>
      <c r="L480">
        <v>10304</v>
      </c>
      <c r="M480" t="s">
        <v>1670</v>
      </c>
      <c r="P480" t="s">
        <v>1908</v>
      </c>
      <c r="Q480" t="s">
        <v>1940</v>
      </c>
      <c r="R480" t="s">
        <v>1960</v>
      </c>
      <c r="T480" t="s">
        <v>1671</v>
      </c>
      <c r="V480" t="s">
        <v>1972</v>
      </c>
      <c r="W480" t="s">
        <v>1984</v>
      </c>
      <c r="X480" t="s">
        <v>294</v>
      </c>
      <c r="Y480">
        <v>2257</v>
      </c>
      <c r="Z480" t="s">
        <v>2010</v>
      </c>
      <c r="AA480" t="s">
        <v>2020</v>
      </c>
      <c r="AC480" t="s">
        <v>2418</v>
      </c>
      <c r="AD480" t="s">
        <v>2849</v>
      </c>
      <c r="AE480">
        <v>2</v>
      </c>
      <c r="AF480" t="s">
        <v>2907</v>
      </c>
      <c r="AG480" t="s">
        <v>2915</v>
      </c>
      <c r="AH480">
        <v>1</v>
      </c>
      <c r="AJ480">
        <v>3</v>
      </c>
      <c r="AK480">
        <v>2</v>
      </c>
      <c r="AL480">
        <v>51.03</v>
      </c>
      <c r="AO480" t="s">
        <v>2927</v>
      </c>
      <c r="AP480">
        <v>15396</v>
      </c>
      <c r="AV480">
        <v>22.3</v>
      </c>
      <c r="AW480" t="s">
        <v>401</v>
      </c>
      <c r="AX480" t="s">
        <v>3056</v>
      </c>
    </row>
    <row r="481" spans="1:50">
      <c r="A481" s="1">
        <f>HYPERLINK("https://lsnyc.legalserver.org/matter/dynamic-profile/view/1892304","19-1892304")</f>
        <v>0</v>
      </c>
      <c r="B481" t="s">
        <v>50</v>
      </c>
      <c r="C481" t="s">
        <v>105</v>
      </c>
      <c r="D481" t="s">
        <v>163</v>
      </c>
      <c r="E481" t="s">
        <v>316</v>
      </c>
      <c r="G481" t="s">
        <v>724</v>
      </c>
      <c r="H481" t="s">
        <v>1076</v>
      </c>
      <c r="I481" t="s">
        <v>1430</v>
      </c>
      <c r="J481" t="s">
        <v>1570</v>
      </c>
      <c r="K481" t="s">
        <v>1641</v>
      </c>
      <c r="L481">
        <v>10451</v>
      </c>
      <c r="M481" t="s">
        <v>1670</v>
      </c>
      <c r="Q481" t="s">
        <v>1939</v>
      </c>
      <c r="R481" t="s">
        <v>1958</v>
      </c>
      <c r="V481" t="s">
        <v>1972</v>
      </c>
      <c r="X481" t="s">
        <v>316</v>
      </c>
      <c r="Y481">
        <v>0</v>
      </c>
      <c r="Z481" t="s">
        <v>2006</v>
      </c>
      <c r="AC481" t="s">
        <v>2419</v>
      </c>
      <c r="AD481" t="s">
        <v>2850</v>
      </c>
      <c r="AE481">
        <v>0</v>
      </c>
      <c r="AH481">
        <v>0</v>
      </c>
      <c r="AJ481">
        <v>2</v>
      </c>
      <c r="AK481">
        <v>1</v>
      </c>
      <c r="AL481">
        <v>74.81999999999999</v>
      </c>
      <c r="AO481" t="s">
        <v>2927</v>
      </c>
      <c r="AP481">
        <v>15960</v>
      </c>
      <c r="AV481">
        <v>0</v>
      </c>
      <c r="AX481" t="s">
        <v>105</v>
      </c>
    </row>
    <row r="482" spans="1:50">
      <c r="A482" s="1">
        <f>HYPERLINK("https://lsnyc.legalserver.org/matter/dynamic-profile/view/1881741","18-1881741")</f>
        <v>0</v>
      </c>
      <c r="B482" t="s">
        <v>50</v>
      </c>
      <c r="C482" t="s">
        <v>107</v>
      </c>
      <c r="D482" t="s">
        <v>164</v>
      </c>
      <c r="E482" t="s">
        <v>329</v>
      </c>
      <c r="F482" t="s">
        <v>237</v>
      </c>
      <c r="G482" t="s">
        <v>725</v>
      </c>
      <c r="H482" t="s">
        <v>959</v>
      </c>
      <c r="I482" t="s">
        <v>1431</v>
      </c>
      <c r="J482">
        <v>1</v>
      </c>
      <c r="K482" t="s">
        <v>1644</v>
      </c>
      <c r="L482">
        <v>11233</v>
      </c>
      <c r="M482" t="s">
        <v>1670</v>
      </c>
      <c r="P482" t="s">
        <v>1909</v>
      </c>
      <c r="Q482" t="s">
        <v>1940</v>
      </c>
      <c r="R482" t="s">
        <v>1958</v>
      </c>
      <c r="S482" t="s">
        <v>1965</v>
      </c>
      <c r="T482" t="s">
        <v>1671</v>
      </c>
      <c r="V482" t="s">
        <v>1972</v>
      </c>
      <c r="W482" t="s">
        <v>1987</v>
      </c>
      <c r="X482" t="s">
        <v>382</v>
      </c>
      <c r="Y482">
        <v>1500</v>
      </c>
      <c r="Z482" t="s">
        <v>2009</v>
      </c>
      <c r="AA482" t="s">
        <v>2014</v>
      </c>
      <c r="AB482" t="s">
        <v>2029</v>
      </c>
      <c r="AC482" t="s">
        <v>2420</v>
      </c>
      <c r="AD482" t="s">
        <v>2851</v>
      </c>
      <c r="AE482">
        <v>6</v>
      </c>
      <c r="AG482" t="s">
        <v>1754</v>
      </c>
      <c r="AH482">
        <v>3</v>
      </c>
      <c r="AJ482">
        <v>3</v>
      </c>
      <c r="AK482">
        <v>1</v>
      </c>
      <c r="AL482">
        <v>132.3</v>
      </c>
      <c r="AO482" t="s">
        <v>2926</v>
      </c>
      <c r="AP482">
        <v>33208</v>
      </c>
      <c r="AV482">
        <v>1.9</v>
      </c>
      <c r="AW482" t="s">
        <v>377</v>
      </c>
      <c r="AX482" t="s">
        <v>3063</v>
      </c>
    </row>
    <row r="483" spans="1:50">
      <c r="A483" s="1">
        <f>HYPERLINK("https://lsnyc.legalserver.org/matter/dynamic-profile/view/1894550","19-1894550")</f>
        <v>0</v>
      </c>
      <c r="B483" t="s">
        <v>50</v>
      </c>
      <c r="C483" t="s">
        <v>115</v>
      </c>
      <c r="D483" t="s">
        <v>163</v>
      </c>
      <c r="E483" t="s">
        <v>274</v>
      </c>
      <c r="G483" t="s">
        <v>726</v>
      </c>
      <c r="H483" t="s">
        <v>1077</v>
      </c>
      <c r="I483" t="s">
        <v>1432</v>
      </c>
      <c r="K483" t="s">
        <v>1641</v>
      </c>
      <c r="L483">
        <v>10453</v>
      </c>
      <c r="M483" t="s">
        <v>1670</v>
      </c>
      <c r="Q483" t="s">
        <v>1675</v>
      </c>
      <c r="R483" t="s">
        <v>1958</v>
      </c>
      <c r="T483" t="s">
        <v>1671</v>
      </c>
      <c r="V483" t="s">
        <v>1972</v>
      </c>
      <c r="X483" t="s">
        <v>274</v>
      </c>
      <c r="Y483">
        <v>1250</v>
      </c>
      <c r="Z483" t="s">
        <v>2006</v>
      </c>
      <c r="AA483" t="s">
        <v>2015</v>
      </c>
      <c r="AC483" t="s">
        <v>2421</v>
      </c>
      <c r="AD483" t="s">
        <v>2852</v>
      </c>
      <c r="AE483">
        <v>53</v>
      </c>
      <c r="AF483" t="s">
        <v>2902</v>
      </c>
      <c r="AG483" t="s">
        <v>1754</v>
      </c>
      <c r="AH483">
        <v>13</v>
      </c>
      <c r="AJ483">
        <v>3</v>
      </c>
      <c r="AK483">
        <v>2</v>
      </c>
      <c r="AL483">
        <v>125.95</v>
      </c>
      <c r="AO483" t="s">
        <v>2927</v>
      </c>
      <c r="AP483">
        <v>38000</v>
      </c>
      <c r="AV483">
        <v>1.88</v>
      </c>
      <c r="AW483" t="s">
        <v>339</v>
      </c>
      <c r="AX483" t="s">
        <v>115</v>
      </c>
    </row>
    <row r="484" spans="1:50">
      <c r="A484" s="1">
        <f>HYPERLINK("https://lsnyc.legalserver.org/matter/dynamic-profile/view/1891547","19-1891547")</f>
        <v>0</v>
      </c>
      <c r="B484" t="s">
        <v>50</v>
      </c>
      <c r="C484" t="s">
        <v>58</v>
      </c>
      <c r="D484" t="s">
        <v>164</v>
      </c>
      <c r="E484" t="s">
        <v>294</v>
      </c>
      <c r="F484" t="s">
        <v>195</v>
      </c>
      <c r="G484" t="s">
        <v>438</v>
      </c>
      <c r="H484" t="s">
        <v>1078</v>
      </c>
      <c r="I484" t="s">
        <v>1433</v>
      </c>
      <c r="J484">
        <v>1</v>
      </c>
      <c r="K484" t="s">
        <v>1641</v>
      </c>
      <c r="L484">
        <v>10453</v>
      </c>
      <c r="M484" t="s">
        <v>1670</v>
      </c>
      <c r="P484" t="s">
        <v>1910</v>
      </c>
      <c r="Q484" t="s">
        <v>1936</v>
      </c>
      <c r="R484" t="s">
        <v>1958</v>
      </c>
      <c r="S484" t="s">
        <v>1965</v>
      </c>
      <c r="T484" t="s">
        <v>1671</v>
      </c>
      <c r="V484" t="s">
        <v>1972</v>
      </c>
      <c r="W484" t="s">
        <v>1983</v>
      </c>
      <c r="X484" t="s">
        <v>338</v>
      </c>
      <c r="Y484">
        <v>1515</v>
      </c>
      <c r="Z484" t="s">
        <v>2006</v>
      </c>
      <c r="AA484" t="s">
        <v>2015</v>
      </c>
      <c r="AB484" t="s">
        <v>2029</v>
      </c>
      <c r="AC484" t="s">
        <v>2422</v>
      </c>
      <c r="AD484" t="s">
        <v>2853</v>
      </c>
      <c r="AE484">
        <v>3</v>
      </c>
      <c r="AF484" t="s">
        <v>2903</v>
      </c>
      <c r="AG484" t="s">
        <v>2917</v>
      </c>
      <c r="AH484">
        <v>2</v>
      </c>
      <c r="AJ484">
        <v>2</v>
      </c>
      <c r="AK484">
        <v>1</v>
      </c>
      <c r="AL484">
        <v>8.33</v>
      </c>
      <c r="AO484" t="s">
        <v>2927</v>
      </c>
      <c r="AP484">
        <v>1776</v>
      </c>
      <c r="AV484">
        <v>1</v>
      </c>
      <c r="AW484" t="s">
        <v>294</v>
      </c>
      <c r="AX484" t="s">
        <v>3046</v>
      </c>
    </row>
    <row r="485" spans="1:50">
      <c r="A485" s="1">
        <f>HYPERLINK("https://lsnyc.legalserver.org/matter/dynamic-profile/view/1887380","19-1887380")</f>
        <v>0</v>
      </c>
      <c r="B485" t="s">
        <v>50</v>
      </c>
      <c r="C485" t="s">
        <v>57</v>
      </c>
      <c r="D485" t="s">
        <v>163</v>
      </c>
      <c r="E485" t="s">
        <v>307</v>
      </c>
      <c r="G485" t="s">
        <v>727</v>
      </c>
      <c r="H485" t="s">
        <v>859</v>
      </c>
      <c r="I485" t="s">
        <v>1434</v>
      </c>
      <c r="J485">
        <v>47</v>
      </c>
      <c r="K485" t="s">
        <v>1641</v>
      </c>
      <c r="L485">
        <v>10453</v>
      </c>
      <c r="M485" t="s">
        <v>1670</v>
      </c>
      <c r="P485" t="s">
        <v>1911</v>
      </c>
      <c r="Q485" t="s">
        <v>1938</v>
      </c>
      <c r="R485" t="s">
        <v>1961</v>
      </c>
      <c r="T485" t="s">
        <v>1670</v>
      </c>
      <c r="V485" t="s">
        <v>1972</v>
      </c>
      <c r="X485" t="s">
        <v>283</v>
      </c>
      <c r="Y485">
        <v>1345</v>
      </c>
      <c r="Z485" t="s">
        <v>2006</v>
      </c>
      <c r="AA485" t="s">
        <v>2016</v>
      </c>
      <c r="AC485" t="s">
        <v>2423</v>
      </c>
      <c r="AD485" t="s">
        <v>2854</v>
      </c>
      <c r="AE485">
        <v>43</v>
      </c>
      <c r="AF485" t="s">
        <v>2902</v>
      </c>
      <c r="AG485" t="s">
        <v>2915</v>
      </c>
      <c r="AH485">
        <v>18</v>
      </c>
      <c r="AJ485">
        <v>2</v>
      </c>
      <c r="AK485">
        <v>1</v>
      </c>
      <c r="AL485">
        <v>52.94</v>
      </c>
      <c r="AO485" t="s">
        <v>2927</v>
      </c>
      <c r="AP485">
        <v>11000.04</v>
      </c>
      <c r="AV485">
        <v>0</v>
      </c>
      <c r="AX485" t="s">
        <v>3054</v>
      </c>
    </row>
    <row r="486" spans="1:50">
      <c r="A486" s="1">
        <f>HYPERLINK("https://lsnyc.legalserver.org/matter/dynamic-profile/view/1887928","19-1887928")</f>
        <v>0</v>
      </c>
      <c r="B486" t="s">
        <v>50</v>
      </c>
      <c r="C486" t="s">
        <v>158</v>
      </c>
      <c r="D486" t="s">
        <v>163</v>
      </c>
      <c r="E486" t="s">
        <v>332</v>
      </c>
      <c r="G486" t="s">
        <v>728</v>
      </c>
      <c r="H486" t="s">
        <v>914</v>
      </c>
      <c r="I486" t="s">
        <v>1435</v>
      </c>
      <c r="K486" t="s">
        <v>1644</v>
      </c>
      <c r="L486">
        <v>11206</v>
      </c>
      <c r="M486" t="s">
        <v>1670</v>
      </c>
      <c r="Q486" t="s">
        <v>1936</v>
      </c>
      <c r="R486" t="s">
        <v>1958</v>
      </c>
      <c r="T486" t="s">
        <v>1671</v>
      </c>
      <c r="V486" t="s">
        <v>1972</v>
      </c>
      <c r="X486" t="s">
        <v>266</v>
      </c>
      <c r="Y486">
        <v>1199.56</v>
      </c>
      <c r="Z486" t="s">
        <v>2009</v>
      </c>
      <c r="AC486" t="s">
        <v>2424</v>
      </c>
      <c r="AD486" t="s">
        <v>2855</v>
      </c>
      <c r="AE486">
        <v>0</v>
      </c>
      <c r="AH486">
        <v>11</v>
      </c>
      <c r="AJ486">
        <v>2</v>
      </c>
      <c r="AK486">
        <v>1</v>
      </c>
      <c r="AL486">
        <v>173.24</v>
      </c>
      <c r="AO486" t="s">
        <v>2926</v>
      </c>
      <c r="AP486">
        <v>36000</v>
      </c>
      <c r="AV486">
        <v>0.6</v>
      </c>
      <c r="AW486" t="s">
        <v>404</v>
      </c>
      <c r="AX486" t="s">
        <v>158</v>
      </c>
    </row>
    <row r="487" spans="1:50">
      <c r="A487" s="1">
        <f>HYPERLINK("https://lsnyc.legalserver.org/matter/dynamic-profile/view/1879542","18-1879542")</f>
        <v>0</v>
      </c>
      <c r="B487" t="s">
        <v>50</v>
      </c>
      <c r="C487" t="s">
        <v>105</v>
      </c>
      <c r="D487" t="s">
        <v>164</v>
      </c>
      <c r="E487" t="s">
        <v>200</v>
      </c>
      <c r="F487" t="s">
        <v>359</v>
      </c>
      <c r="G487" t="s">
        <v>729</v>
      </c>
      <c r="H487" t="s">
        <v>840</v>
      </c>
      <c r="I487" t="s">
        <v>1436</v>
      </c>
      <c r="J487">
        <v>2</v>
      </c>
      <c r="K487" t="s">
        <v>1641</v>
      </c>
      <c r="L487">
        <v>10453</v>
      </c>
      <c r="M487" t="s">
        <v>1670</v>
      </c>
      <c r="Q487" t="s">
        <v>1940</v>
      </c>
      <c r="R487" t="s">
        <v>1958</v>
      </c>
      <c r="S487" t="s">
        <v>1965</v>
      </c>
      <c r="T487" t="s">
        <v>1671</v>
      </c>
      <c r="V487" t="s">
        <v>1972</v>
      </c>
      <c r="X487" t="s">
        <v>1991</v>
      </c>
      <c r="Y487">
        <v>1500</v>
      </c>
      <c r="Z487" t="s">
        <v>2006</v>
      </c>
      <c r="AA487" t="s">
        <v>2019</v>
      </c>
      <c r="AB487" t="s">
        <v>2029</v>
      </c>
      <c r="AC487" t="s">
        <v>2425</v>
      </c>
      <c r="AD487" t="s">
        <v>2856</v>
      </c>
      <c r="AE487">
        <v>3</v>
      </c>
      <c r="AF487" t="s">
        <v>2904</v>
      </c>
      <c r="AG487" t="s">
        <v>1754</v>
      </c>
      <c r="AH487">
        <v>1</v>
      </c>
      <c r="AJ487">
        <v>1</v>
      </c>
      <c r="AK487">
        <v>3</v>
      </c>
      <c r="AL487">
        <v>0</v>
      </c>
      <c r="AO487" t="s">
        <v>2926</v>
      </c>
      <c r="AP487">
        <v>0</v>
      </c>
      <c r="AV487">
        <v>1</v>
      </c>
      <c r="AW487" t="s">
        <v>200</v>
      </c>
      <c r="AX487" t="s">
        <v>3067</v>
      </c>
    </row>
    <row r="488" spans="1:50">
      <c r="A488" s="1">
        <f>HYPERLINK("https://lsnyc.legalserver.org/matter/dynamic-profile/view/1896368","19-1896368")</f>
        <v>0</v>
      </c>
      <c r="B488" t="s">
        <v>50</v>
      </c>
      <c r="C488" t="s">
        <v>126</v>
      </c>
      <c r="D488" t="s">
        <v>163</v>
      </c>
      <c r="E488" t="s">
        <v>217</v>
      </c>
      <c r="G488" t="s">
        <v>730</v>
      </c>
      <c r="H488" t="s">
        <v>1079</v>
      </c>
      <c r="I488" t="s">
        <v>1437</v>
      </c>
      <c r="J488" t="s">
        <v>1632</v>
      </c>
      <c r="K488" t="s">
        <v>1641</v>
      </c>
      <c r="L488">
        <v>10459</v>
      </c>
      <c r="M488" t="s">
        <v>1670</v>
      </c>
      <c r="R488" t="s">
        <v>1962</v>
      </c>
      <c r="V488" t="s">
        <v>1972</v>
      </c>
      <c r="X488" t="s">
        <v>1991</v>
      </c>
      <c r="Y488">
        <v>1059</v>
      </c>
      <c r="Z488" t="s">
        <v>2006</v>
      </c>
      <c r="AA488" t="s">
        <v>2028</v>
      </c>
      <c r="AC488" t="s">
        <v>2426</v>
      </c>
      <c r="AD488" t="s">
        <v>2857</v>
      </c>
      <c r="AE488">
        <v>35</v>
      </c>
      <c r="AF488" t="s">
        <v>2902</v>
      </c>
      <c r="AG488" t="s">
        <v>1754</v>
      </c>
      <c r="AH488">
        <v>7</v>
      </c>
      <c r="AJ488">
        <v>1</v>
      </c>
      <c r="AK488">
        <v>2</v>
      </c>
      <c r="AL488">
        <v>146.27</v>
      </c>
      <c r="AO488" t="s">
        <v>2927</v>
      </c>
      <c r="AP488">
        <v>31200</v>
      </c>
      <c r="AV488">
        <v>1.6</v>
      </c>
      <c r="AW488" t="s">
        <v>397</v>
      </c>
      <c r="AX488" t="s">
        <v>3047</v>
      </c>
    </row>
    <row r="489" spans="1:50">
      <c r="A489" s="1">
        <f>HYPERLINK("https://lsnyc.legalserver.org/matter/dynamic-profile/view/1882257","18-1882257")</f>
        <v>0</v>
      </c>
      <c r="B489" t="s">
        <v>50</v>
      </c>
      <c r="C489" t="s">
        <v>65</v>
      </c>
      <c r="D489" t="s">
        <v>163</v>
      </c>
      <c r="E489" t="s">
        <v>345</v>
      </c>
      <c r="G489" t="s">
        <v>731</v>
      </c>
      <c r="H489" t="s">
        <v>1080</v>
      </c>
      <c r="I489" t="s">
        <v>1438</v>
      </c>
      <c r="J489" t="s">
        <v>1591</v>
      </c>
      <c r="K489" t="s">
        <v>1644</v>
      </c>
      <c r="L489">
        <v>11220</v>
      </c>
      <c r="M489" t="s">
        <v>1670</v>
      </c>
      <c r="Q489" t="s">
        <v>1938</v>
      </c>
      <c r="R489" t="s">
        <v>1961</v>
      </c>
      <c r="T489" t="s">
        <v>1670</v>
      </c>
      <c r="V489" t="s">
        <v>1982</v>
      </c>
      <c r="X489" t="s">
        <v>345</v>
      </c>
      <c r="Y489">
        <v>0</v>
      </c>
      <c r="Z489" t="s">
        <v>2009</v>
      </c>
      <c r="AC489" t="s">
        <v>2427</v>
      </c>
      <c r="AD489" t="s">
        <v>2858</v>
      </c>
      <c r="AE489">
        <v>28</v>
      </c>
      <c r="AH489">
        <v>0</v>
      </c>
      <c r="AJ489">
        <v>2</v>
      </c>
      <c r="AK489">
        <v>4</v>
      </c>
      <c r="AL489">
        <v>70.67</v>
      </c>
      <c r="AO489" t="s">
        <v>2927</v>
      </c>
      <c r="AP489">
        <v>23844</v>
      </c>
      <c r="AV489">
        <v>0.8</v>
      </c>
      <c r="AW489" t="s">
        <v>252</v>
      </c>
      <c r="AX489" t="s">
        <v>3085</v>
      </c>
    </row>
    <row r="490" spans="1:50">
      <c r="A490" s="1">
        <f>HYPERLINK("https://lsnyc.legalserver.org/matter/dynamic-profile/view/1891317","19-1891317")</f>
        <v>0</v>
      </c>
      <c r="B490" t="s">
        <v>50</v>
      </c>
      <c r="C490" t="s">
        <v>57</v>
      </c>
      <c r="D490" t="s">
        <v>163</v>
      </c>
      <c r="E490" t="s">
        <v>313</v>
      </c>
      <c r="G490" t="s">
        <v>732</v>
      </c>
      <c r="H490" t="s">
        <v>1081</v>
      </c>
      <c r="I490" t="s">
        <v>1112</v>
      </c>
      <c r="J490" t="s">
        <v>1581</v>
      </c>
      <c r="K490" t="s">
        <v>1641</v>
      </c>
      <c r="L490">
        <v>10453</v>
      </c>
      <c r="M490" t="s">
        <v>1670</v>
      </c>
      <c r="Q490" t="s">
        <v>1938</v>
      </c>
      <c r="R490" t="s">
        <v>1961</v>
      </c>
      <c r="T490" t="s">
        <v>1670</v>
      </c>
      <c r="V490" t="s">
        <v>1972</v>
      </c>
      <c r="X490" t="s">
        <v>283</v>
      </c>
      <c r="Y490">
        <v>1140</v>
      </c>
      <c r="Z490" t="s">
        <v>2006</v>
      </c>
      <c r="AA490" t="s">
        <v>2015</v>
      </c>
      <c r="AC490" t="s">
        <v>2428</v>
      </c>
      <c r="AD490" t="s">
        <v>2859</v>
      </c>
      <c r="AE490">
        <v>170</v>
      </c>
      <c r="AF490" t="s">
        <v>2902</v>
      </c>
      <c r="AG490" t="s">
        <v>1754</v>
      </c>
      <c r="AH490">
        <v>6</v>
      </c>
      <c r="AJ490">
        <v>1</v>
      </c>
      <c r="AK490">
        <v>1</v>
      </c>
      <c r="AL490">
        <v>187.89</v>
      </c>
      <c r="AO490" t="s">
        <v>2927</v>
      </c>
      <c r="AP490">
        <v>31772</v>
      </c>
      <c r="AV490">
        <v>0</v>
      </c>
      <c r="AX490" t="s">
        <v>3047</v>
      </c>
    </row>
    <row r="491" spans="1:50">
      <c r="A491" s="1">
        <f>HYPERLINK("https://lsnyc.legalserver.org/matter/dynamic-profile/view/1891311","19-1891311")</f>
        <v>0</v>
      </c>
      <c r="B491" t="s">
        <v>50</v>
      </c>
      <c r="C491" t="s">
        <v>57</v>
      </c>
      <c r="D491" t="s">
        <v>163</v>
      </c>
      <c r="E491" t="s">
        <v>313</v>
      </c>
      <c r="G491" t="s">
        <v>732</v>
      </c>
      <c r="H491" t="s">
        <v>1081</v>
      </c>
      <c r="I491" t="s">
        <v>1112</v>
      </c>
      <c r="J491" t="s">
        <v>1581</v>
      </c>
      <c r="K491" t="s">
        <v>1641</v>
      </c>
      <c r="L491">
        <v>10453</v>
      </c>
      <c r="M491" t="s">
        <v>1670</v>
      </c>
      <c r="P491" t="s">
        <v>1677</v>
      </c>
      <c r="Q491" t="s">
        <v>1939</v>
      </c>
      <c r="R491" t="s">
        <v>1960</v>
      </c>
      <c r="T491" t="s">
        <v>1670</v>
      </c>
      <c r="V491" t="s">
        <v>1972</v>
      </c>
      <c r="X491" t="s">
        <v>283</v>
      </c>
      <c r="Y491">
        <v>1140.4</v>
      </c>
      <c r="Z491" t="s">
        <v>2006</v>
      </c>
      <c r="AA491" t="s">
        <v>2015</v>
      </c>
      <c r="AC491" t="s">
        <v>2428</v>
      </c>
      <c r="AD491" t="s">
        <v>2859</v>
      </c>
      <c r="AE491">
        <v>170</v>
      </c>
      <c r="AF491" t="s">
        <v>2902</v>
      </c>
      <c r="AG491" t="s">
        <v>1754</v>
      </c>
      <c r="AH491">
        <v>6</v>
      </c>
      <c r="AJ491">
        <v>1</v>
      </c>
      <c r="AK491">
        <v>1</v>
      </c>
      <c r="AL491">
        <v>187.89</v>
      </c>
      <c r="AO491" t="s">
        <v>2927</v>
      </c>
      <c r="AP491">
        <v>31772</v>
      </c>
      <c r="AV491">
        <v>0</v>
      </c>
      <c r="AX491" t="s">
        <v>3047</v>
      </c>
    </row>
    <row r="492" spans="1:50">
      <c r="A492" s="1">
        <f>HYPERLINK("https://lsnyc.legalserver.org/matter/dynamic-profile/view/1886256","18-1886256")</f>
        <v>0</v>
      </c>
      <c r="B492" t="s">
        <v>50</v>
      </c>
      <c r="C492" t="s">
        <v>52</v>
      </c>
      <c r="D492" t="s">
        <v>164</v>
      </c>
      <c r="E492" t="s">
        <v>376</v>
      </c>
      <c r="F492" t="s">
        <v>330</v>
      </c>
      <c r="G492" t="s">
        <v>733</v>
      </c>
      <c r="H492" t="s">
        <v>770</v>
      </c>
      <c r="I492" t="s">
        <v>1439</v>
      </c>
      <c r="J492" t="s">
        <v>1633</v>
      </c>
      <c r="K492" t="s">
        <v>1641</v>
      </c>
      <c r="L492">
        <v>10474</v>
      </c>
      <c r="M492" t="s">
        <v>1670</v>
      </c>
      <c r="P492" t="s">
        <v>1912</v>
      </c>
      <c r="Q492" t="s">
        <v>1936</v>
      </c>
      <c r="R492" t="s">
        <v>1958</v>
      </c>
      <c r="S492" t="s">
        <v>1965</v>
      </c>
      <c r="T492" t="s">
        <v>1671</v>
      </c>
      <c r="V492" t="s">
        <v>1972</v>
      </c>
      <c r="W492" t="s">
        <v>1988</v>
      </c>
      <c r="X492" t="s">
        <v>341</v>
      </c>
      <c r="Y492">
        <v>1175</v>
      </c>
      <c r="Z492" t="s">
        <v>2006</v>
      </c>
      <c r="AA492" t="s">
        <v>2015</v>
      </c>
      <c r="AB492" t="s">
        <v>2029</v>
      </c>
      <c r="AC492" t="s">
        <v>2429</v>
      </c>
      <c r="AD492" t="s">
        <v>2860</v>
      </c>
      <c r="AE492">
        <v>100</v>
      </c>
      <c r="AF492" t="s">
        <v>2907</v>
      </c>
      <c r="AG492" t="s">
        <v>2017</v>
      </c>
      <c r="AH492">
        <v>14</v>
      </c>
      <c r="AJ492">
        <v>2</v>
      </c>
      <c r="AK492">
        <v>3</v>
      </c>
      <c r="AL492">
        <v>4.08</v>
      </c>
      <c r="AO492" t="s">
        <v>2927</v>
      </c>
      <c r="AP492">
        <v>1200</v>
      </c>
      <c r="AV492">
        <v>1.5</v>
      </c>
      <c r="AW492" t="s">
        <v>341</v>
      </c>
      <c r="AX492" t="s">
        <v>52</v>
      </c>
    </row>
    <row r="493" spans="1:50">
      <c r="A493" s="1">
        <f>HYPERLINK("https://lsnyc.legalserver.org/matter/dynamic-profile/view/1882273","18-1882273")</f>
        <v>0</v>
      </c>
      <c r="B493" t="s">
        <v>50</v>
      </c>
      <c r="C493" t="s">
        <v>99</v>
      </c>
      <c r="D493" t="s">
        <v>164</v>
      </c>
      <c r="E493" t="s">
        <v>377</v>
      </c>
      <c r="F493" t="s">
        <v>407</v>
      </c>
      <c r="G493" t="s">
        <v>734</v>
      </c>
      <c r="H493" t="s">
        <v>1040</v>
      </c>
      <c r="I493" t="s">
        <v>1440</v>
      </c>
      <c r="J493" t="s">
        <v>1634</v>
      </c>
      <c r="K493" t="s">
        <v>1666</v>
      </c>
      <c r="L493">
        <v>11368</v>
      </c>
      <c r="M493" t="s">
        <v>1670</v>
      </c>
      <c r="P493" t="s">
        <v>1913</v>
      </c>
      <c r="Q493" t="s">
        <v>1940</v>
      </c>
      <c r="R493" t="s">
        <v>1958</v>
      </c>
      <c r="S493" t="s">
        <v>1965</v>
      </c>
      <c r="T493" t="s">
        <v>1671</v>
      </c>
      <c r="V493" t="s">
        <v>1972</v>
      </c>
      <c r="W493" t="s">
        <v>1983</v>
      </c>
      <c r="X493" t="s">
        <v>377</v>
      </c>
      <c r="Y493">
        <v>1360</v>
      </c>
      <c r="Z493" t="s">
        <v>2007</v>
      </c>
      <c r="AA493" t="s">
        <v>2028</v>
      </c>
      <c r="AB493" t="s">
        <v>2029</v>
      </c>
      <c r="AC493" t="s">
        <v>2430</v>
      </c>
      <c r="AD493" t="s">
        <v>2861</v>
      </c>
      <c r="AE493">
        <v>2</v>
      </c>
      <c r="AF493" t="s">
        <v>2903</v>
      </c>
      <c r="AG493" t="s">
        <v>1754</v>
      </c>
      <c r="AH493">
        <v>13</v>
      </c>
      <c r="AJ493">
        <v>2</v>
      </c>
      <c r="AK493">
        <v>1</v>
      </c>
      <c r="AL493">
        <v>178.06</v>
      </c>
      <c r="AO493" t="s">
        <v>2926</v>
      </c>
      <c r="AP493">
        <v>37000</v>
      </c>
      <c r="AV493">
        <v>0.48</v>
      </c>
      <c r="AW493" t="s">
        <v>377</v>
      </c>
      <c r="AX493" t="s">
        <v>99</v>
      </c>
    </row>
    <row r="494" spans="1:50">
      <c r="A494" s="1">
        <f>HYPERLINK("https://lsnyc.legalserver.org/matter/dynamic-profile/view/1872431","18-1872431")</f>
        <v>0</v>
      </c>
      <c r="B494" t="s">
        <v>50</v>
      </c>
      <c r="C494" t="s">
        <v>54</v>
      </c>
      <c r="D494" t="s">
        <v>164</v>
      </c>
      <c r="E494" t="s">
        <v>378</v>
      </c>
      <c r="F494" t="s">
        <v>408</v>
      </c>
      <c r="G494" t="s">
        <v>521</v>
      </c>
      <c r="H494" t="s">
        <v>1082</v>
      </c>
      <c r="I494" t="s">
        <v>1441</v>
      </c>
      <c r="K494" t="s">
        <v>1644</v>
      </c>
      <c r="L494">
        <v>11214</v>
      </c>
      <c r="M494" t="s">
        <v>1670</v>
      </c>
      <c r="Q494" t="s">
        <v>1941</v>
      </c>
      <c r="R494" t="s">
        <v>1962</v>
      </c>
      <c r="S494" t="s">
        <v>1965</v>
      </c>
      <c r="T494" t="s">
        <v>1671</v>
      </c>
      <c r="V494" t="s">
        <v>1972</v>
      </c>
      <c r="X494" t="s">
        <v>378</v>
      </c>
      <c r="Y494">
        <v>0</v>
      </c>
      <c r="Z494" t="s">
        <v>2008</v>
      </c>
      <c r="AA494" t="s">
        <v>2016</v>
      </c>
      <c r="AB494" t="s">
        <v>2029</v>
      </c>
      <c r="AC494" t="s">
        <v>2431</v>
      </c>
      <c r="AD494" t="s">
        <v>2862</v>
      </c>
      <c r="AE494">
        <v>3</v>
      </c>
      <c r="AF494" t="s">
        <v>2902</v>
      </c>
      <c r="AG494" t="s">
        <v>1754</v>
      </c>
      <c r="AH494">
        <v>6</v>
      </c>
      <c r="AJ494">
        <v>3</v>
      </c>
      <c r="AK494">
        <v>1</v>
      </c>
      <c r="AL494">
        <v>57.37</v>
      </c>
      <c r="AO494" t="s">
        <v>2926</v>
      </c>
      <c r="AP494">
        <v>14400</v>
      </c>
      <c r="AV494">
        <v>0.3</v>
      </c>
      <c r="AW494" t="s">
        <v>408</v>
      </c>
      <c r="AX494" t="s">
        <v>3042</v>
      </c>
    </row>
    <row r="495" spans="1:50">
      <c r="A495" s="1">
        <f>HYPERLINK("https://lsnyc.legalserver.org/matter/dynamic-profile/view/1884960","18-1884960")</f>
        <v>0</v>
      </c>
      <c r="B495" t="s">
        <v>50</v>
      </c>
      <c r="C495" t="s">
        <v>105</v>
      </c>
      <c r="D495" t="s">
        <v>163</v>
      </c>
      <c r="E495" t="s">
        <v>373</v>
      </c>
      <c r="G495" t="s">
        <v>735</v>
      </c>
      <c r="H495" t="s">
        <v>1083</v>
      </c>
      <c r="I495" t="s">
        <v>1442</v>
      </c>
      <c r="J495" t="s">
        <v>1498</v>
      </c>
      <c r="K495" t="s">
        <v>1641</v>
      </c>
      <c r="L495">
        <v>10451</v>
      </c>
      <c r="M495" t="s">
        <v>1670</v>
      </c>
      <c r="P495" t="s">
        <v>1914</v>
      </c>
      <c r="Q495" t="s">
        <v>1936</v>
      </c>
      <c r="R495" t="s">
        <v>1960</v>
      </c>
      <c r="T495" t="s">
        <v>1671</v>
      </c>
      <c r="V495" t="s">
        <v>1972</v>
      </c>
      <c r="X495" t="s">
        <v>182</v>
      </c>
      <c r="Y495">
        <v>737.34</v>
      </c>
      <c r="Z495" t="s">
        <v>2006</v>
      </c>
      <c r="AA495" t="s">
        <v>2015</v>
      </c>
      <c r="AC495" t="s">
        <v>2432</v>
      </c>
      <c r="AD495" t="s">
        <v>2863</v>
      </c>
      <c r="AE495">
        <v>81</v>
      </c>
      <c r="AF495" t="s">
        <v>2902</v>
      </c>
      <c r="AG495" t="s">
        <v>1754</v>
      </c>
      <c r="AH495">
        <v>26</v>
      </c>
      <c r="AJ495">
        <v>2</v>
      </c>
      <c r="AK495">
        <v>1</v>
      </c>
      <c r="AL495">
        <v>105.87</v>
      </c>
      <c r="AO495" t="s">
        <v>2926</v>
      </c>
      <c r="AP495">
        <v>22000</v>
      </c>
      <c r="AV495">
        <v>14.1</v>
      </c>
      <c r="AW495" t="s">
        <v>406</v>
      </c>
      <c r="AX495" t="s">
        <v>3047</v>
      </c>
    </row>
    <row r="496" spans="1:50">
      <c r="A496" s="1">
        <f>HYPERLINK("https://lsnyc.legalserver.org/matter/dynamic-profile/view/1902691","19-1902691")</f>
        <v>0</v>
      </c>
      <c r="B496" t="s">
        <v>51</v>
      </c>
      <c r="C496" t="s">
        <v>53</v>
      </c>
      <c r="D496" t="s">
        <v>164</v>
      </c>
      <c r="E496" t="s">
        <v>379</v>
      </c>
      <c r="F496" t="s">
        <v>337</v>
      </c>
      <c r="G496" t="s">
        <v>736</v>
      </c>
      <c r="H496" t="s">
        <v>1084</v>
      </c>
      <c r="I496" t="s">
        <v>1443</v>
      </c>
      <c r="K496" t="s">
        <v>1661</v>
      </c>
      <c r="L496">
        <v>11423</v>
      </c>
      <c r="M496" t="s">
        <v>1670</v>
      </c>
      <c r="P496" t="s">
        <v>1687</v>
      </c>
      <c r="Q496" t="s">
        <v>1675</v>
      </c>
      <c r="R496" t="s">
        <v>1958</v>
      </c>
      <c r="S496" t="s">
        <v>1965</v>
      </c>
      <c r="T496" t="s">
        <v>1671</v>
      </c>
      <c r="V496" t="s">
        <v>1980</v>
      </c>
      <c r="W496" t="s">
        <v>1984</v>
      </c>
      <c r="X496" t="s">
        <v>337</v>
      </c>
      <c r="Y496">
        <v>0</v>
      </c>
      <c r="Z496" t="s">
        <v>2007</v>
      </c>
      <c r="AA496" t="s">
        <v>2012</v>
      </c>
      <c r="AB496" t="s">
        <v>2029</v>
      </c>
      <c r="AC496" t="s">
        <v>2433</v>
      </c>
      <c r="AD496" t="s">
        <v>2864</v>
      </c>
      <c r="AE496">
        <v>1</v>
      </c>
      <c r="AF496" t="s">
        <v>2903</v>
      </c>
      <c r="AG496" t="s">
        <v>1754</v>
      </c>
      <c r="AH496">
        <v>10</v>
      </c>
      <c r="AJ496">
        <v>2</v>
      </c>
      <c r="AK496">
        <v>1</v>
      </c>
      <c r="AL496">
        <v>75.01000000000001</v>
      </c>
      <c r="AM496" t="s">
        <v>2923</v>
      </c>
      <c r="AN496" t="s">
        <v>2924</v>
      </c>
      <c r="AO496" t="s">
        <v>2926</v>
      </c>
      <c r="AP496">
        <v>16000</v>
      </c>
      <c r="AV496">
        <v>1.2</v>
      </c>
      <c r="AW496" t="s">
        <v>337</v>
      </c>
      <c r="AX496" t="s">
        <v>53</v>
      </c>
    </row>
    <row r="497" spans="1:50">
      <c r="A497" s="1">
        <f>HYPERLINK("https://lsnyc.legalserver.org/matter/dynamic-profile/view/1883780","18-1883780")</f>
        <v>0</v>
      </c>
      <c r="B497" t="s">
        <v>50</v>
      </c>
      <c r="C497" t="s">
        <v>70</v>
      </c>
      <c r="D497" t="s">
        <v>164</v>
      </c>
      <c r="E497" t="s">
        <v>345</v>
      </c>
      <c r="F497" t="s">
        <v>273</v>
      </c>
      <c r="G497" t="s">
        <v>737</v>
      </c>
      <c r="H497" t="s">
        <v>1085</v>
      </c>
      <c r="I497" t="s">
        <v>1444</v>
      </c>
      <c r="J497">
        <v>3</v>
      </c>
      <c r="K497" t="s">
        <v>1641</v>
      </c>
      <c r="L497">
        <v>10459</v>
      </c>
      <c r="M497" t="s">
        <v>1670</v>
      </c>
      <c r="P497" t="s">
        <v>1915</v>
      </c>
      <c r="Q497" t="s">
        <v>1940</v>
      </c>
      <c r="R497" t="s">
        <v>1958</v>
      </c>
      <c r="S497" t="s">
        <v>1965</v>
      </c>
      <c r="T497" t="s">
        <v>1671</v>
      </c>
      <c r="V497" t="s">
        <v>1972</v>
      </c>
      <c r="X497" t="s">
        <v>224</v>
      </c>
      <c r="Y497">
        <v>2050</v>
      </c>
      <c r="Z497" t="s">
        <v>2006</v>
      </c>
      <c r="AA497" t="s">
        <v>2024</v>
      </c>
      <c r="AB497" t="s">
        <v>2029</v>
      </c>
      <c r="AC497" t="s">
        <v>2434</v>
      </c>
      <c r="AD497" t="s">
        <v>2865</v>
      </c>
      <c r="AE497">
        <v>4</v>
      </c>
      <c r="AF497" t="s">
        <v>2909</v>
      </c>
      <c r="AG497" t="s">
        <v>2915</v>
      </c>
      <c r="AH497">
        <v>2</v>
      </c>
      <c r="AJ497">
        <v>3</v>
      </c>
      <c r="AK497">
        <v>1</v>
      </c>
      <c r="AL497">
        <v>117.58</v>
      </c>
      <c r="AO497" t="s">
        <v>2927</v>
      </c>
      <c r="AP497">
        <v>29512</v>
      </c>
      <c r="AQ497" t="s">
        <v>2949</v>
      </c>
      <c r="AV497">
        <v>0.75</v>
      </c>
      <c r="AW497" t="s">
        <v>273</v>
      </c>
      <c r="AX497" t="s">
        <v>3068</v>
      </c>
    </row>
    <row r="498" spans="1:50">
      <c r="A498" s="1">
        <f>HYPERLINK("https://lsnyc.legalserver.org/matter/dynamic-profile/view/1877384","18-1877384")</f>
        <v>0</v>
      </c>
      <c r="B498" t="s">
        <v>50</v>
      </c>
      <c r="C498" t="s">
        <v>159</v>
      </c>
      <c r="D498" t="s">
        <v>163</v>
      </c>
      <c r="E498" t="s">
        <v>194</v>
      </c>
      <c r="G498" t="s">
        <v>738</v>
      </c>
      <c r="H498" t="s">
        <v>886</v>
      </c>
      <c r="I498" t="s">
        <v>1445</v>
      </c>
      <c r="J498" t="s">
        <v>1562</v>
      </c>
      <c r="K498" t="s">
        <v>1644</v>
      </c>
      <c r="L498">
        <v>11212</v>
      </c>
      <c r="M498" t="s">
        <v>1670</v>
      </c>
      <c r="P498" t="s">
        <v>1916</v>
      </c>
      <c r="Q498" t="s">
        <v>1954</v>
      </c>
      <c r="R498" t="s">
        <v>1963</v>
      </c>
      <c r="V498" t="s">
        <v>1972</v>
      </c>
      <c r="X498" t="s">
        <v>349</v>
      </c>
      <c r="Y498">
        <v>1600</v>
      </c>
      <c r="Z498" t="s">
        <v>2009</v>
      </c>
      <c r="AA498" t="s">
        <v>2014</v>
      </c>
      <c r="AC498" t="s">
        <v>2435</v>
      </c>
      <c r="AD498" t="s">
        <v>2866</v>
      </c>
      <c r="AE498">
        <v>2</v>
      </c>
      <c r="AG498" t="s">
        <v>1754</v>
      </c>
      <c r="AH498">
        <v>2</v>
      </c>
      <c r="AJ498">
        <v>1</v>
      </c>
      <c r="AK498">
        <v>1</v>
      </c>
      <c r="AL498">
        <v>151.88</v>
      </c>
      <c r="AO498" t="s">
        <v>2926</v>
      </c>
      <c r="AP498">
        <v>25000</v>
      </c>
      <c r="AV498">
        <v>9.75</v>
      </c>
      <c r="AW498" t="s">
        <v>200</v>
      </c>
      <c r="AX498" t="s">
        <v>3074</v>
      </c>
    </row>
    <row r="499" spans="1:50">
      <c r="A499" s="1">
        <f>HYPERLINK("https://lsnyc.legalserver.org/matter/dynamic-profile/view/1902014","19-1902014")</f>
        <v>0</v>
      </c>
      <c r="B499" t="s">
        <v>50</v>
      </c>
      <c r="C499" t="s">
        <v>64</v>
      </c>
      <c r="D499" t="s">
        <v>163</v>
      </c>
      <c r="E499" t="s">
        <v>179</v>
      </c>
      <c r="G499" t="s">
        <v>739</v>
      </c>
      <c r="H499" t="s">
        <v>1086</v>
      </c>
      <c r="I499" t="s">
        <v>1446</v>
      </c>
      <c r="J499" t="s">
        <v>1600</v>
      </c>
      <c r="K499" t="s">
        <v>1643</v>
      </c>
      <c r="L499">
        <v>10040</v>
      </c>
      <c r="M499" t="s">
        <v>1670</v>
      </c>
      <c r="R499" t="s">
        <v>1962</v>
      </c>
      <c r="T499" t="s">
        <v>1671</v>
      </c>
      <c r="V499" t="s">
        <v>1972</v>
      </c>
      <c r="X499" t="s">
        <v>179</v>
      </c>
      <c r="Y499">
        <v>1164</v>
      </c>
      <c r="Z499" t="s">
        <v>2008</v>
      </c>
      <c r="AA499" t="s">
        <v>2013</v>
      </c>
      <c r="AC499" t="s">
        <v>2436</v>
      </c>
      <c r="AD499" t="s">
        <v>2867</v>
      </c>
      <c r="AE499">
        <v>48</v>
      </c>
      <c r="AF499" t="s">
        <v>2902</v>
      </c>
      <c r="AG499" t="s">
        <v>2918</v>
      </c>
      <c r="AH499">
        <v>24</v>
      </c>
      <c r="AJ499">
        <v>2</v>
      </c>
      <c r="AK499">
        <v>1</v>
      </c>
      <c r="AL499">
        <v>185.28</v>
      </c>
      <c r="AO499" t="s">
        <v>2927</v>
      </c>
      <c r="AP499">
        <v>39520</v>
      </c>
      <c r="AV499">
        <v>1</v>
      </c>
      <c r="AW499" t="s">
        <v>389</v>
      </c>
      <c r="AX499" t="s">
        <v>3042</v>
      </c>
    </row>
    <row r="500" spans="1:50">
      <c r="A500" s="1">
        <f>HYPERLINK("https://lsnyc.legalserver.org/matter/dynamic-profile/view/1891390","19-1891390")</f>
        <v>0</v>
      </c>
      <c r="B500" t="s">
        <v>50</v>
      </c>
      <c r="C500" t="s">
        <v>57</v>
      </c>
      <c r="D500" t="s">
        <v>163</v>
      </c>
      <c r="E500" t="s">
        <v>182</v>
      </c>
      <c r="G500" t="s">
        <v>740</v>
      </c>
      <c r="H500" t="s">
        <v>1074</v>
      </c>
      <c r="I500" t="s">
        <v>1112</v>
      </c>
      <c r="J500" t="s">
        <v>1635</v>
      </c>
      <c r="K500" t="s">
        <v>1641</v>
      </c>
      <c r="L500">
        <v>10453</v>
      </c>
      <c r="M500" t="s">
        <v>1670</v>
      </c>
      <c r="Q500" t="s">
        <v>1938</v>
      </c>
      <c r="R500" t="s">
        <v>1961</v>
      </c>
      <c r="T500" t="s">
        <v>1670</v>
      </c>
      <c r="V500" t="s">
        <v>1972</v>
      </c>
      <c r="X500" t="s">
        <v>283</v>
      </c>
      <c r="Y500">
        <v>1306.45</v>
      </c>
      <c r="Z500" t="s">
        <v>2006</v>
      </c>
      <c r="AA500" t="s">
        <v>2015</v>
      </c>
      <c r="AC500" t="s">
        <v>2437</v>
      </c>
      <c r="AD500" t="s">
        <v>2868</v>
      </c>
      <c r="AE500">
        <v>170</v>
      </c>
      <c r="AF500" t="s">
        <v>2902</v>
      </c>
      <c r="AG500" t="s">
        <v>1754</v>
      </c>
      <c r="AH500">
        <v>10</v>
      </c>
      <c r="AJ500">
        <v>3</v>
      </c>
      <c r="AK500">
        <v>2</v>
      </c>
      <c r="AL500">
        <v>68.94</v>
      </c>
      <c r="AO500" t="s">
        <v>2927</v>
      </c>
      <c r="AP500">
        <v>20800</v>
      </c>
      <c r="AV500">
        <v>0</v>
      </c>
      <c r="AX500" t="s">
        <v>3047</v>
      </c>
    </row>
    <row r="501" spans="1:50">
      <c r="A501" s="1">
        <f>HYPERLINK("https://lsnyc.legalserver.org/matter/dynamic-profile/view/1891378","19-1891378")</f>
        <v>0</v>
      </c>
      <c r="B501" t="s">
        <v>50</v>
      </c>
      <c r="C501" t="s">
        <v>57</v>
      </c>
      <c r="D501" t="s">
        <v>163</v>
      </c>
      <c r="E501" t="s">
        <v>182</v>
      </c>
      <c r="G501" t="s">
        <v>740</v>
      </c>
      <c r="H501" t="s">
        <v>1074</v>
      </c>
      <c r="I501" t="s">
        <v>1112</v>
      </c>
      <c r="J501" t="s">
        <v>1635</v>
      </c>
      <c r="K501" t="s">
        <v>1641</v>
      </c>
      <c r="L501">
        <v>10453</v>
      </c>
      <c r="M501" t="s">
        <v>1670</v>
      </c>
      <c r="P501" t="s">
        <v>1677</v>
      </c>
      <c r="Q501" t="s">
        <v>1939</v>
      </c>
      <c r="R501" t="s">
        <v>1960</v>
      </c>
      <c r="T501" t="s">
        <v>1670</v>
      </c>
      <c r="V501" t="s">
        <v>1972</v>
      </c>
      <c r="X501" t="s">
        <v>283</v>
      </c>
      <c r="Y501">
        <v>1306.45</v>
      </c>
      <c r="Z501" t="s">
        <v>2006</v>
      </c>
      <c r="AA501" t="s">
        <v>2015</v>
      </c>
      <c r="AC501" t="s">
        <v>2437</v>
      </c>
      <c r="AD501" t="s">
        <v>2868</v>
      </c>
      <c r="AE501">
        <v>170</v>
      </c>
      <c r="AF501" t="s">
        <v>2902</v>
      </c>
      <c r="AG501" t="s">
        <v>1754</v>
      </c>
      <c r="AH501">
        <v>10</v>
      </c>
      <c r="AJ501">
        <v>3</v>
      </c>
      <c r="AK501">
        <v>2</v>
      </c>
      <c r="AL501">
        <v>68.94</v>
      </c>
      <c r="AO501" t="s">
        <v>2927</v>
      </c>
      <c r="AP501">
        <v>20800</v>
      </c>
      <c r="AV501">
        <v>0</v>
      </c>
      <c r="AX501" t="s">
        <v>3047</v>
      </c>
    </row>
    <row r="502" spans="1:50">
      <c r="A502" s="1">
        <f>HYPERLINK("https://lsnyc.legalserver.org/matter/dynamic-profile/view/1896204","19-1896204")</f>
        <v>0</v>
      </c>
      <c r="B502" t="s">
        <v>50</v>
      </c>
      <c r="C502" t="s">
        <v>57</v>
      </c>
      <c r="D502" t="s">
        <v>163</v>
      </c>
      <c r="E502" t="s">
        <v>183</v>
      </c>
      <c r="G502" t="s">
        <v>741</v>
      </c>
      <c r="H502" t="s">
        <v>855</v>
      </c>
      <c r="I502" t="s">
        <v>1112</v>
      </c>
      <c r="J502" t="s">
        <v>1636</v>
      </c>
      <c r="K502" t="s">
        <v>1641</v>
      </c>
      <c r="L502">
        <v>10453</v>
      </c>
      <c r="M502" t="s">
        <v>1670</v>
      </c>
      <c r="Q502" t="s">
        <v>1938</v>
      </c>
      <c r="R502" t="s">
        <v>1961</v>
      </c>
      <c r="T502" t="s">
        <v>1670</v>
      </c>
      <c r="V502" t="s">
        <v>1972</v>
      </c>
      <c r="X502" t="s">
        <v>283</v>
      </c>
      <c r="Y502">
        <v>856.0599999999999</v>
      </c>
      <c r="Z502" t="s">
        <v>2006</v>
      </c>
      <c r="AA502" t="s">
        <v>2020</v>
      </c>
      <c r="AC502" t="s">
        <v>2438</v>
      </c>
      <c r="AD502" t="s">
        <v>2869</v>
      </c>
      <c r="AE502">
        <v>170</v>
      </c>
      <c r="AF502" t="s">
        <v>2902</v>
      </c>
      <c r="AG502" t="s">
        <v>1754</v>
      </c>
      <c r="AH502">
        <v>18</v>
      </c>
      <c r="AJ502">
        <v>2</v>
      </c>
      <c r="AK502">
        <v>2</v>
      </c>
      <c r="AL502">
        <v>33.55</v>
      </c>
      <c r="AO502" t="s">
        <v>2927</v>
      </c>
      <c r="AP502">
        <v>8640</v>
      </c>
      <c r="AV502">
        <v>0</v>
      </c>
      <c r="AX502" t="s">
        <v>3045</v>
      </c>
    </row>
    <row r="503" spans="1:50">
      <c r="A503" s="1">
        <f>HYPERLINK("https://lsnyc.legalserver.org/matter/dynamic-profile/view/1896198","19-1896198")</f>
        <v>0</v>
      </c>
      <c r="B503" t="s">
        <v>50</v>
      </c>
      <c r="C503" t="s">
        <v>57</v>
      </c>
      <c r="D503" t="s">
        <v>163</v>
      </c>
      <c r="E503" t="s">
        <v>183</v>
      </c>
      <c r="G503" t="s">
        <v>741</v>
      </c>
      <c r="H503" t="s">
        <v>855</v>
      </c>
      <c r="I503" t="s">
        <v>1112</v>
      </c>
      <c r="J503" t="s">
        <v>1636</v>
      </c>
      <c r="K503" t="s">
        <v>1641</v>
      </c>
      <c r="L503">
        <v>10453</v>
      </c>
      <c r="M503" t="s">
        <v>1670</v>
      </c>
      <c r="P503" t="s">
        <v>1677</v>
      </c>
      <c r="Q503" t="s">
        <v>1939</v>
      </c>
      <c r="R503" t="s">
        <v>1960</v>
      </c>
      <c r="T503" t="s">
        <v>1670</v>
      </c>
      <c r="V503" t="s">
        <v>1972</v>
      </c>
      <c r="X503" t="s">
        <v>283</v>
      </c>
      <c r="Y503">
        <v>856.0599999999999</v>
      </c>
      <c r="Z503" t="s">
        <v>2006</v>
      </c>
      <c r="AA503" t="s">
        <v>2016</v>
      </c>
      <c r="AC503" t="s">
        <v>2438</v>
      </c>
      <c r="AD503" t="s">
        <v>2869</v>
      </c>
      <c r="AE503">
        <v>170</v>
      </c>
      <c r="AF503" t="s">
        <v>2902</v>
      </c>
      <c r="AG503" t="s">
        <v>1754</v>
      </c>
      <c r="AH503">
        <v>18</v>
      </c>
      <c r="AJ503">
        <v>2</v>
      </c>
      <c r="AK503">
        <v>2</v>
      </c>
      <c r="AL503">
        <v>33.55</v>
      </c>
      <c r="AO503" t="s">
        <v>2927</v>
      </c>
      <c r="AP503">
        <v>8640</v>
      </c>
      <c r="AV503">
        <v>0</v>
      </c>
      <c r="AX503" t="s">
        <v>3045</v>
      </c>
    </row>
    <row r="504" spans="1:50">
      <c r="A504" s="1">
        <f>HYPERLINK("https://lsnyc.legalserver.org/matter/dynamic-profile/view/1891269","19-1891269")</f>
        <v>0</v>
      </c>
      <c r="B504" t="s">
        <v>50</v>
      </c>
      <c r="C504" t="s">
        <v>111</v>
      </c>
      <c r="D504" t="s">
        <v>163</v>
      </c>
      <c r="E504" t="s">
        <v>263</v>
      </c>
      <c r="G504" t="s">
        <v>741</v>
      </c>
      <c r="H504" t="s">
        <v>855</v>
      </c>
      <c r="I504" t="s">
        <v>1112</v>
      </c>
      <c r="J504" t="s">
        <v>1636</v>
      </c>
      <c r="K504" t="s">
        <v>1641</v>
      </c>
      <c r="L504">
        <v>10453</v>
      </c>
      <c r="M504" t="s">
        <v>1670</v>
      </c>
      <c r="P504" t="s">
        <v>1917</v>
      </c>
      <c r="Q504" t="s">
        <v>1936</v>
      </c>
      <c r="R504" t="s">
        <v>1960</v>
      </c>
      <c r="T504" t="s">
        <v>1671</v>
      </c>
      <c r="V504" t="s">
        <v>1972</v>
      </c>
      <c r="W504" t="s">
        <v>1984</v>
      </c>
      <c r="X504" t="s">
        <v>392</v>
      </c>
      <c r="Y504">
        <v>856.46</v>
      </c>
      <c r="Z504" t="s">
        <v>2006</v>
      </c>
      <c r="AA504" t="s">
        <v>2020</v>
      </c>
      <c r="AC504" t="s">
        <v>2438</v>
      </c>
      <c r="AD504" t="s">
        <v>2869</v>
      </c>
      <c r="AE504">
        <v>167</v>
      </c>
      <c r="AF504" t="s">
        <v>2902</v>
      </c>
      <c r="AG504" t="s">
        <v>2917</v>
      </c>
      <c r="AH504">
        <v>18</v>
      </c>
      <c r="AJ504">
        <v>2</v>
      </c>
      <c r="AK504">
        <v>2</v>
      </c>
      <c r="AL504">
        <v>99.91</v>
      </c>
      <c r="AO504" t="s">
        <v>2927</v>
      </c>
      <c r="AP504">
        <v>25727</v>
      </c>
      <c r="AQ504" t="s">
        <v>2973</v>
      </c>
      <c r="AV504">
        <v>11.55</v>
      </c>
      <c r="AW504" t="s">
        <v>269</v>
      </c>
      <c r="AX504" t="s">
        <v>3046</v>
      </c>
    </row>
    <row r="505" spans="1:50">
      <c r="A505" s="1">
        <f>HYPERLINK("https://lsnyc.legalserver.org/matter/dynamic-profile/view/1871760","18-1871760")</f>
        <v>0</v>
      </c>
      <c r="B505" t="s">
        <v>50</v>
      </c>
      <c r="C505" t="s">
        <v>74</v>
      </c>
      <c r="D505" t="s">
        <v>164</v>
      </c>
      <c r="E505" t="s">
        <v>380</v>
      </c>
      <c r="F505" t="s">
        <v>335</v>
      </c>
      <c r="G505" t="s">
        <v>742</v>
      </c>
      <c r="H505" t="s">
        <v>918</v>
      </c>
      <c r="I505" t="s">
        <v>1447</v>
      </c>
      <c r="J505" t="s">
        <v>1538</v>
      </c>
      <c r="K505" t="s">
        <v>1641</v>
      </c>
      <c r="L505">
        <v>10452</v>
      </c>
      <c r="M505" t="s">
        <v>1670</v>
      </c>
      <c r="Q505" t="s">
        <v>1943</v>
      </c>
      <c r="R505" t="s">
        <v>1961</v>
      </c>
      <c r="S505" t="s">
        <v>1970</v>
      </c>
      <c r="T505" t="s">
        <v>1671</v>
      </c>
      <c r="V505" t="s">
        <v>1972</v>
      </c>
      <c r="X505" t="s">
        <v>238</v>
      </c>
      <c r="Y505">
        <v>1200</v>
      </c>
      <c r="Z505" t="s">
        <v>2006</v>
      </c>
      <c r="AA505" t="s">
        <v>2023</v>
      </c>
      <c r="AB505" t="s">
        <v>2034</v>
      </c>
      <c r="AC505" t="s">
        <v>2439</v>
      </c>
      <c r="AD505" t="s">
        <v>2870</v>
      </c>
      <c r="AE505">
        <v>74</v>
      </c>
      <c r="AF505" t="s">
        <v>2902</v>
      </c>
      <c r="AG505" t="s">
        <v>2915</v>
      </c>
      <c r="AH505">
        <v>21</v>
      </c>
      <c r="AJ505">
        <v>2</v>
      </c>
      <c r="AK505">
        <v>1</v>
      </c>
      <c r="AL505">
        <v>120.12</v>
      </c>
      <c r="AO505" t="s">
        <v>2936</v>
      </c>
      <c r="AP505">
        <v>24960</v>
      </c>
      <c r="AV505">
        <v>17.74</v>
      </c>
      <c r="AW505" t="s">
        <v>407</v>
      </c>
      <c r="AX505" t="s">
        <v>3067</v>
      </c>
    </row>
    <row r="506" spans="1:50">
      <c r="A506" s="1">
        <f>HYPERLINK("https://lsnyc.legalserver.org/matter/dynamic-profile/view/1886227","18-1886227")</f>
        <v>0</v>
      </c>
      <c r="B506" t="s">
        <v>50</v>
      </c>
      <c r="C506" t="s">
        <v>59</v>
      </c>
      <c r="D506" t="s">
        <v>163</v>
      </c>
      <c r="E506" t="s">
        <v>376</v>
      </c>
      <c r="G506" t="s">
        <v>743</v>
      </c>
      <c r="H506" t="s">
        <v>1087</v>
      </c>
      <c r="I506" t="s">
        <v>1448</v>
      </c>
      <c r="J506" t="s">
        <v>1525</v>
      </c>
      <c r="K506" t="s">
        <v>1641</v>
      </c>
      <c r="L506">
        <v>10452</v>
      </c>
      <c r="M506" t="s">
        <v>1670</v>
      </c>
      <c r="Q506" t="s">
        <v>1943</v>
      </c>
      <c r="R506" t="s">
        <v>1958</v>
      </c>
      <c r="T506" t="s">
        <v>1671</v>
      </c>
      <c r="V506" t="s">
        <v>1973</v>
      </c>
      <c r="W506" t="s">
        <v>1984</v>
      </c>
      <c r="X506" t="s">
        <v>376</v>
      </c>
      <c r="Y506">
        <v>462</v>
      </c>
      <c r="Z506" t="s">
        <v>2006</v>
      </c>
      <c r="AA506" t="s">
        <v>2015</v>
      </c>
      <c r="AC506" t="s">
        <v>2440</v>
      </c>
      <c r="AD506" t="s">
        <v>2871</v>
      </c>
      <c r="AE506">
        <v>40</v>
      </c>
      <c r="AF506" t="s">
        <v>2902</v>
      </c>
      <c r="AG506" t="s">
        <v>2915</v>
      </c>
      <c r="AH506">
        <v>6</v>
      </c>
      <c r="AJ506">
        <v>1</v>
      </c>
      <c r="AK506">
        <v>1</v>
      </c>
      <c r="AL506">
        <v>3.28</v>
      </c>
      <c r="AO506" t="s">
        <v>2927</v>
      </c>
      <c r="AP506">
        <v>540</v>
      </c>
      <c r="AV506">
        <v>2</v>
      </c>
      <c r="AW506" t="s">
        <v>267</v>
      </c>
      <c r="AX506" t="s">
        <v>52</v>
      </c>
    </row>
    <row r="507" spans="1:50">
      <c r="A507" s="1">
        <f>HYPERLINK("https://lsnyc.legalserver.org/matter/dynamic-profile/view/1893228","19-1893228")</f>
        <v>0</v>
      </c>
      <c r="B507" t="s">
        <v>50</v>
      </c>
      <c r="C507" t="s">
        <v>54</v>
      </c>
      <c r="D507" t="s">
        <v>164</v>
      </c>
      <c r="E507" t="s">
        <v>317</v>
      </c>
      <c r="F507" t="s">
        <v>392</v>
      </c>
      <c r="G507" t="s">
        <v>744</v>
      </c>
      <c r="H507" t="s">
        <v>1088</v>
      </c>
      <c r="I507" t="s">
        <v>1449</v>
      </c>
      <c r="J507" t="s">
        <v>1509</v>
      </c>
      <c r="K507" t="s">
        <v>1643</v>
      </c>
      <c r="L507">
        <v>10033</v>
      </c>
      <c r="M507" t="s">
        <v>1670</v>
      </c>
      <c r="Q507" t="s">
        <v>1941</v>
      </c>
      <c r="R507" t="s">
        <v>1959</v>
      </c>
      <c r="S507" t="s">
        <v>1968</v>
      </c>
      <c r="T507" t="s">
        <v>1671</v>
      </c>
      <c r="V507" t="s">
        <v>1972</v>
      </c>
      <c r="W507" t="s">
        <v>1984</v>
      </c>
      <c r="X507" t="s">
        <v>317</v>
      </c>
      <c r="Y507">
        <v>966.6900000000001</v>
      </c>
      <c r="Z507" t="s">
        <v>2008</v>
      </c>
      <c r="AA507" t="s">
        <v>2013</v>
      </c>
      <c r="AB507" t="s">
        <v>2032</v>
      </c>
      <c r="AC507" t="s">
        <v>2441</v>
      </c>
      <c r="AD507" t="s">
        <v>2872</v>
      </c>
      <c r="AE507">
        <v>10</v>
      </c>
      <c r="AF507" t="s">
        <v>2902</v>
      </c>
      <c r="AG507" t="s">
        <v>1754</v>
      </c>
      <c r="AH507">
        <v>20</v>
      </c>
      <c r="AJ507">
        <v>3</v>
      </c>
      <c r="AK507">
        <v>2</v>
      </c>
      <c r="AL507">
        <v>178.99</v>
      </c>
      <c r="AO507" t="s">
        <v>2926</v>
      </c>
      <c r="AP507">
        <v>54000</v>
      </c>
      <c r="AV507">
        <v>2.8</v>
      </c>
      <c r="AW507" t="s">
        <v>303</v>
      </c>
      <c r="AX507" t="s">
        <v>3042</v>
      </c>
    </row>
    <row r="508" spans="1:50">
      <c r="A508" s="1">
        <f>HYPERLINK("https://lsnyc.legalserver.org/matter/dynamic-profile/view/1871456","18-1871456")</f>
        <v>0</v>
      </c>
      <c r="B508" t="s">
        <v>50</v>
      </c>
      <c r="C508" t="s">
        <v>115</v>
      </c>
      <c r="D508" t="s">
        <v>164</v>
      </c>
      <c r="E508" t="s">
        <v>363</v>
      </c>
      <c r="F508" t="s">
        <v>359</v>
      </c>
      <c r="G508" t="s">
        <v>739</v>
      </c>
      <c r="H508" t="s">
        <v>1089</v>
      </c>
      <c r="I508" t="s">
        <v>1379</v>
      </c>
      <c r="J508" t="s">
        <v>1637</v>
      </c>
      <c r="K508" t="s">
        <v>1641</v>
      </c>
      <c r="L508">
        <v>10468</v>
      </c>
      <c r="M508" t="s">
        <v>1670</v>
      </c>
      <c r="Q508" t="s">
        <v>1939</v>
      </c>
      <c r="R508" t="s">
        <v>1958</v>
      </c>
      <c r="S508" t="s">
        <v>1965</v>
      </c>
      <c r="T508" t="s">
        <v>1670</v>
      </c>
      <c r="V508" t="s">
        <v>1972</v>
      </c>
      <c r="X508" t="s">
        <v>363</v>
      </c>
      <c r="Y508">
        <v>1286.46</v>
      </c>
      <c r="Z508" t="s">
        <v>2006</v>
      </c>
      <c r="AA508" t="s">
        <v>2015</v>
      </c>
      <c r="AB508" t="s">
        <v>2029</v>
      </c>
      <c r="AC508" t="s">
        <v>2442</v>
      </c>
      <c r="AD508" t="s">
        <v>2873</v>
      </c>
      <c r="AE508">
        <v>58</v>
      </c>
      <c r="AF508" t="s">
        <v>2902</v>
      </c>
      <c r="AG508" t="s">
        <v>1754</v>
      </c>
      <c r="AH508">
        <v>19</v>
      </c>
      <c r="AJ508">
        <v>3</v>
      </c>
      <c r="AK508">
        <v>1</v>
      </c>
      <c r="AL508">
        <v>123.51</v>
      </c>
      <c r="AO508" t="s">
        <v>2927</v>
      </c>
      <c r="AP508">
        <v>31000</v>
      </c>
      <c r="AV508">
        <v>0.7</v>
      </c>
      <c r="AW508" t="s">
        <v>395</v>
      </c>
      <c r="AX508" t="s">
        <v>3046</v>
      </c>
    </row>
    <row r="509" spans="1:50">
      <c r="A509" s="1">
        <f>HYPERLINK("https://lsnyc.legalserver.org/matter/dynamic-profile/view/1871457","18-1871457")</f>
        <v>0</v>
      </c>
      <c r="B509" t="s">
        <v>50</v>
      </c>
      <c r="C509" t="s">
        <v>57</v>
      </c>
      <c r="D509" t="s">
        <v>164</v>
      </c>
      <c r="E509" t="s">
        <v>363</v>
      </c>
      <c r="F509" t="s">
        <v>376</v>
      </c>
      <c r="G509" t="s">
        <v>739</v>
      </c>
      <c r="H509" t="s">
        <v>1089</v>
      </c>
      <c r="I509" t="s">
        <v>1379</v>
      </c>
      <c r="J509" t="s">
        <v>1637</v>
      </c>
      <c r="K509" t="s">
        <v>1641</v>
      </c>
      <c r="L509">
        <v>10468</v>
      </c>
      <c r="M509" t="s">
        <v>1670</v>
      </c>
      <c r="Q509" t="s">
        <v>1949</v>
      </c>
      <c r="R509" t="s">
        <v>1959</v>
      </c>
      <c r="S509" t="s">
        <v>1965</v>
      </c>
      <c r="T509" t="s">
        <v>1670</v>
      </c>
      <c r="V509" t="s">
        <v>1972</v>
      </c>
      <c r="X509" t="s">
        <v>363</v>
      </c>
      <c r="Y509">
        <v>1286.46</v>
      </c>
      <c r="Z509" t="s">
        <v>2006</v>
      </c>
      <c r="AA509" t="s">
        <v>2015</v>
      </c>
      <c r="AB509" t="s">
        <v>2029</v>
      </c>
      <c r="AC509" t="s">
        <v>2442</v>
      </c>
      <c r="AD509" t="s">
        <v>2873</v>
      </c>
      <c r="AE509">
        <v>58</v>
      </c>
      <c r="AF509" t="s">
        <v>2902</v>
      </c>
      <c r="AG509" t="s">
        <v>1754</v>
      </c>
      <c r="AH509">
        <v>19</v>
      </c>
      <c r="AJ509">
        <v>3</v>
      </c>
      <c r="AK509">
        <v>1</v>
      </c>
      <c r="AL509">
        <v>123.51</v>
      </c>
      <c r="AO509" t="s">
        <v>2927</v>
      </c>
      <c r="AP509">
        <v>31000</v>
      </c>
      <c r="AV509">
        <v>0.5</v>
      </c>
      <c r="AW509" t="s">
        <v>363</v>
      </c>
      <c r="AX509" t="s">
        <v>3046</v>
      </c>
    </row>
    <row r="510" spans="1:50">
      <c r="A510" s="1">
        <f>HYPERLINK("https://lsnyc.legalserver.org/matter/dynamic-profile/view/1874934","18-1874934")</f>
        <v>0</v>
      </c>
      <c r="B510" t="s">
        <v>50</v>
      </c>
      <c r="C510" t="s">
        <v>160</v>
      </c>
      <c r="D510" t="s">
        <v>164</v>
      </c>
      <c r="E510" t="s">
        <v>207</v>
      </c>
      <c r="F510" t="s">
        <v>371</v>
      </c>
      <c r="G510" t="s">
        <v>745</v>
      </c>
      <c r="H510" t="s">
        <v>1090</v>
      </c>
      <c r="I510" t="s">
        <v>1450</v>
      </c>
      <c r="J510" t="s">
        <v>1590</v>
      </c>
      <c r="K510" t="s">
        <v>1643</v>
      </c>
      <c r="L510">
        <v>10002</v>
      </c>
      <c r="M510" t="s">
        <v>1670</v>
      </c>
      <c r="Q510" t="s">
        <v>1675</v>
      </c>
      <c r="R510" t="s">
        <v>1962</v>
      </c>
      <c r="S510" t="s">
        <v>1965</v>
      </c>
      <c r="T510" t="s">
        <v>1671</v>
      </c>
      <c r="V510" t="s">
        <v>1972</v>
      </c>
      <c r="X510" t="s">
        <v>250</v>
      </c>
      <c r="Y510">
        <v>900</v>
      </c>
      <c r="Z510" t="s">
        <v>2008</v>
      </c>
      <c r="AA510" t="s">
        <v>2016</v>
      </c>
      <c r="AB510" t="s">
        <v>2029</v>
      </c>
      <c r="AC510" t="s">
        <v>2443</v>
      </c>
      <c r="AD510" t="s">
        <v>2874</v>
      </c>
      <c r="AE510">
        <v>44</v>
      </c>
      <c r="AF510" t="s">
        <v>2902</v>
      </c>
      <c r="AG510" t="s">
        <v>1754</v>
      </c>
      <c r="AH510">
        <v>3</v>
      </c>
      <c r="AJ510">
        <v>2</v>
      </c>
      <c r="AK510">
        <v>1</v>
      </c>
      <c r="AL510">
        <v>67.37</v>
      </c>
      <c r="AO510" t="s">
        <v>2937</v>
      </c>
      <c r="AP510">
        <v>14000</v>
      </c>
      <c r="AV510">
        <v>0.8</v>
      </c>
      <c r="AW510" t="s">
        <v>207</v>
      </c>
      <c r="AX510" t="s">
        <v>3048</v>
      </c>
    </row>
    <row r="511" spans="1:50">
      <c r="A511" s="1">
        <f>HYPERLINK("https://lsnyc.legalserver.org/matter/dynamic-profile/view/1889638","19-1889638")</f>
        <v>0</v>
      </c>
      <c r="B511" t="s">
        <v>50</v>
      </c>
      <c r="C511" t="s">
        <v>100</v>
      </c>
      <c r="D511" t="s">
        <v>163</v>
      </c>
      <c r="E511" t="s">
        <v>320</v>
      </c>
      <c r="G511" t="s">
        <v>746</v>
      </c>
      <c r="H511" t="s">
        <v>953</v>
      </c>
      <c r="I511" t="s">
        <v>1451</v>
      </c>
      <c r="J511">
        <v>65</v>
      </c>
      <c r="K511" t="s">
        <v>1643</v>
      </c>
      <c r="L511">
        <v>10034</v>
      </c>
      <c r="M511" t="s">
        <v>1670</v>
      </c>
      <c r="P511" t="s">
        <v>1918</v>
      </c>
      <c r="Q511" t="s">
        <v>1940</v>
      </c>
      <c r="R511" t="s">
        <v>1960</v>
      </c>
      <c r="T511" t="s">
        <v>1671</v>
      </c>
      <c r="V511" t="s">
        <v>1972</v>
      </c>
      <c r="X511" t="s">
        <v>320</v>
      </c>
      <c r="Y511">
        <v>1313</v>
      </c>
      <c r="Z511" t="s">
        <v>2008</v>
      </c>
      <c r="AA511" t="s">
        <v>2013</v>
      </c>
      <c r="AC511" t="s">
        <v>2444</v>
      </c>
      <c r="AD511" t="s">
        <v>2875</v>
      </c>
      <c r="AE511">
        <v>100</v>
      </c>
      <c r="AF511" t="s">
        <v>2902</v>
      </c>
      <c r="AG511" t="s">
        <v>1754</v>
      </c>
      <c r="AH511">
        <v>5</v>
      </c>
      <c r="AJ511">
        <v>2</v>
      </c>
      <c r="AK511">
        <v>1</v>
      </c>
      <c r="AL511">
        <v>112.52</v>
      </c>
      <c r="AO511" t="s">
        <v>2927</v>
      </c>
      <c r="AP511">
        <v>24000</v>
      </c>
      <c r="AV511">
        <v>27</v>
      </c>
      <c r="AW511" t="s">
        <v>396</v>
      </c>
      <c r="AX511" t="s">
        <v>3042</v>
      </c>
    </row>
    <row r="512" spans="1:50">
      <c r="A512" s="1">
        <f>HYPERLINK("https://lsnyc.legalserver.org/matter/dynamic-profile/view/1890300","19-1890300")</f>
        <v>0</v>
      </c>
      <c r="B512" t="s">
        <v>50</v>
      </c>
      <c r="C512" t="s">
        <v>111</v>
      </c>
      <c r="D512" t="s">
        <v>164</v>
      </c>
      <c r="E512" t="s">
        <v>381</v>
      </c>
      <c r="F512" t="s">
        <v>208</v>
      </c>
      <c r="G512" t="s">
        <v>747</v>
      </c>
      <c r="H512" t="s">
        <v>545</v>
      </c>
      <c r="I512" t="s">
        <v>1452</v>
      </c>
      <c r="J512">
        <v>217</v>
      </c>
      <c r="K512" t="s">
        <v>1641</v>
      </c>
      <c r="L512">
        <v>10472</v>
      </c>
      <c r="M512" t="s">
        <v>1670</v>
      </c>
      <c r="P512" t="s">
        <v>1919</v>
      </c>
      <c r="Q512" t="s">
        <v>1936</v>
      </c>
      <c r="R512" t="s">
        <v>1958</v>
      </c>
      <c r="S512" t="s">
        <v>1965</v>
      </c>
      <c r="V512" t="s">
        <v>1972</v>
      </c>
      <c r="X512" t="s">
        <v>381</v>
      </c>
      <c r="Y512">
        <v>1100</v>
      </c>
      <c r="Z512" t="s">
        <v>2006</v>
      </c>
      <c r="AB512" t="s">
        <v>2029</v>
      </c>
      <c r="AC512" t="s">
        <v>2445</v>
      </c>
      <c r="AD512" t="s">
        <v>2876</v>
      </c>
      <c r="AE512">
        <v>0</v>
      </c>
      <c r="AH512">
        <v>1</v>
      </c>
      <c r="AJ512">
        <v>2</v>
      </c>
      <c r="AK512">
        <v>3</v>
      </c>
      <c r="AL512">
        <v>68.94</v>
      </c>
      <c r="AO512" t="s">
        <v>2931</v>
      </c>
      <c r="AP512">
        <v>20800</v>
      </c>
      <c r="AV512">
        <v>6.5</v>
      </c>
      <c r="AW512" t="s">
        <v>210</v>
      </c>
      <c r="AX512" t="s">
        <v>3053</v>
      </c>
    </row>
    <row r="513" spans="1:50">
      <c r="A513" s="1">
        <f>HYPERLINK("https://lsnyc.legalserver.org/matter/dynamic-profile/view/1891553","19-1891553")</f>
        <v>0</v>
      </c>
      <c r="B513" t="s">
        <v>50</v>
      </c>
      <c r="C513" t="s">
        <v>58</v>
      </c>
      <c r="D513" t="s">
        <v>164</v>
      </c>
      <c r="E513" t="s">
        <v>294</v>
      </c>
      <c r="F513" t="s">
        <v>195</v>
      </c>
      <c r="G513" t="s">
        <v>748</v>
      </c>
      <c r="H513" t="s">
        <v>1091</v>
      </c>
      <c r="I513" t="s">
        <v>1442</v>
      </c>
      <c r="J513">
        <v>50</v>
      </c>
      <c r="K513" t="s">
        <v>1641</v>
      </c>
      <c r="L513">
        <v>10451</v>
      </c>
      <c r="M513" t="s">
        <v>1670</v>
      </c>
      <c r="Q513" t="s">
        <v>1941</v>
      </c>
      <c r="R513" t="s">
        <v>1958</v>
      </c>
      <c r="S513" t="s">
        <v>1965</v>
      </c>
      <c r="T513" t="s">
        <v>1671</v>
      </c>
      <c r="V513" t="s">
        <v>1972</v>
      </c>
      <c r="X513" t="s">
        <v>294</v>
      </c>
      <c r="Y513">
        <v>1712.38</v>
      </c>
      <c r="Z513" t="s">
        <v>2006</v>
      </c>
      <c r="AA513" t="s">
        <v>2015</v>
      </c>
      <c r="AB513" t="s">
        <v>2029</v>
      </c>
      <c r="AC513" t="s">
        <v>2446</v>
      </c>
      <c r="AD513" t="s">
        <v>2877</v>
      </c>
      <c r="AE513">
        <v>81</v>
      </c>
      <c r="AF513" t="s">
        <v>2902</v>
      </c>
      <c r="AG513" t="s">
        <v>1754</v>
      </c>
      <c r="AH513">
        <v>8</v>
      </c>
      <c r="AJ513">
        <v>5</v>
      </c>
      <c r="AK513">
        <v>1</v>
      </c>
      <c r="AL513">
        <v>115.64</v>
      </c>
      <c r="AO513" t="s">
        <v>2926</v>
      </c>
      <c r="AP513">
        <v>40000</v>
      </c>
      <c r="AV513">
        <v>1</v>
      </c>
      <c r="AW513" t="s">
        <v>181</v>
      </c>
      <c r="AX513" t="s">
        <v>3046</v>
      </c>
    </row>
    <row r="514" spans="1:50">
      <c r="A514" s="1">
        <f>HYPERLINK("https://lsnyc.legalserver.org/matter/dynamic-profile/view/1892616","19-1892616")</f>
        <v>0</v>
      </c>
      <c r="B514" t="s">
        <v>50</v>
      </c>
      <c r="C514" t="s">
        <v>82</v>
      </c>
      <c r="D514" t="s">
        <v>164</v>
      </c>
      <c r="E514" t="s">
        <v>253</v>
      </c>
      <c r="F514" t="s">
        <v>268</v>
      </c>
      <c r="G514" t="s">
        <v>749</v>
      </c>
      <c r="H514" t="s">
        <v>1092</v>
      </c>
      <c r="I514" t="s">
        <v>1453</v>
      </c>
      <c r="J514" t="s">
        <v>1475</v>
      </c>
      <c r="K514" t="s">
        <v>1644</v>
      </c>
      <c r="L514">
        <v>11212</v>
      </c>
      <c r="M514" t="s">
        <v>1670</v>
      </c>
      <c r="P514" t="s">
        <v>1920</v>
      </c>
      <c r="Q514" t="s">
        <v>1936</v>
      </c>
      <c r="R514" t="s">
        <v>1962</v>
      </c>
      <c r="S514" t="s">
        <v>1968</v>
      </c>
      <c r="T514" t="s">
        <v>1671</v>
      </c>
      <c r="V514" t="s">
        <v>1972</v>
      </c>
      <c r="W514" t="s">
        <v>1984</v>
      </c>
      <c r="X514" t="s">
        <v>266</v>
      </c>
      <c r="Y514">
        <v>1350</v>
      </c>
      <c r="Z514" t="s">
        <v>2009</v>
      </c>
      <c r="AA514" t="s">
        <v>2020</v>
      </c>
      <c r="AB514" t="s">
        <v>2032</v>
      </c>
      <c r="AC514" t="s">
        <v>2447</v>
      </c>
      <c r="AD514" t="s">
        <v>2878</v>
      </c>
      <c r="AE514">
        <v>78</v>
      </c>
      <c r="AF514" t="s">
        <v>2902</v>
      </c>
      <c r="AH514">
        <v>7</v>
      </c>
      <c r="AJ514">
        <v>2</v>
      </c>
      <c r="AK514">
        <v>4</v>
      </c>
      <c r="AL514">
        <v>117.95</v>
      </c>
      <c r="AO514" t="s">
        <v>2926</v>
      </c>
      <c r="AP514">
        <v>40800</v>
      </c>
      <c r="AV514">
        <v>0.1</v>
      </c>
      <c r="AW514" t="s">
        <v>268</v>
      </c>
      <c r="AX514" t="s">
        <v>3060</v>
      </c>
    </row>
    <row r="515" spans="1:50">
      <c r="A515" s="1">
        <f>HYPERLINK("https://lsnyc.legalserver.org/matter/dynamic-profile/view/1881835","18-1881835")</f>
        <v>0</v>
      </c>
      <c r="B515" t="s">
        <v>50</v>
      </c>
      <c r="C515" t="s">
        <v>95</v>
      </c>
      <c r="D515" t="s">
        <v>164</v>
      </c>
      <c r="E515" t="s">
        <v>382</v>
      </c>
      <c r="F515" t="s">
        <v>376</v>
      </c>
      <c r="G515" t="s">
        <v>420</v>
      </c>
      <c r="H515" t="s">
        <v>835</v>
      </c>
      <c r="I515" t="s">
        <v>1454</v>
      </c>
      <c r="J515" t="s">
        <v>1487</v>
      </c>
      <c r="K515" t="s">
        <v>1641</v>
      </c>
      <c r="L515">
        <v>10452</v>
      </c>
      <c r="M515" t="s">
        <v>1670</v>
      </c>
      <c r="Q515" t="s">
        <v>1675</v>
      </c>
      <c r="R515" t="s">
        <v>1958</v>
      </c>
      <c r="S515" t="s">
        <v>1965</v>
      </c>
      <c r="T515" t="s">
        <v>1671</v>
      </c>
      <c r="V515" t="s">
        <v>1972</v>
      </c>
      <c r="X515" t="s">
        <v>329</v>
      </c>
      <c r="Y515">
        <v>1112.79</v>
      </c>
      <c r="Z515" t="s">
        <v>2006</v>
      </c>
      <c r="AA515" t="s">
        <v>2020</v>
      </c>
      <c r="AB515" t="s">
        <v>2029</v>
      </c>
      <c r="AC515" t="s">
        <v>2448</v>
      </c>
      <c r="AD515" t="s">
        <v>2879</v>
      </c>
      <c r="AE515">
        <v>43</v>
      </c>
      <c r="AF515" t="s">
        <v>2904</v>
      </c>
      <c r="AH515">
        <v>7</v>
      </c>
      <c r="AJ515">
        <v>2</v>
      </c>
      <c r="AK515">
        <v>2</v>
      </c>
      <c r="AL515">
        <v>41.43</v>
      </c>
      <c r="AO515" t="s">
        <v>2927</v>
      </c>
      <c r="AP515">
        <v>10400</v>
      </c>
      <c r="AV515">
        <v>1</v>
      </c>
      <c r="AW515" t="s">
        <v>376</v>
      </c>
      <c r="AX515" t="s">
        <v>95</v>
      </c>
    </row>
    <row r="516" spans="1:50">
      <c r="A516" s="1">
        <f>HYPERLINK("https://lsnyc.legalserver.org/matter/dynamic-profile/view/1876839","18-1876839")</f>
        <v>0</v>
      </c>
      <c r="B516" t="s">
        <v>50</v>
      </c>
      <c r="C516" t="s">
        <v>59</v>
      </c>
      <c r="D516" t="s">
        <v>163</v>
      </c>
      <c r="E516" t="s">
        <v>184</v>
      </c>
      <c r="G516" t="s">
        <v>645</v>
      </c>
      <c r="H516" t="s">
        <v>1006</v>
      </c>
      <c r="I516" t="s">
        <v>1114</v>
      </c>
      <c r="J516" t="s">
        <v>1633</v>
      </c>
      <c r="K516" t="s">
        <v>1641</v>
      </c>
      <c r="L516">
        <v>10456</v>
      </c>
      <c r="M516" t="s">
        <v>1670</v>
      </c>
      <c r="P516" t="s">
        <v>1679</v>
      </c>
      <c r="Q516" t="s">
        <v>1938</v>
      </c>
      <c r="R516" t="s">
        <v>1961</v>
      </c>
      <c r="T516" t="s">
        <v>1670</v>
      </c>
      <c r="V516" t="s">
        <v>1972</v>
      </c>
      <c r="X516" t="s">
        <v>1992</v>
      </c>
      <c r="Y516">
        <v>1330.07</v>
      </c>
      <c r="Z516" t="s">
        <v>2006</v>
      </c>
      <c r="AA516" t="s">
        <v>2015</v>
      </c>
      <c r="AC516" t="s">
        <v>2449</v>
      </c>
      <c r="AD516" t="s">
        <v>2880</v>
      </c>
      <c r="AE516">
        <v>131</v>
      </c>
      <c r="AF516" t="s">
        <v>2902</v>
      </c>
      <c r="AG516" t="s">
        <v>1754</v>
      </c>
      <c r="AH516">
        <v>3</v>
      </c>
      <c r="AJ516">
        <v>1</v>
      </c>
      <c r="AK516">
        <v>2</v>
      </c>
      <c r="AL516">
        <v>125.12</v>
      </c>
      <c r="AO516" t="s">
        <v>2927</v>
      </c>
      <c r="AP516">
        <v>26000</v>
      </c>
      <c r="AV516">
        <v>0</v>
      </c>
      <c r="AX516" t="s">
        <v>3047</v>
      </c>
    </row>
    <row r="517" spans="1:50">
      <c r="A517" s="1">
        <f>HYPERLINK("https://lsnyc.legalserver.org/matter/dynamic-profile/view/1886865","19-1886865")</f>
        <v>0</v>
      </c>
      <c r="B517" t="s">
        <v>50</v>
      </c>
      <c r="C517" t="s">
        <v>59</v>
      </c>
      <c r="D517" t="s">
        <v>163</v>
      </c>
      <c r="E517" t="s">
        <v>214</v>
      </c>
      <c r="G517" t="s">
        <v>645</v>
      </c>
      <c r="H517" t="s">
        <v>1006</v>
      </c>
      <c r="I517" t="s">
        <v>1114</v>
      </c>
      <c r="J517" t="s">
        <v>1633</v>
      </c>
      <c r="K517" t="s">
        <v>1641</v>
      </c>
      <c r="L517">
        <v>10456</v>
      </c>
      <c r="M517" t="s">
        <v>1670</v>
      </c>
      <c r="P517" t="s">
        <v>1680</v>
      </c>
      <c r="Q517" t="s">
        <v>1938</v>
      </c>
      <c r="R517" t="s">
        <v>1961</v>
      </c>
      <c r="T517" t="s">
        <v>1670</v>
      </c>
      <c r="V517" t="s">
        <v>1972</v>
      </c>
      <c r="X517" t="s">
        <v>283</v>
      </c>
      <c r="Y517">
        <v>1330.07</v>
      </c>
      <c r="Z517" t="s">
        <v>2006</v>
      </c>
      <c r="AA517" t="s">
        <v>2015</v>
      </c>
      <c r="AC517" t="s">
        <v>2449</v>
      </c>
      <c r="AD517" t="s">
        <v>2880</v>
      </c>
      <c r="AE517">
        <v>131</v>
      </c>
      <c r="AF517" t="s">
        <v>2902</v>
      </c>
      <c r="AG517" t="s">
        <v>1754</v>
      </c>
      <c r="AH517">
        <v>3</v>
      </c>
      <c r="AJ517">
        <v>1</v>
      </c>
      <c r="AK517">
        <v>2</v>
      </c>
      <c r="AL517">
        <v>125.12</v>
      </c>
      <c r="AO517" t="s">
        <v>2927</v>
      </c>
      <c r="AP517">
        <v>26000</v>
      </c>
      <c r="AV517">
        <v>0</v>
      </c>
      <c r="AX517" t="s">
        <v>3047</v>
      </c>
    </row>
    <row r="518" spans="1:50">
      <c r="A518" s="1">
        <f>HYPERLINK("https://lsnyc.legalserver.org/matter/dynamic-profile/view/1876836","18-1876836")</f>
        <v>0</v>
      </c>
      <c r="B518" t="s">
        <v>50</v>
      </c>
      <c r="C518" t="s">
        <v>59</v>
      </c>
      <c r="D518" t="s">
        <v>163</v>
      </c>
      <c r="E518" t="s">
        <v>284</v>
      </c>
      <c r="G518" t="s">
        <v>645</v>
      </c>
      <c r="H518" t="s">
        <v>1006</v>
      </c>
      <c r="I518" t="s">
        <v>1114</v>
      </c>
      <c r="J518" t="s">
        <v>1633</v>
      </c>
      <c r="K518" t="s">
        <v>1641</v>
      </c>
      <c r="L518">
        <v>10456</v>
      </c>
      <c r="M518" t="s">
        <v>1670</v>
      </c>
      <c r="P518" t="s">
        <v>1921</v>
      </c>
      <c r="Q518" t="s">
        <v>1939</v>
      </c>
      <c r="R518" t="s">
        <v>1960</v>
      </c>
      <c r="T518" t="s">
        <v>1670</v>
      </c>
      <c r="V518" t="s">
        <v>1972</v>
      </c>
      <c r="X518" t="s">
        <v>284</v>
      </c>
      <c r="Y518">
        <v>1330.07</v>
      </c>
      <c r="Z518" t="s">
        <v>2006</v>
      </c>
      <c r="AA518" t="s">
        <v>2015</v>
      </c>
      <c r="AC518" t="s">
        <v>2449</v>
      </c>
      <c r="AD518" t="s">
        <v>2880</v>
      </c>
      <c r="AE518">
        <v>131</v>
      </c>
      <c r="AF518" t="s">
        <v>2902</v>
      </c>
      <c r="AG518" t="s">
        <v>1754</v>
      </c>
      <c r="AH518">
        <v>3</v>
      </c>
      <c r="AJ518">
        <v>1</v>
      </c>
      <c r="AK518">
        <v>2</v>
      </c>
      <c r="AL518">
        <v>125.12</v>
      </c>
      <c r="AO518" t="s">
        <v>2927</v>
      </c>
      <c r="AP518">
        <v>26000</v>
      </c>
      <c r="AV518">
        <v>0</v>
      </c>
      <c r="AX518" t="s">
        <v>3047</v>
      </c>
    </row>
    <row r="519" spans="1:50">
      <c r="A519" s="1">
        <f>HYPERLINK("https://lsnyc.legalserver.org/matter/dynamic-profile/view/1899718","19-1899718")</f>
        <v>0</v>
      </c>
      <c r="B519" t="s">
        <v>50</v>
      </c>
      <c r="C519" t="s">
        <v>59</v>
      </c>
      <c r="D519" t="s">
        <v>163</v>
      </c>
      <c r="E519" t="s">
        <v>198</v>
      </c>
      <c r="G519" t="s">
        <v>750</v>
      </c>
      <c r="H519" t="s">
        <v>1093</v>
      </c>
      <c r="I519" t="s">
        <v>1455</v>
      </c>
      <c r="J519" t="s">
        <v>1575</v>
      </c>
      <c r="K519" t="s">
        <v>1641</v>
      </c>
      <c r="L519">
        <v>10456</v>
      </c>
      <c r="M519" t="s">
        <v>1670</v>
      </c>
      <c r="Q519" t="s">
        <v>1675</v>
      </c>
      <c r="R519" t="s">
        <v>1958</v>
      </c>
      <c r="T519" t="s">
        <v>1671</v>
      </c>
      <c r="V519" t="s">
        <v>1972</v>
      </c>
      <c r="X519" t="s">
        <v>400</v>
      </c>
      <c r="Y519">
        <v>1511.88</v>
      </c>
      <c r="Z519" t="s">
        <v>2006</v>
      </c>
      <c r="AA519" t="s">
        <v>2015</v>
      </c>
      <c r="AC519" t="s">
        <v>2450</v>
      </c>
      <c r="AD519" t="s">
        <v>2881</v>
      </c>
      <c r="AE519">
        <v>30</v>
      </c>
      <c r="AF519" t="s">
        <v>2902</v>
      </c>
      <c r="AG519" t="s">
        <v>1754</v>
      </c>
      <c r="AH519">
        <v>0</v>
      </c>
      <c r="AJ519">
        <v>1</v>
      </c>
      <c r="AK519">
        <v>1</v>
      </c>
      <c r="AL519">
        <v>113.59</v>
      </c>
      <c r="AO519" t="s">
        <v>2926</v>
      </c>
      <c r="AP519">
        <v>19208.28</v>
      </c>
      <c r="AV519">
        <v>0.5</v>
      </c>
      <c r="AW519" t="s">
        <v>400</v>
      </c>
      <c r="AX519" t="s">
        <v>3047</v>
      </c>
    </row>
    <row r="520" spans="1:50">
      <c r="A520" s="1">
        <f>HYPERLINK("https://lsnyc.legalserver.org/matter/dynamic-profile/view/1881840","18-1881840")</f>
        <v>0</v>
      </c>
      <c r="B520" t="s">
        <v>50</v>
      </c>
      <c r="C520" t="s">
        <v>57</v>
      </c>
      <c r="D520" t="s">
        <v>164</v>
      </c>
      <c r="E520" t="s">
        <v>329</v>
      </c>
      <c r="F520" t="s">
        <v>384</v>
      </c>
      <c r="G520" t="s">
        <v>747</v>
      </c>
      <c r="H520" t="s">
        <v>1094</v>
      </c>
      <c r="I520" t="s">
        <v>1456</v>
      </c>
      <c r="J520" t="s">
        <v>1538</v>
      </c>
      <c r="K520" t="s">
        <v>1641</v>
      </c>
      <c r="L520">
        <v>10456</v>
      </c>
      <c r="M520" t="s">
        <v>1670</v>
      </c>
      <c r="Q520" t="s">
        <v>1938</v>
      </c>
      <c r="R520" t="s">
        <v>1958</v>
      </c>
      <c r="S520" t="s">
        <v>1965</v>
      </c>
      <c r="T520" t="s">
        <v>1671</v>
      </c>
      <c r="V520" t="s">
        <v>1972</v>
      </c>
      <c r="X520" t="s">
        <v>316</v>
      </c>
      <c r="Y520">
        <v>1400</v>
      </c>
      <c r="Z520" t="s">
        <v>2006</v>
      </c>
      <c r="AA520" t="s">
        <v>2015</v>
      </c>
      <c r="AB520" t="s">
        <v>2029</v>
      </c>
      <c r="AC520" t="s">
        <v>2451</v>
      </c>
      <c r="AD520" t="s">
        <v>2882</v>
      </c>
      <c r="AE520">
        <v>49</v>
      </c>
      <c r="AF520" t="s">
        <v>2902</v>
      </c>
      <c r="AH520">
        <v>4</v>
      </c>
      <c r="AJ520">
        <v>2</v>
      </c>
      <c r="AK520">
        <v>2</v>
      </c>
      <c r="AL520">
        <v>82.87</v>
      </c>
      <c r="AO520" t="s">
        <v>2931</v>
      </c>
      <c r="AP520">
        <v>20800</v>
      </c>
      <c r="AV520">
        <v>0.8</v>
      </c>
      <c r="AW520" t="s">
        <v>384</v>
      </c>
      <c r="AX520" t="s">
        <v>128</v>
      </c>
    </row>
    <row r="521" spans="1:50">
      <c r="A521" s="1">
        <f>HYPERLINK("https://lsnyc.legalserver.org/matter/dynamic-profile/view/1893586","19-1893586")</f>
        <v>0</v>
      </c>
      <c r="B521" t="s">
        <v>50</v>
      </c>
      <c r="C521" t="s">
        <v>109</v>
      </c>
      <c r="D521" t="s">
        <v>164</v>
      </c>
      <c r="E521" t="s">
        <v>195</v>
      </c>
      <c r="F521" t="s">
        <v>409</v>
      </c>
      <c r="G521" t="s">
        <v>751</v>
      </c>
      <c r="H521" t="s">
        <v>427</v>
      </c>
      <c r="I521" t="s">
        <v>1457</v>
      </c>
      <c r="K521" t="s">
        <v>1646</v>
      </c>
      <c r="L521">
        <v>10312</v>
      </c>
      <c r="M521" t="s">
        <v>1670</v>
      </c>
      <c r="P521" t="s">
        <v>1922</v>
      </c>
      <c r="Q521" t="s">
        <v>1936</v>
      </c>
      <c r="R521" t="s">
        <v>1960</v>
      </c>
      <c r="S521" t="s">
        <v>1969</v>
      </c>
      <c r="T521" t="s">
        <v>1671</v>
      </c>
      <c r="V521" t="s">
        <v>1972</v>
      </c>
      <c r="W521" t="s">
        <v>1984</v>
      </c>
      <c r="X521" t="s">
        <v>195</v>
      </c>
      <c r="Y521">
        <v>2200</v>
      </c>
      <c r="Z521" t="s">
        <v>2010</v>
      </c>
      <c r="AB521" t="s">
        <v>2032</v>
      </c>
      <c r="AC521" t="s">
        <v>2452</v>
      </c>
      <c r="AD521" t="s">
        <v>2883</v>
      </c>
      <c r="AE521">
        <v>1</v>
      </c>
      <c r="AF521" t="s">
        <v>2903</v>
      </c>
      <c r="AG521" t="s">
        <v>1754</v>
      </c>
      <c r="AH521">
        <v>2</v>
      </c>
      <c r="AJ521">
        <v>3</v>
      </c>
      <c r="AK521">
        <v>2</v>
      </c>
      <c r="AL521">
        <v>131.64</v>
      </c>
      <c r="AO521" t="s">
        <v>2930</v>
      </c>
      <c r="AP521">
        <v>39716</v>
      </c>
      <c r="AS521" t="s">
        <v>2982</v>
      </c>
      <c r="AT521" t="s">
        <v>2992</v>
      </c>
      <c r="AU521" t="s">
        <v>3027</v>
      </c>
      <c r="AV521">
        <v>4.9</v>
      </c>
      <c r="AW521" t="s">
        <v>186</v>
      </c>
      <c r="AX521" t="s">
        <v>3056</v>
      </c>
    </row>
    <row r="522" spans="1:50">
      <c r="A522" s="1">
        <f>HYPERLINK("https://lsnyc.legalserver.org/matter/dynamic-profile/view/1892327","19-1892327")</f>
        <v>0</v>
      </c>
      <c r="B522" t="s">
        <v>50</v>
      </c>
      <c r="C522" t="s">
        <v>105</v>
      </c>
      <c r="D522" t="s">
        <v>164</v>
      </c>
      <c r="E522" t="s">
        <v>258</v>
      </c>
      <c r="F522" t="s">
        <v>405</v>
      </c>
      <c r="G522" t="s">
        <v>752</v>
      </c>
      <c r="H522" t="s">
        <v>780</v>
      </c>
      <c r="I522" t="s">
        <v>1458</v>
      </c>
      <c r="J522" t="s">
        <v>1538</v>
      </c>
      <c r="K522" t="s">
        <v>1641</v>
      </c>
      <c r="L522">
        <v>10458</v>
      </c>
      <c r="M522" t="s">
        <v>1670</v>
      </c>
      <c r="P522" t="s">
        <v>1923</v>
      </c>
      <c r="Q522" t="s">
        <v>1939</v>
      </c>
      <c r="R522" t="s">
        <v>1958</v>
      </c>
      <c r="S522" t="s">
        <v>1965</v>
      </c>
      <c r="T522" t="s">
        <v>1671</v>
      </c>
      <c r="V522" t="s">
        <v>1972</v>
      </c>
      <c r="W522" t="s">
        <v>1984</v>
      </c>
      <c r="X522" t="s">
        <v>258</v>
      </c>
      <c r="Y522">
        <v>2050</v>
      </c>
      <c r="Z522" t="s">
        <v>2006</v>
      </c>
      <c r="AA522" t="s">
        <v>2015</v>
      </c>
      <c r="AB522" t="s">
        <v>2029</v>
      </c>
      <c r="AC522" t="s">
        <v>2453</v>
      </c>
      <c r="AD522" t="s">
        <v>2884</v>
      </c>
      <c r="AE522">
        <v>0</v>
      </c>
      <c r="AF522" t="s">
        <v>2902</v>
      </c>
      <c r="AG522" t="s">
        <v>1754</v>
      </c>
      <c r="AH522">
        <v>0</v>
      </c>
      <c r="AJ522">
        <v>3</v>
      </c>
      <c r="AK522">
        <v>3</v>
      </c>
      <c r="AL522">
        <v>128.71</v>
      </c>
      <c r="AO522" t="s">
        <v>2927</v>
      </c>
      <c r="AP522">
        <v>44520</v>
      </c>
      <c r="AV522">
        <v>0.3</v>
      </c>
      <c r="AW522" t="s">
        <v>406</v>
      </c>
      <c r="AX522" t="s">
        <v>105</v>
      </c>
    </row>
    <row r="523" spans="1:50">
      <c r="A523" s="1">
        <f>HYPERLINK("https://lsnyc.legalserver.org/matter/dynamic-profile/view/1883906","18-1883906")</f>
        <v>0</v>
      </c>
      <c r="B523" t="s">
        <v>50</v>
      </c>
      <c r="C523" t="s">
        <v>105</v>
      </c>
      <c r="D523" t="s">
        <v>164</v>
      </c>
      <c r="E523" t="s">
        <v>345</v>
      </c>
      <c r="F523" t="s">
        <v>176</v>
      </c>
      <c r="G523" t="s">
        <v>753</v>
      </c>
      <c r="H523" t="s">
        <v>963</v>
      </c>
      <c r="I523" t="s">
        <v>1204</v>
      </c>
      <c r="J523" t="s">
        <v>1539</v>
      </c>
      <c r="K523" t="s">
        <v>1641</v>
      </c>
      <c r="L523">
        <v>10452</v>
      </c>
      <c r="M523" t="s">
        <v>1670</v>
      </c>
      <c r="P523" t="s">
        <v>1924</v>
      </c>
      <c r="Q523" t="s">
        <v>1936</v>
      </c>
      <c r="R523" t="s">
        <v>1958</v>
      </c>
      <c r="S523" t="s">
        <v>1965</v>
      </c>
      <c r="T523" t="s">
        <v>1671</v>
      </c>
      <c r="V523" t="s">
        <v>1972</v>
      </c>
      <c r="W523" t="s">
        <v>1984</v>
      </c>
      <c r="X523" t="s">
        <v>383</v>
      </c>
      <c r="Y523">
        <v>1375</v>
      </c>
      <c r="Z523" t="s">
        <v>2006</v>
      </c>
      <c r="AA523" t="s">
        <v>2021</v>
      </c>
      <c r="AB523" t="s">
        <v>2029</v>
      </c>
      <c r="AC523" t="s">
        <v>2454</v>
      </c>
      <c r="AD523" t="s">
        <v>2885</v>
      </c>
      <c r="AE523">
        <v>37</v>
      </c>
      <c r="AF523" t="s">
        <v>2902</v>
      </c>
      <c r="AG523" t="s">
        <v>1754</v>
      </c>
      <c r="AH523">
        <v>5</v>
      </c>
      <c r="AJ523">
        <v>1</v>
      </c>
      <c r="AK523">
        <v>1</v>
      </c>
      <c r="AL523">
        <v>85.05</v>
      </c>
      <c r="AO523" t="s">
        <v>2927</v>
      </c>
      <c r="AP523">
        <v>14000</v>
      </c>
      <c r="AV523">
        <v>2.6</v>
      </c>
      <c r="AW523" t="s">
        <v>176</v>
      </c>
      <c r="AX523" t="s">
        <v>3054</v>
      </c>
    </row>
    <row r="524" spans="1:50">
      <c r="A524" s="1">
        <f>HYPERLINK("https://lsnyc.legalserver.org/matter/dynamic-profile/view/1877068","18-1877068")</f>
        <v>0</v>
      </c>
      <c r="B524" t="s">
        <v>51</v>
      </c>
      <c r="C524" t="s">
        <v>64</v>
      </c>
      <c r="D524" t="s">
        <v>164</v>
      </c>
      <c r="E524" t="s">
        <v>358</v>
      </c>
      <c r="F524" t="s">
        <v>187</v>
      </c>
      <c r="G524" t="s">
        <v>754</v>
      </c>
      <c r="H524" t="s">
        <v>1095</v>
      </c>
      <c r="I524" t="s">
        <v>1459</v>
      </c>
      <c r="K524" t="s">
        <v>1643</v>
      </c>
      <c r="L524">
        <v>10001</v>
      </c>
      <c r="M524" t="s">
        <v>1670</v>
      </c>
      <c r="P524" t="s">
        <v>1925</v>
      </c>
      <c r="Q524" t="s">
        <v>1957</v>
      </c>
      <c r="R524" t="s">
        <v>1960</v>
      </c>
      <c r="S524" t="s">
        <v>1969</v>
      </c>
      <c r="T524" t="s">
        <v>1671</v>
      </c>
      <c r="V524" t="s">
        <v>1972</v>
      </c>
      <c r="X524" t="s">
        <v>360</v>
      </c>
      <c r="Y524">
        <v>1200</v>
      </c>
      <c r="Z524" t="s">
        <v>2008</v>
      </c>
      <c r="AA524" t="s">
        <v>2012</v>
      </c>
      <c r="AB524" t="s">
        <v>2029</v>
      </c>
      <c r="AC524" t="s">
        <v>2455</v>
      </c>
      <c r="AD524" t="s">
        <v>2886</v>
      </c>
      <c r="AE524">
        <v>309</v>
      </c>
      <c r="AF524" t="s">
        <v>2910</v>
      </c>
      <c r="AG524" t="s">
        <v>2017</v>
      </c>
      <c r="AH524">
        <v>4</v>
      </c>
      <c r="AJ524">
        <v>1</v>
      </c>
      <c r="AK524">
        <v>3</v>
      </c>
      <c r="AL524">
        <v>54.02</v>
      </c>
      <c r="AM524" t="s">
        <v>2923</v>
      </c>
      <c r="AN524" t="s">
        <v>2924</v>
      </c>
      <c r="AO524" t="s">
        <v>2930</v>
      </c>
      <c r="AP524">
        <v>13560</v>
      </c>
      <c r="AV524">
        <v>8.4</v>
      </c>
      <c r="AW524" t="s">
        <v>407</v>
      </c>
      <c r="AX524" t="s">
        <v>3086</v>
      </c>
    </row>
    <row r="525" spans="1:50">
      <c r="A525" s="1">
        <f>HYPERLINK("https://lsnyc.legalserver.org/matter/dynamic-profile/view/1881793","18-1881793")</f>
        <v>0</v>
      </c>
      <c r="B525" t="s">
        <v>50</v>
      </c>
      <c r="C525" t="s">
        <v>161</v>
      </c>
      <c r="D525" t="s">
        <v>163</v>
      </c>
      <c r="E525" t="s">
        <v>329</v>
      </c>
      <c r="G525" t="s">
        <v>755</v>
      </c>
      <c r="H525" t="s">
        <v>888</v>
      </c>
      <c r="I525" t="s">
        <v>1460</v>
      </c>
      <c r="J525" t="s">
        <v>1502</v>
      </c>
      <c r="K525" t="s">
        <v>1643</v>
      </c>
      <c r="L525">
        <v>10032</v>
      </c>
      <c r="M525" t="s">
        <v>1670</v>
      </c>
      <c r="P525" t="s">
        <v>1926</v>
      </c>
      <c r="Q525" t="s">
        <v>1936</v>
      </c>
      <c r="R525" t="s">
        <v>1962</v>
      </c>
      <c r="V525" t="s">
        <v>1972</v>
      </c>
      <c r="X525" t="s">
        <v>329</v>
      </c>
      <c r="Y525">
        <v>802</v>
      </c>
      <c r="Z525" t="s">
        <v>2008</v>
      </c>
      <c r="AA525" t="s">
        <v>2026</v>
      </c>
      <c r="AC525" t="s">
        <v>2456</v>
      </c>
      <c r="AD525" t="s">
        <v>2887</v>
      </c>
      <c r="AE525">
        <v>0</v>
      </c>
      <c r="AF525" t="s">
        <v>2902</v>
      </c>
      <c r="AG525" t="s">
        <v>1754</v>
      </c>
      <c r="AH525">
        <v>6</v>
      </c>
      <c r="AJ525">
        <v>2</v>
      </c>
      <c r="AK525">
        <v>1</v>
      </c>
      <c r="AL525">
        <v>72.18000000000001</v>
      </c>
      <c r="AO525" t="s">
        <v>2927</v>
      </c>
      <c r="AP525">
        <v>15000</v>
      </c>
      <c r="AV525">
        <v>1.3</v>
      </c>
      <c r="AW525" t="s">
        <v>177</v>
      </c>
      <c r="AX525" t="s">
        <v>3048</v>
      </c>
    </row>
    <row r="526" spans="1:50">
      <c r="A526" s="1">
        <f>HYPERLINK("https://lsnyc.legalserver.org/matter/dynamic-profile/view/1884034","18-1884034")</f>
        <v>0</v>
      </c>
      <c r="B526" t="s">
        <v>50</v>
      </c>
      <c r="C526" t="s">
        <v>52</v>
      </c>
      <c r="D526" t="s">
        <v>164</v>
      </c>
      <c r="E526" t="s">
        <v>383</v>
      </c>
      <c r="F526" t="s">
        <v>224</v>
      </c>
      <c r="G526" t="s">
        <v>756</v>
      </c>
      <c r="H526" t="s">
        <v>1096</v>
      </c>
      <c r="I526" t="s">
        <v>1461</v>
      </c>
      <c r="J526" t="s">
        <v>1638</v>
      </c>
      <c r="K526" t="s">
        <v>1641</v>
      </c>
      <c r="L526">
        <v>10452</v>
      </c>
      <c r="M526" t="s">
        <v>1670</v>
      </c>
      <c r="Q526" t="s">
        <v>1675</v>
      </c>
      <c r="R526" t="s">
        <v>1958</v>
      </c>
      <c r="S526" t="s">
        <v>1965</v>
      </c>
      <c r="T526" t="s">
        <v>1671</v>
      </c>
      <c r="V526" t="s">
        <v>1972</v>
      </c>
      <c r="X526" t="s">
        <v>1993</v>
      </c>
      <c r="Y526">
        <v>700</v>
      </c>
      <c r="Z526" t="s">
        <v>2006</v>
      </c>
      <c r="AA526" t="s">
        <v>2015</v>
      </c>
      <c r="AB526" t="s">
        <v>2029</v>
      </c>
      <c r="AC526" t="s">
        <v>2457</v>
      </c>
      <c r="AD526" t="s">
        <v>2888</v>
      </c>
      <c r="AE526">
        <v>102</v>
      </c>
      <c r="AF526" t="s">
        <v>2908</v>
      </c>
      <c r="AG526" t="s">
        <v>1754</v>
      </c>
      <c r="AH526">
        <v>6</v>
      </c>
      <c r="AJ526">
        <v>1</v>
      </c>
      <c r="AK526">
        <v>2</v>
      </c>
      <c r="AL526">
        <v>72.18000000000001</v>
      </c>
      <c r="AO526" t="s">
        <v>2927</v>
      </c>
      <c r="AP526">
        <v>15000</v>
      </c>
      <c r="AV526">
        <v>0.2</v>
      </c>
      <c r="AW526" t="s">
        <v>383</v>
      </c>
      <c r="AX526" t="s">
        <v>3046</v>
      </c>
    </row>
    <row r="527" spans="1:50">
      <c r="A527" s="1">
        <f>HYPERLINK("https://lsnyc.legalserver.org/matter/dynamic-profile/view/1875207","18-1875207")</f>
        <v>0</v>
      </c>
      <c r="B527" t="s">
        <v>50</v>
      </c>
      <c r="C527" t="s">
        <v>162</v>
      </c>
      <c r="D527" t="s">
        <v>164</v>
      </c>
      <c r="E527" t="s">
        <v>166</v>
      </c>
      <c r="F527" t="s">
        <v>360</v>
      </c>
      <c r="G527" t="s">
        <v>757</v>
      </c>
      <c r="H527" t="s">
        <v>1097</v>
      </c>
      <c r="I527" t="s">
        <v>1462</v>
      </c>
      <c r="J527">
        <v>2</v>
      </c>
      <c r="K527" t="s">
        <v>1667</v>
      </c>
      <c r="L527">
        <v>11413</v>
      </c>
      <c r="M527" t="s">
        <v>1670</v>
      </c>
      <c r="P527" t="s">
        <v>1927</v>
      </c>
      <c r="Q527" t="s">
        <v>1940</v>
      </c>
      <c r="R527" t="s">
        <v>1958</v>
      </c>
      <c r="S527" t="s">
        <v>1965</v>
      </c>
      <c r="T527" t="s">
        <v>1671</v>
      </c>
      <c r="V527" t="s">
        <v>1972</v>
      </c>
      <c r="W527" t="s">
        <v>1984</v>
      </c>
      <c r="X527" t="s">
        <v>166</v>
      </c>
      <c r="Y527">
        <v>1600</v>
      </c>
      <c r="Z527" t="s">
        <v>2007</v>
      </c>
      <c r="AA527" t="s">
        <v>2014</v>
      </c>
      <c r="AB527" t="s">
        <v>2029</v>
      </c>
      <c r="AC527" t="s">
        <v>2458</v>
      </c>
      <c r="AD527" t="s">
        <v>2889</v>
      </c>
      <c r="AE527">
        <v>2</v>
      </c>
      <c r="AF527" t="s">
        <v>2903</v>
      </c>
      <c r="AG527" t="s">
        <v>1754</v>
      </c>
      <c r="AH527">
        <v>4</v>
      </c>
      <c r="AJ527">
        <v>1</v>
      </c>
      <c r="AK527">
        <v>1</v>
      </c>
      <c r="AL527">
        <v>121.61</v>
      </c>
      <c r="AO527" t="s">
        <v>2926</v>
      </c>
      <c r="AP527">
        <v>20017.4</v>
      </c>
      <c r="AV527">
        <v>1.1</v>
      </c>
      <c r="AW527" t="s">
        <v>360</v>
      </c>
      <c r="AX527" t="s">
        <v>3044</v>
      </c>
    </row>
    <row r="528" spans="1:50">
      <c r="A528" s="1">
        <f>HYPERLINK("https://lsnyc.legalserver.org/matter/dynamic-profile/view/1884298","18-1884298")</f>
        <v>0</v>
      </c>
      <c r="B528" t="s">
        <v>50</v>
      </c>
      <c r="C528" t="s">
        <v>119</v>
      </c>
      <c r="D528" t="s">
        <v>164</v>
      </c>
      <c r="E528" t="s">
        <v>224</v>
      </c>
      <c r="F528" t="s">
        <v>306</v>
      </c>
      <c r="G528" t="s">
        <v>758</v>
      </c>
      <c r="H528" t="s">
        <v>1098</v>
      </c>
      <c r="I528" t="s">
        <v>1463</v>
      </c>
      <c r="J528">
        <v>2</v>
      </c>
      <c r="K528" t="s">
        <v>1644</v>
      </c>
      <c r="L528">
        <v>11207</v>
      </c>
      <c r="M528" t="s">
        <v>1670</v>
      </c>
      <c r="P528" t="s">
        <v>1928</v>
      </c>
      <c r="Q528" t="s">
        <v>1936</v>
      </c>
      <c r="R528" t="s">
        <v>1962</v>
      </c>
      <c r="S528" t="s">
        <v>1965</v>
      </c>
      <c r="V528" t="s">
        <v>1972</v>
      </c>
      <c r="W528" t="s">
        <v>1986</v>
      </c>
      <c r="X528" t="s">
        <v>224</v>
      </c>
      <c r="Y528">
        <v>1575</v>
      </c>
      <c r="Z528" t="s">
        <v>2009</v>
      </c>
      <c r="AA528" t="s">
        <v>2014</v>
      </c>
      <c r="AB528" t="s">
        <v>2029</v>
      </c>
      <c r="AC528" t="s">
        <v>2459</v>
      </c>
      <c r="AD528" t="s">
        <v>2890</v>
      </c>
      <c r="AE528">
        <v>4</v>
      </c>
      <c r="AH528">
        <v>2</v>
      </c>
      <c r="AJ528">
        <v>2</v>
      </c>
      <c r="AK528">
        <v>2</v>
      </c>
      <c r="AL528">
        <v>108.89</v>
      </c>
      <c r="AO528" t="s">
        <v>2927</v>
      </c>
      <c r="AP528">
        <v>27332</v>
      </c>
      <c r="AV528">
        <v>2.2</v>
      </c>
      <c r="AW528" t="s">
        <v>176</v>
      </c>
      <c r="AX528" t="s">
        <v>3049</v>
      </c>
    </row>
    <row r="529" spans="1:50">
      <c r="A529" s="1">
        <f>HYPERLINK("https://lsnyc.legalserver.org/matter/dynamic-profile/view/1884826","18-1884826")</f>
        <v>0</v>
      </c>
      <c r="B529" t="s">
        <v>50</v>
      </c>
      <c r="C529" t="s">
        <v>61</v>
      </c>
      <c r="D529" t="s">
        <v>163</v>
      </c>
      <c r="E529" t="s">
        <v>375</v>
      </c>
      <c r="G529" t="s">
        <v>759</v>
      </c>
      <c r="H529" t="s">
        <v>1099</v>
      </c>
      <c r="I529" t="s">
        <v>1464</v>
      </c>
      <c r="J529" t="s">
        <v>1603</v>
      </c>
      <c r="K529" t="s">
        <v>1644</v>
      </c>
      <c r="L529">
        <v>11226</v>
      </c>
      <c r="M529" t="s">
        <v>1670</v>
      </c>
      <c r="P529" t="s">
        <v>1929</v>
      </c>
      <c r="Q529" t="s">
        <v>1938</v>
      </c>
      <c r="R529" t="s">
        <v>1963</v>
      </c>
      <c r="T529" t="s">
        <v>1670</v>
      </c>
      <c r="V529" t="s">
        <v>1972</v>
      </c>
      <c r="X529" t="s">
        <v>394</v>
      </c>
      <c r="Y529">
        <v>1098.97</v>
      </c>
      <c r="Z529" t="s">
        <v>2009</v>
      </c>
      <c r="AA529" t="s">
        <v>2015</v>
      </c>
      <c r="AC529" t="s">
        <v>2460</v>
      </c>
      <c r="AD529" t="s">
        <v>2891</v>
      </c>
      <c r="AE529">
        <v>48</v>
      </c>
      <c r="AF529" t="s">
        <v>2902</v>
      </c>
      <c r="AG529" t="s">
        <v>1754</v>
      </c>
      <c r="AH529">
        <v>16</v>
      </c>
      <c r="AJ529">
        <v>2</v>
      </c>
      <c r="AK529">
        <v>1</v>
      </c>
      <c r="AL529">
        <v>136.48</v>
      </c>
      <c r="AO529" t="s">
        <v>2926</v>
      </c>
      <c r="AP529">
        <v>28360.8</v>
      </c>
      <c r="AV529">
        <v>0.5</v>
      </c>
      <c r="AW529" t="s">
        <v>243</v>
      </c>
      <c r="AX529" t="s">
        <v>158</v>
      </c>
    </row>
    <row r="530" spans="1:50">
      <c r="A530" s="1">
        <f>HYPERLINK("https://lsnyc.legalserver.org/matter/dynamic-profile/view/1897445","19-1897445")</f>
        <v>0</v>
      </c>
      <c r="B530" t="s">
        <v>50</v>
      </c>
      <c r="C530" t="s">
        <v>78</v>
      </c>
      <c r="D530" t="s">
        <v>164</v>
      </c>
      <c r="E530" t="s">
        <v>269</v>
      </c>
      <c r="F530" t="s">
        <v>230</v>
      </c>
      <c r="G530" t="s">
        <v>760</v>
      </c>
      <c r="H530" t="s">
        <v>1100</v>
      </c>
      <c r="I530" t="s">
        <v>1465</v>
      </c>
      <c r="J530" t="s">
        <v>1549</v>
      </c>
      <c r="K530" t="s">
        <v>1646</v>
      </c>
      <c r="L530">
        <v>10304</v>
      </c>
      <c r="M530" t="s">
        <v>1670</v>
      </c>
      <c r="P530" t="s">
        <v>1930</v>
      </c>
      <c r="Q530" t="s">
        <v>1936</v>
      </c>
      <c r="R530" t="s">
        <v>1960</v>
      </c>
      <c r="S530" t="s">
        <v>1969</v>
      </c>
      <c r="T530" t="s">
        <v>1671</v>
      </c>
      <c r="V530" t="s">
        <v>1972</v>
      </c>
      <c r="W530" t="s">
        <v>1984</v>
      </c>
      <c r="X530" t="s">
        <v>269</v>
      </c>
      <c r="Y530">
        <v>1250</v>
      </c>
      <c r="Z530" t="s">
        <v>2010</v>
      </c>
      <c r="AA530" t="s">
        <v>2011</v>
      </c>
      <c r="AB530" t="s">
        <v>2032</v>
      </c>
      <c r="AC530" t="s">
        <v>2461</v>
      </c>
      <c r="AD530" t="s">
        <v>2892</v>
      </c>
      <c r="AE530">
        <v>2</v>
      </c>
      <c r="AG530" t="s">
        <v>2917</v>
      </c>
      <c r="AH530">
        <v>1</v>
      </c>
      <c r="AJ530">
        <v>1</v>
      </c>
      <c r="AK530">
        <v>2</v>
      </c>
      <c r="AL530">
        <v>170.65</v>
      </c>
      <c r="AO530" t="s">
        <v>2926</v>
      </c>
      <c r="AP530">
        <v>36399.96</v>
      </c>
      <c r="AV530">
        <v>0.6</v>
      </c>
      <c r="AW530" t="s">
        <v>293</v>
      </c>
      <c r="AX530" t="s">
        <v>3050</v>
      </c>
    </row>
    <row r="531" spans="1:50">
      <c r="A531" s="1">
        <f>HYPERLINK("https://lsnyc.legalserver.org/matter/dynamic-profile/view/1885279","18-1885279")</f>
        <v>0</v>
      </c>
      <c r="B531" t="s">
        <v>50</v>
      </c>
      <c r="C531" t="s">
        <v>101</v>
      </c>
      <c r="D531" t="s">
        <v>163</v>
      </c>
      <c r="E531" t="s">
        <v>246</v>
      </c>
      <c r="G531" t="s">
        <v>761</v>
      </c>
      <c r="H531" t="s">
        <v>1101</v>
      </c>
      <c r="I531" t="s">
        <v>1466</v>
      </c>
      <c r="J531">
        <v>3</v>
      </c>
      <c r="K531" t="s">
        <v>1643</v>
      </c>
      <c r="L531">
        <v>10029</v>
      </c>
      <c r="M531" t="s">
        <v>1670</v>
      </c>
      <c r="P531" t="s">
        <v>1931</v>
      </c>
      <c r="Q531" t="s">
        <v>1939</v>
      </c>
      <c r="R531" t="s">
        <v>1960</v>
      </c>
      <c r="T531" t="s">
        <v>1670</v>
      </c>
      <c r="V531" t="s">
        <v>1972</v>
      </c>
      <c r="W531" t="s">
        <v>1984</v>
      </c>
      <c r="X531" t="s">
        <v>246</v>
      </c>
      <c r="Y531">
        <v>1542</v>
      </c>
      <c r="Z531" t="s">
        <v>2008</v>
      </c>
      <c r="AA531" t="s">
        <v>2016</v>
      </c>
      <c r="AC531" t="s">
        <v>2462</v>
      </c>
      <c r="AD531" t="s">
        <v>2893</v>
      </c>
      <c r="AE531">
        <v>6</v>
      </c>
      <c r="AF531" t="s">
        <v>2902</v>
      </c>
      <c r="AG531" t="s">
        <v>1754</v>
      </c>
      <c r="AH531">
        <v>10</v>
      </c>
      <c r="AJ531">
        <v>3</v>
      </c>
      <c r="AK531">
        <v>2</v>
      </c>
      <c r="AL531">
        <v>136.98</v>
      </c>
      <c r="AO531" t="s">
        <v>2926</v>
      </c>
      <c r="AP531">
        <v>40300</v>
      </c>
      <c r="AV531">
        <v>2</v>
      </c>
      <c r="AW531" t="s">
        <v>396</v>
      </c>
      <c r="AX531" t="s">
        <v>3051</v>
      </c>
    </row>
    <row r="532" spans="1:50">
      <c r="A532" s="1">
        <f>HYPERLINK("https://lsnyc.legalserver.org/matter/dynamic-profile/view/1893945","19-1893945")</f>
        <v>0</v>
      </c>
      <c r="B532" t="s">
        <v>50</v>
      </c>
      <c r="C532" t="s">
        <v>151</v>
      </c>
      <c r="D532" t="s">
        <v>163</v>
      </c>
      <c r="E532" t="s">
        <v>350</v>
      </c>
      <c r="G532" t="s">
        <v>762</v>
      </c>
      <c r="H532" t="s">
        <v>780</v>
      </c>
      <c r="I532" t="s">
        <v>1467</v>
      </c>
      <c r="K532" t="s">
        <v>1666</v>
      </c>
      <c r="L532">
        <v>11368</v>
      </c>
      <c r="M532" t="s">
        <v>1670</v>
      </c>
      <c r="P532" t="s">
        <v>1932</v>
      </c>
      <c r="Q532" t="s">
        <v>1936</v>
      </c>
      <c r="R532" t="s">
        <v>1960</v>
      </c>
      <c r="T532" t="s">
        <v>1671</v>
      </c>
      <c r="V532" t="s">
        <v>1972</v>
      </c>
      <c r="W532" t="s">
        <v>1985</v>
      </c>
      <c r="X532" t="s">
        <v>350</v>
      </c>
      <c r="Y532">
        <v>2010</v>
      </c>
      <c r="Z532" t="s">
        <v>2007</v>
      </c>
      <c r="AA532" t="s">
        <v>2014</v>
      </c>
      <c r="AC532" t="s">
        <v>2463</v>
      </c>
      <c r="AD532" t="s">
        <v>2894</v>
      </c>
      <c r="AE532">
        <v>232</v>
      </c>
      <c r="AF532" t="s">
        <v>2902</v>
      </c>
      <c r="AG532" t="s">
        <v>1754</v>
      </c>
      <c r="AH532">
        <v>1</v>
      </c>
      <c r="AJ532">
        <v>1</v>
      </c>
      <c r="AK532">
        <v>2</v>
      </c>
      <c r="AL532">
        <v>183.33</v>
      </c>
      <c r="AO532" t="s">
        <v>2926</v>
      </c>
      <c r="AP532">
        <v>39104</v>
      </c>
      <c r="AV532">
        <v>28.6</v>
      </c>
      <c r="AW532" t="s">
        <v>392</v>
      </c>
      <c r="AX532" t="s">
        <v>3044</v>
      </c>
    </row>
    <row r="533" spans="1:50">
      <c r="A533" s="1">
        <f>HYPERLINK("https://lsnyc.legalserver.org/matter/dynamic-profile/view/1897193","19-1897193")</f>
        <v>0</v>
      </c>
      <c r="B533" t="s">
        <v>50</v>
      </c>
      <c r="C533" t="s">
        <v>140</v>
      </c>
      <c r="D533" t="s">
        <v>163</v>
      </c>
      <c r="E533" t="s">
        <v>186</v>
      </c>
      <c r="G533" t="s">
        <v>468</v>
      </c>
      <c r="H533" t="s">
        <v>1102</v>
      </c>
      <c r="I533" t="s">
        <v>1468</v>
      </c>
      <c r="J533" t="s">
        <v>1639</v>
      </c>
      <c r="K533" t="s">
        <v>1668</v>
      </c>
      <c r="L533">
        <v>11354</v>
      </c>
      <c r="M533" t="s">
        <v>1670</v>
      </c>
      <c r="P533" t="s">
        <v>1933</v>
      </c>
      <c r="Q533" t="s">
        <v>1936</v>
      </c>
      <c r="R533" t="s">
        <v>1960</v>
      </c>
      <c r="T533" t="s">
        <v>1671</v>
      </c>
      <c r="V533" t="s">
        <v>1972</v>
      </c>
      <c r="W533" t="s">
        <v>1983</v>
      </c>
      <c r="X533" t="s">
        <v>186</v>
      </c>
      <c r="Y533">
        <v>1525</v>
      </c>
      <c r="Z533" t="s">
        <v>2007</v>
      </c>
      <c r="AA533" t="s">
        <v>2014</v>
      </c>
      <c r="AC533" t="s">
        <v>2464</v>
      </c>
      <c r="AD533" t="s">
        <v>2895</v>
      </c>
      <c r="AE533">
        <v>12</v>
      </c>
      <c r="AF533" t="s">
        <v>2904</v>
      </c>
      <c r="AG533" t="s">
        <v>1754</v>
      </c>
      <c r="AH533">
        <v>2</v>
      </c>
      <c r="AJ533">
        <v>2</v>
      </c>
      <c r="AK533">
        <v>1</v>
      </c>
      <c r="AL533">
        <v>97.52</v>
      </c>
      <c r="AO533" t="s">
        <v>2931</v>
      </c>
      <c r="AP533">
        <v>20800</v>
      </c>
      <c r="AV533">
        <v>27.42</v>
      </c>
      <c r="AW533" t="s">
        <v>3037</v>
      </c>
      <c r="AX533" t="s">
        <v>3044</v>
      </c>
    </row>
    <row r="534" spans="1:50">
      <c r="A534" s="1">
        <f>HYPERLINK("https://lsnyc.legalserver.org/matter/dynamic-profile/view/1900670","19-1900670")</f>
        <v>0</v>
      </c>
      <c r="B534" t="s">
        <v>50</v>
      </c>
      <c r="C534" t="s">
        <v>56</v>
      </c>
      <c r="D534" t="s">
        <v>163</v>
      </c>
      <c r="E534" t="s">
        <v>328</v>
      </c>
      <c r="G534" t="s">
        <v>763</v>
      </c>
      <c r="H534" t="s">
        <v>1103</v>
      </c>
      <c r="I534" t="s">
        <v>1469</v>
      </c>
      <c r="K534" t="s">
        <v>1669</v>
      </c>
      <c r="L534">
        <v>11411</v>
      </c>
      <c r="M534" t="s">
        <v>1670</v>
      </c>
      <c r="P534" t="s">
        <v>1934</v>
      </c>
      <c r="Q534" t="s">
        <v>1940</v>
      </c>
      <c r="R534" t="s">
        <v>1958</v>
      </c>
      <c r="T534" t="s">
        <v>1671</v>
      </c>
      <c r="V534" t="s">
        <v>1972</v>
      </c>
      <c r="X534" t="s">
        <v>328</v>
      </c>
      <c r="Y534">
        <v>1500</v>
      </c>
      <c r="Z534" t="s">
        <v>2007</v>
      </c>
      <c r="AC534" t="s">
        <v>2465</v>
      </c>
      <c r="AD534" t="s">
        <v>2896</v>
      </c>
      <c r="AE534">
        <v>0</v>
      </c>
      <c r="AH534">
        <v>2</v>
      </c>
      <c r="AJ534">
        <v>5</v>
      </c>
      <c r="AK534">
        <v>1</v>
      </c>
      <c r="AL534">
        <v>144.55</v>
      </c>
      <c r="AO534" t="s">
        <v>2926</v>
      </c>
      <c r="AP534">
        <v>50000</v>
      </c>
      <c r="AV534">
        <v>1.1</v>
      </c>
      <c r="AW534" t="s">
        <v>179</v>
      </c>
      <c r="AX534" t="s">
        <v>3073</v>
      </c>
    </row>
    <row r="535" spans="1:50">
      <c r="A535" s="1">
        <f>HYPERLINK("https://lsnyc.legalserver.org/matter/dynamic-profile/view/1896360","19-1896360")</f>
        <v>0</v>
      </c>
      <c r="B535" t="s">
        <v>50</v>
      </c>
      <c r="C535" t="s">
        <v>127</v>
      </c>
      <c r="D535" t="s">
        <v>163</v>
      </c>
      <c r="E535" t="s">
        <v>217</v>
      </c>
      <c r="G535" t="s">
        <v>764</v>
      </c>
      <c r="H535" t="s">
        <v>1104</v>
      </c>
      <c r="I535" t="s">
        <v>1470</v>
      </c>
      <c r="J535" t="s">
        <v>1557</v>
      </c>
      <c r="K535" t="s">
        <v>1644</v>
      </c>
      <c r="L535">
        <v>11212</v>
      </c>
      <c r="M535" t="s">
        <v>1670</v>
      </c>
      <c r="P535" t="s">
        <v>1935</v>
      </c>
      <c r="Q535" t="s">
        <v>1940</v>
      </c>
      <c r="R535" t="s">
        <v>1962</v>
      </c>
      <c r="T535" t="s">
        <v>1671</v>
      </c>
      <c r="V535" t="s">
        <v>1972</v>
      </c>
      <c r="W535" t="s">
        <v>1984</v>
      </c>
      <c r="X535" t="s">
        <v>405</v>
      </c>
      <c r="Y535">
        <v>2100</v>
      </c>
      <c r="Z535" t="s">
        <v>2009</v>
      </c>
      <c r="AC535" t="s">
        <v>2466</v>
      </c>
      <c r="AD535" t="s">
        <v>2897</v>
      </c>
      <c r="AE535">
        <v>2</v>
      </c>
      <c r="AF535" t="s">
        <v>2903</v>
      </c>
      <c r="AG535" t="s">
        <v>1754</v>
      </c>
      <c r="AH535">
        <v>5</v>
      </c>
      <c r="AJ535">
        <v>2</v>
      </c>
      <c r="AK535">
        <v>3</v>
      </c>
      <c r="AL535">
        <v>198.61</v>
      </c>
      <c r="AO535" t="s">
        <v>2926</v>
      </c>
      <c r="AP535">
        <v>59920</v>
      </c>
      <c r="AQ535" t="s">
        <v>2974</v>
      </c>
      <c r="AU535" t="s">
        <v>3028</v>
      </c>
      <c r="AV535">
        <v>3</v>
      </c>
      <c r="AW535" t="s">
        <v>405</v>
      </c>
      <c r="AX535" t="s">
        <v>3071</v>
      </c>
    </row>
    <row r="536" spans="1:50">
      <c r="A536" s="1">
        <f>HYPERLINK("https://lsnyc.legalserver.org/matter/dynamic-profile/view/1891535","19-1891535")</f>
        <v>0</v>
      </c>
      <c r="B536" t="s">
        <v>50</v>
      </c>
      <c r="C536" t="s">
        <v>116</v>
      </c>
      <c r="D536" t="s">
        <v>163</v>
      </c>
      <c r="E536" t="s">
        <v>294</v>
      </c>
      <c r="G536" t="s">
        <v>660</v>
      </c>
      <c r="H536" t="s">
        <v>1105</v>
      </c>
      <c r="I536" t="s">
        <v>1471</v>
      </c>
      <c r="J536" t="s">
        <v>1525</v>
      </c>
      <c r="K536" t="s">
        <v>1643</v>
      </c>
      <c r="L536">
        <v>10035</v>
      </c>
      <c r="M536" t="s">
        <v>1670</v>
      </c>
      <c r="Q536" t="s">
        <v>1675</v>
      </c>
      <c r="R536" t="s">
        <v>1963</v>
      </c>
      <c r="T536" t="s">
        <v>1670</v>
      </c>
      <c r="V536" t="s">
        <v>1972</v>
      </c>
      <c r="W536" t="s">
        <v>1984</v>
      </c>
      <c r="X536" t="s">
        <v>316</v>
      </c>
      <c r="Y536">
        <v>1530</v>
      </c>
      <c r="Z536" t="s">
        <v>2008</v>
      </c>
      <c r="AA536" t="s">
        <v>2024</v>
      </c>
      <c r="AC536" t="s">
        <v>2467</v>
      </c>
      <c r="AD536" t="s">
        <v>2898</v>
      </c>
      <c r="AE536">
        <v>30</v>
      </c>
      <c r="AF536" t="s">
        <v>2902</v>
      </c>
      <c r="AG536" t="s">
        <v>1754</v>
      </c>
      <c r="AH536">
        <v>3</v>
      </c>
      <c r="AJ536">
        <v>1</v>
      </c>
      <c r="AK536">
        <v>1</v>
      </c>
      <c r="AL536">
        <v>92.25</v>
      </c>
      <c r="AO536" t="s">
        <v>2926</v>
      </c>
      <c r="AP536">
        <v>15600</v>
      </c>
      <c r="AV536">
        <v>58.52</v>
      </c>
      <c r="AW536" t="s">
        <v>393</v>
      </c>
      <c r="AX536" t="s">
        <v>3058</v>
      </c>
    </row>
    <row r="537" spans="1:50">
      <c r="A537" s="1">
        <f>HYPERLINK("https://lsnyc.legalserver.org/matter/dynamic-profile/view/1886148","18-1886148")</f>
        <v>0</v>
      </c>
      <c r="B537" t="s">
        <v>50</v>
      </c>
      <c r="C537" t="s">
        <v>105</v>
      </c>
      <c r="D537" t="s">
        <v>163</v>
      </c>
      <c r="E537" t="s">
        <v>174</v>
      </c>
      <c r="G537" t="s">
        <v>765</v>
      </c>
      <c r="H537" t="s">
        <v>1106</v>
      </c>
      <c r="I537" t="s">
        <v>1472</v>
      </c>
      <c r="K537" t="s">
        <v>1641</v>
      </c>
      <c r="L537">
        <v>10452</v>
      </c>
      <c r="M537" t="s">
        <v>1670</v>
      </c>
      <c r="Q537" t="s">
        <v>1938</v>
      </c>
      <c r="R537" t="s">
        <v>1961</v>
      </c>
      <c r="T537" t="s">
        <v>1671</v>
      </c>
      <c r="V537" t="s">
        <v>1972</v>
      </c>
      <c r="X537" t="s">
        <v>1993</v>
      </c>
      <c r="Y537">
        <v>2287.36</v>
      </c>
      <c r="Z537" t="s">
        <v>2006</v>
      </c>
      <c r="AA537" t="s">
        <v>2013</v>
      </c>
      <c r="AC537" t="s">
        <v>2468</v>
      </c>
      <c r="AD537" t="s">
        <v>2899</v>
      </c>
      <c r="AE537">
        <v>37</v>
      </c>
      <c r="AF537" t="s">
        <v>2902</v>
      </c>
      <c r="AG537" t="s">
        <v>1754</v>
      </c>
      <c r="AH537">
        <v>9</v>
      </c>
      <c r="AJ537">
        <v>6</v>
      </c>
      <c r="AK537">
        <v>4</v>
      </c>
      <c r="AL537">
        <v>151.75</v>
      </c>
      <c r="AO537" t="s">
        <v>2927</v>
      </c>
      <c r="AP537">
        <v>77420.39999999999</v>
      </c>
      <c r="AV537">
        <v>2.8</v>
      </c>
      <c r="AW537" t="s">
        <v>3030</v>
      </c>
      <c r="AX537" t="s">
        <v>3047</v>
      </c>
    </row>
    <row r="538" spans="1:50">
      <c r="A538" s="1">
        <f>HYPERLINK("https://lsnyc.legalserver.org/matter/dynamic-profile/view/1879141","18-1879141")</f>
        <v>0</v>
      </c>
      <c r="B538" t="s">
        <v>50</v>
      </c>
      <c r="C538" t="s">
        <v>63</v>
      </c>
      <c r="D538" t="s">
        <v>163</v>
      </c>
      <c r="E538" t="s">
        <v>250</v>
      </c>
      <c r="G538" t="s">
        <v>427</v>
      </c>
      <c r="H538" t="s">
        <v>840</v>
      </c>
      <c r="I538" t="s">
        <v>1473</v>
      </c>
      <c r="J538" t="s">
        <v>1640</v>
      </c>
      <c r="K538" t="s">
        <v>1641</v>
      </c>
      <c r="L538">
        <v>10452</v>
      </c>
      <c r="M538" t="s">
        <v>1670</v>
      </c>
      <c r="Q538" t="s">
        <v>1936</v>
      </c>
      <c r="R538" t="s">
        <v>1958</v>
      </c>
      <c r="T538" t="s">
        <v>1671</v>
      </c>
      <c r="V538" t="s">
        <v>1972</v>
      </c>
      <c r="X538" t="s">
        <v>2005</v>
      </c>
      <c r="Y538">
        <v>1225</v>
      </c>
      <c r="Z538" t="s">
        <v>2006</v>
      </c>
      <c r="AC538" t="s">
        <v>2469</v>
      </c>
      <c r="AD538" t="s">
        <v>2900</v>
      </c>
      <c r="AE538">
        <v>109</v>
      </c>
      <c r="AF538" t="s">
        <v>2902</v>
      </c>
      <c r="AG538" t="s">
        <v>1754</v>
      </c>
      <c r="AH538">
        <v>2</v>
      </c>
      <c r="AJ538">
        <v>1</v>
      </c>
      <c r="AK538">
        <v>1</v>
      </c>
      <c r="AL538">
        <v>63.18</v>
      </c>
      <c r="AO538" t="s">
        <v>2927</v>
      </c>
      <c r="AP538">
        <v>10400</v>
      </c>
      <c r="AQ538" t="s">
        <v>2975</v>
      </c>
      <c r="AV538">
        <v>0.5</v>
      </c>
      <c r="AW538" t="s">
        <v>250</v>
      </c>
      <c r="AX538" t="s">
        <v>3043</v>
      </c>
    </row>
    <row r="539" spans="1:50">
      <c r="A539" s="1">
        <f>HYPERLINK("https://lsnyc.legalserver.org/matter/dynamic-profile/view/1871411","18-1871411")</f>
        <v>0</v>
      </c>
      <c r="B539" t="s">
        <v>50</v>
      </c>
      <c r="C539" t="s">
        <v>115</v>
      </c>
      <c r="D539" t="s">
        <v>164</v>
      </c>
      <c r="E539" t="s">
        <v>363</v>
      </c>
      <c r="F539" t="s">
        <v>359</v>
      </c>
      <c r="G539" t="s">
        <v>766</v>
      </c>
      <c r="H539" t="s">
        <v>843</v>
      </c>
      <c r="I539" t="s">
        <v>1379</v>
      </c>
      <c r="J539" t="s">
        <v>1502</v>
      </c>
      <c r="K539" t="s">
        <v>1641</v>
      </c>
      <c r="L539">
        <v>10468</v>
      </c>
      <c r="M539" t="s">
        <v>1670</v>
      </c>
      <c r="Q539" t="s">
        <v>1939</v>
      </c>
      <c r="R539" t="s">
        <v>1958</v>
      </c>
      <c r="S539" t="s">
        <v>1965</v>
      </c>
      <c r="T539" t="s">
        <v>1670</v>
      </c>
      <c r="V539" t="s">
        <v>1972</v>
      </c>
      <c r="X539" t="s">
        <v>363</v>
      </c>
      <c r="Y539">
        <v>1440.08</v>
      </c>
      <c r="Z539" t="s">
        <v>2006</v>
      </c>
      <c r="AA539" t="s">
        <v>2015</v>
      </c>
      <c r="AB539" t="s">
        <v>2029</v>
      </c>
      <c r="AC539" t="s">
        <v>2470</v>
      </c>
      <c r="AD539" t="s">
        <v>2901</v>
      </c>
      <c r="AE539">
        <v>58</v>
      </c>
      <c r="AF539" t="s">
        <v>2904</v>
      </c>
      <c r="AG539" t="s">
        <v>1754</v>
      </c>
      <c r="AH539">
        <v>2</v>
      </c>
      <c r="AJ539">
        <v>1</v>
      </c>
      <c r="AK539">
        <v>1</v>
      </c>
      <c r="AL539">
        <v>109.36</v>
      </c>
      <c r="AO539" t="s">
        <v>2927</v>
      </c>
      <c r="AP539">
        <v>18000</v>
      </c>
      <c r="AV539">
        <v>0.7</v>
      </c>
      <c r="AW539" t="s">
        <v>395</v>
      </c>
      <c r="AX539" t="s">
        <v>3046</v>
      </c>
    </row>
    <row r="540" spans="1:50">
      <c r="A540" s="1">
        <f>HYPERLINK("https://lsnyc.legalserver.org/matter/dynamic-profile/view/1871413","18-1871413")</f>
        <v>0</v>
      </c>
      <c r="B540" t="s">
        <v>50</v>
      </c>
      <c r="C540" t="s">
        <v>57</v>
      </c>
      <c r="D540" t="s">
        <v>163</v>
      </c>
      <c r="E540" t="s">
        <v>363</v>
      </c>
      <c r="G540" t="s">
        <v>766</v>
      </c>
      <c r="H540" t="s">
        <v>843</v>
      </c>
      <c r="I540" t="s">
        <v>1379</v>
      </c>
      <c r="J540" t="s">
        <v>1502</v>
      </c>
      <c r="K540" t="s">
        <v>1641</v>
      </c>
      <c r="L540">
        <v>10468</v>
      </c>
      <c r="M540" t="s">
        <v>1670</v>
      </c>
      <c r="Q540" t="s">
        <v>1949</v>
      </c>
      <c r="R540" t="s">
        <v>1959</v>
      </c>
      <c r="T540" t="s">
        <v>1670</v>
      </c>
      <c r="V540" t="s">
        <v>1972</v>
      </c>
      <c r="X540" t="s">
        <v>1992</v>
      </c>
      <c r="Y540">
        <v>1440.08</v>
      </c>
      <c r="Z540" t="s">
        <v>2006</v>
      </c>
      <c r="AA540" t="s">
        <v>2015</v>
      </c>
      <c r="AC540" t="s">
        <v>2470</v>
      </c>
      <c r="AD540" t="s">
        <v>2901</v>
      </c>
      <c r="AE540">
        <v>58</v>
      </c>
      <c r="AF540" t="s">
        <v>2904</v>
      </c>
      <c r="AG540" t="s">
        <v>1754</v>
      </c>
      <c r="AH540">
        <v>2</v>
      </c>
      <c r="AJ540">
        <v>1</v>
      </c>
      <c r="AK540">
        <v>1</v>
      </c>
      <c r="AL540">
        <v>109.36</v>
      </c>
      <c r="AO540" t="s">
        <v>2927</v>
      </c>
      <c r="AP540">
        <v>18000</v>
      </c>
      <c r="AV540">
        <v>0.5</v>
      </c>
      <c r="AW540" t="s">
        <v>363</v>
      </c>
      <c r="AX540" t="s">
        <v>3046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458"/>
  <sheetViews>
    <sheetView workbookViewId="0"/>
  </sheetViews>
  <sheetFormatPr defaultRowHeight="15"/>
  <cols>
    <col min="1" max="1" width="20.7109375" style="1" customWidth="1"/>
  </cols>
  <sheetData>
    <row r="1" spans="1:50">
      <c r="A1" s="2" t="s">
        <v>3087</v>
      </c>
      <c r="B1" s="2" t="s">
        <v>3088</v>
      </c>
      <c r="C1" s="2" t="s">
        <v>3089</v>
      </c>
      <c r="D1" s="2" t="s">
        <v>3090</v>
      </c>
      <c r="E1" s="2" t="s">
        <v>3091</v>
      </c>
      <c r="F1" s="2" t="s">
        <v>3092</v>
      </c>
      <c r="G1" s="2" t="s">
        <v>3093</v>
      </c>
      <c r="H1" s="2" t="s">
        <v>3094</v>
      </c>
      <c r="I1" s="2" t="s">
        <v>3095</v>
      </c>
      <c r="J1" s="2" t="s">
        <v>3096</v>
      </c>
      <c r="K1" s="2" t="s">
        <v>3097</v>
      </c>
      <c r="L1" s="2" t="s">
        <v>3098</v>
      </c>
      <c r="M1" s="2" t="s">
        <v>3099</v>
      </c>
      <c r="N1" s="2" t="s">
        <v>3100</v>
      </c>
      <c r="O1" s="2" t="s">
        <v>3101</v>
      </c>
      <c r="P1" s="2" t="s">
        <v>3102</v>
      </c>
      <c r="Q1" s="2" t="s">
        <v>3103</v>
      </c>
      <c r="R1" s="2" t="s">
        <v>3104</v>
      </c>
      <c r="S1" s="2" t="s">
        <v>3105</v>
      </c>
      <c r="T1" s="2" t="s">
        <v>3106</v>
      </c>
      <c r="U1" s="2" t="s">
        <v>3107</v>
      </c>
      <c r="V1" s="2" t="s">
        <v>3108</v>
      </c>
      <c r="W1" s="2" t="s">
        <v>3109</v>
      </c>
      <c r="X1" s="2" t="s">
        <v>3110</v>
      </c>
      <c r="Y1" s="2" t="s">
        <v>3111</v>
      </c>
      <c r="Z1" s="2" t="s">
        <v>3112</v>
      </c>
      <c r="AA1" s="2" t="s">
        <v>3113</v>
      </c>
      <c r="AB1" s="2" t="s">
        <v>3114</v>
      </c>
      <c r="AC1" s="2" t="s">
        <v>3115</v>
      </c>
      <c r="AD1" s="2" t="s">
        <v>3116</v>
      </c>
      <c r="AE1" s="2" t="s">
        <v>3117</v>
      </c>
      <c r="AF1" s="2" t="s">
        <v>3118</v>
      </c>
      <c r="AG1" s="2" t="s">
        <v>3119</v>
      </c>
      <c r="AH1" s="2" t="s">
        <v>3120</v>
      </c>
      <c r="AI1" s="2" t="s">
        <v>3121</v>
      </c>
      <c r="AJ1" s="2" t="s">
        <v>3122</v>
      </c>
      <c r="AK1" s="2" t="s">
        <v>3123</v>
      </c>
      <c r="AL1" s="2" t="s">
        <v>3124</v>
      </c>
      <c r="AM1" s="2" t="s">
        <v>3125</v>
      </c>
      <c r="AN1" s="2" t="s">
        <v>3126</v>
      </c>
      <c r="AO1" s="2" t="s">
        <v>3127</v>
      </c>
      <c r="AP1" s="2" t="s">
        <v>3128</v>
      </c>
      <c r="AQ1" s="2" t="s">
        <v>3129</v>
      </c>
      <c r="AR1" s="2" t="s">
        <v>3130</v>
      </c>
      <c r="AS1" s="2" t="s">
        <v>3131</v>
      </c>
      <c r="AT1" s="2" t="s">
        <v>3132</v>
      </c>
      <c r="AU1" s="2" t="s">
        <v>3133</v>
      </c>
      <c r="AV1" s="2" t="s">
        <v>3134</v>
      </c>
      <c r="AW1" s="2" t="s">
        <v>3135</v>
      </c>
      <c r="AX1" s="2" t="s">
        <v>3136</v>
      </c>
    </row>
    <row r="3" spans="1:50">
      <c r="A3" s="1" t="s">
        <v>69</v>
      </c>
      <c r="B3" t="s">
        <v>164</v>
      </c>
      <c r="C3" t="s">
        <v>3213</v>
      </c>
      <c r="D3" t="s">
        <v>342</v>
      </c>
      <c r="E3" t="s">
        <v>385</v>
      </c>
      <c r="F3" t="s">
        <v>6777</v>
      </c>
      <c r="G3" t="s">
        <v>7867</v>
      </c>
      <c r="H3" t="s">
        <v>9367</v>
      </c>
      <c r="I3" t="s">
        <v>1562</v>
      </c>
      <c r="J3" t="s">
        <v>1644</v>
      </c>
      <c r="K3">
        <v>11225</v>
      </c>
      <c r="L3" t="s">
        <v>1672</v>
      </c>
      <c r="M3" t="s">
        <v>1672</v>
      </c>
      <c r="Q3" t="s">
        <v>1965</v>
      </c>
      <c r="R3" t="s">
        <v>50</v>
      </c>
      <c r="U3" t="s">
        <v>1972</v>
      </c>
      <c r="W3" t="s">
        <v>342</v>
      </c>
      <c r="X3" t="s">
        <v>13051</v>
      </c>
      <c r="Y3" t="s">
        <v>2009</v>
      </c>
      <c r="AA3" t="s">
        <v>2029</v>
      </c>
      <c r="AB3" t="s">
        <v>13065</v>
      </c>
      <c r="AD3" t="s">
        <v>15700</v>
      </c>
      <c r="AE3" t="s">
        <v>13051</v>
      </c>
      <c r="AH3" t="s">
        <v>13051</v>
      </c>
      <c r="AI3">
        <v>1</v>
      </c>
      <c r="AJ3">
        <v>3</v>
      </c>
      <c r="AK3">
        <v>81.27</v>
      </c>
      <c r="AN3" t="s">
        <v>2926</v>
      </c>
      <c r="AO3">
        <v>20400</v>
      </c>
      <c r="AU3">
        <v>0.5</v>
      </c>
      <c r="AV3" t="s">
        <v>385</v>
      </c>
      <c r="AW3" t="s">
        <v>69</v>
      </c>
    </row>
    <row r="4" spans="1:50">
      <c r="A4" s="1" t="s">
        <v>120</v>
      </c>
      <c r="B4" t="s">
        <v>164</v>
      </c>
      <c r="C4" t="s">
        <v>3214</v>
      </c>
      <c r="D4" t="s">
        <v>239</v>
      </c>
      <c r="E4" t="s">
        <v>401</v>
      </c>
      <c r="F4" t="s">
        <v>6778</v>
      </c>
      <c r="G4" t="s">
        <v>780</v>
      </c>
      <c r="H4" t="s">
        <v>1295</v>
      </c>
      <c r="I4" t="s">
        <v>10934</v>
      </c>
      <c r="J4" t="s">
        <v>1644</v>
      </c>
      <c r="K4">
        <v>11233</v>
      </c>
      <c r="L4" t="s">
        <v>1670</v>
      </c>
      <c r="M4" t="s">
        <v>1671</v>
      </c>
      <c r="N4" t="s">
        <v>11829</v>
      </c>
      <c r="O4" t="s">
        <v>1950</v>
      </c>
      <c r="Q4" t="s">
        <v>1965</v>
      </c>
      <c r="R4" t="s">
        <v>50</v>
      </c>
      <c r="S4" t="s">
        <v>1671</v>
      </c>
      <c r="U4" t="s">
        <v>1974</v>
      </c>
      <c r="V4" t="s">
        <v>1984</v>
      </c>
      <c r="W4" t="s">
        <v>3031</v>
      </c>
      <c r="X4">
        <v>1090</v>
      </c>
      <c r="Y4" t="s">
        <v>2009</v>
      </c>
      <c r="Z4" t="s">
        <v>2014</v>
      </c>
      <c r="AA4" t="s">
        <v>13058</v>
      </c>
      <c r="AB4" t="s">
        <v>13066</v>
      </c>
      <c r="AC4">
        <v>176531211</v>
      </c>
      <c r="AD4" t="s">
        <v>15701</v>
      </c>
      <c r="AE4">
        <v>101</v>
      </c>
      <c r="AF4" t="s">
        <v>2904</v>
      </c>
      <c r="AH4">
        <v>2</v>
      </c>
      <c r="AI4">
        <v>4</v>
      </c>
      <c r="AJ4">
        <v>0</v>
      </c>
      <c r="AK4">
        <v>139.81</v>
      </c>
      <c r="AN4" t="s">
        <v>2927</v>
      </c>
      <c r="AO4">
        <v>36000</v>
      </c>
      <c r="AU4">
        <v>1.5</v>
      </c>
      <c r="AV4" t="s">
        <v>401</v>
      </c>
      <c r="AW4" t="s">
        <v>3069</v>
      </c>
      <c r="AX4" t="s">
        <v>18685</v>
      </c>
    </row>
    <row r="5" spans="1:50">
      <c r="A5" s="1" t="s">
        <v>69</v>
      </c>
      <c r="B5" t="s">
        <v>164</v>
      </c>
      <c r="C5" t="s">
        <v>3215</v>
      </c>
      <c r="D5" t="s">
        <v>246</v>
      </c>
      <c r="E5" t="s">
        <v>385</v>
      </c>
      <c r="F5" t="s">
        <v>6779</v>
      </c>
      <c r="G5" t="s">
        <v>7868</v>
      </c>
      <c r="H5" t="s">
        <v>9368</v>
      </c>
      <c r="I5" t="s">
        <v>10935</v>
      </c>
      <c r="J5" t="s">
        <v>1644</v>
      </c>
      <c r="K5">
        <v>11206</v>
      </c>
      <c r="L5" t="s">
        <v>1672</v>
      </c>
      <c r="M5" t="s">
        <v>1672</v>
      </c>
      <c r="N5" t="s">
        <v>11830</v>
      </c>
      <c r="Q5" t="s">
        <v>1965</v>
      </c>
      <c r="R5" t="s">
        <v>50</v>
      </c>
      <c r="U5" t="s">
        <v>1972</v>
      </c>
      <c r="W5" t="s">
        <v>246</v>
      </c>
      <c r="X5" t="s">
        <v>13051</v>
      </c>
      <c r="Y5" t="s">
        <v>2009</v>
      </c>
      <c r="AA5" t="s">
        <v>2029</v>
      </c>
      <c r="AB5" t="s">
        <v>13067</v>
      </c>
      <c r="AD5" t="s">
        <v>15702</v>
      </c>
      <c r="AE5" t="s">
        <v>13051</v>
      </c>
      <c r="AH5" t="s">
        <v>13051</v>
      </c>
      <c r="AI5">
        <v>1</v>
      </c>
      <c r="AJ5">
        <v>0</v>
      </c>
      <c r="AK5">
        <v>148.27</v>
      </c>
      <c r="AN5" t="s">
        <v>2926</v>
      </c>
      <c r="AO5">
        <v>18000</v>
      </c>
      <c r="AU5">
        <v>3.2</v>
      </c>
      <c r="AV5" t="s">
        <v>385</v>
      </c>
      <c r="AW5" t="s">
        <v>69</v>
      </c>
    </row>
    <row r="6" spans="1:50">
      <c r="A6" s="1" t="s">
        <v>69</v>
      </c>
      <c r="B6" t="s">
        <v>164</v>
      </c>
      <c r="C6" t="s">
        <v>3216</v>
      </c>
      <c r="D6" t="s">
        <v>181</v>
      </c>
      <c r="E6" t="s">
        <v>220</v>
      </c>
      <c r="F6" t="s">
        <v>6780</v>
      </c>
      <c r="G6" t="s">
        <v>6976</v>
      </c>
      <c r="H6" t="s">
        <v>9369</v>
      </c>
      <c r="I6" t="s">
        <v>1485</v>
      </c>
      <c r="J6" t="s">
        <v>1644</v>
      </c>
      <c r="K6">
        <v>11217</v>
      </c>
      <c r="L6" t="s">
        <v>1672</v>
      </c>
      <c r="M6" t="s">
        <v>1672</v>
      </c>
      <c r="Q6" t="s">
        <v>1965</v>
      </c>
      <c r="R6" t="s">
        <v>50</v>
      </c>
      <c r="U6" t="s">
        <v>1972</v>
      </c>
      <c r="W6" t="s">
        <v>181</v>
      </c>
      <c r="X6" t="s">
        <v>13051</v>
      </c>
      <c r="Y6" t="s">
        <v>2009</v>
      </c>
      <c r="AA6" t="s">
        <v>2029</v>
      </c>
      <c r="AB6" t="s">
        <v>13068</v>
      </c>
      <c r="AD6" t="s">
        <v>15703</v>
      </c>
      <c r="AE6" t="s">
        <v>13051</v>
      </c>
      <c r="AH6" t="s">
        <v>13051</v>
      </c>
      <c r="AI6">
        <v>2</v>
      </c>
      <c r="AJ6">
        <v>4</v>
      </c>
      <c r="AK6">
        <v>245.74</v>
      </c>
      <c r="AN6" t="s">
        <v>2926</v>
      </c>
      <c r="AO6">
        <v>85000</v>
      </c>
      <c r="AU6">
        <v>3.1</v>
      </c>
      <c r="AV6" t="s">
        <v>220</v>
      </c>
      <c r="AW6" t="s">
        <v>69</v>
      </c>
    </row>
    <row r="7" spans="1:50">
      <c r="A7" s="1" t="s">
        <v>69</v>
      </c>
      <c r="B7" t="s">
        <v>164</v>
      </c>
      <c r="C7" t="s">
        <v>3217</v>
      </c>
      <c r="D7" t="s">
        <v>217</v>
      </c>
      <c r="E7" t="s">
        <v>400</v>
      </c>
      <c r="F7" t="s">
        <v>6781</v>
      </c>
      <c r="G7" t="s">
        <v>7869</v>
      </c>
      <c r="H7" t="s">
        <v>9370</v>
      </c>
      <c r="I7" t="s">
        <v>10936</v>
      </c>
      <c r="J7" t="s">
        <v>1644</v>
      </c>
      <c r="K7">
        <v>11209</v>
      </c>
      <c r="L7" t="s">
        <v>1672</v>
      </c>
      <c r="M7" t="s">
        <v>1672</v>
      </c>
      <c r="P7" t="s">
        <v>12752</v>
      </c>
      <c r="Q7" t="s">
        <v>1968</v>
      </c>
      <c r="R7" t="s">
        <v>50</v>
      </c>
      <c r="U7" t="s">
        <v>1974</v>
      </c>
      <c r="W7" t="s">
        <v>217</v>
      </c>
      <c r="X7" t="s">
        <v>13051</v>
      </c>
      <c r="Y7" t="s">
        <v>2009</v>
      </c>
      <c r="AA7" t="s">
        <v>2039</v>
      </c>
      <c r="AB7" t="s">
        <v>13069</v>
      </c>
      <c r="AD7" t="s">
        <v>15704</v>
      </c>
      <c r="AE7" t="s">
        <v>13051</v>
      </c>
      <c r="AH7" t="s">
        <v>13051</v>
      </c>
      <c r="AI7">
        <v>1</v>
      </c>
      <c r="AJ7">
        <v>1</v>
      </c>
      <c r="AK7">
        <v>145.48</v>
      </c>
      <c r="AN7" t="s">
        <v>2926</v>
      </c>
      <c r="AO7">
        <v>24600</v>
      </c>
      <c r="AU7">
        <v>17.5</v>
      </c>
      <c r="AV7" t="s">
        <v>400</v>
      </c>
      <c r="AW7" t="s">
        <v>69</v>
      </c>
    </row>
    <row r="8" spans="1:50">
      <c r="A8" s="1" t="s">
        <v>69</v>
      </c>
      <c r="B8" t="s">
        <v>163</v>
      </c>
      <c r="C8" t="s">
        <v>3218</v>
      </c>
      <c r="D8" t="s">
        <v>253</v>
      </c>
      <c r="F8" t="s">
        <v>577</v>
      </c>
      <c r="G8" t="s">
        <v>936</v>
      </c>
      <c r="H8" t="s">
        <v>1276</v>
      </c>
      <c r="I8">
        <v>32</v>
      </c>
      <c r="J8" t="s">
        <v>1644</v>
      </c>
      <c r="K8">
        <v>11238</v>
      </c>
      <c r="L8" t="s">
        <v>1672</v>
      </c>
      <c r="M8" t="s">
        <v>1672</v>
      </c>
      <c r="R8" t="s">
        <v>50</v>
      </c>
      <c r="U8" t="s">
        <v>1974</v>
      </c>
      <c r="W8" t="s">
        <v>253</v>
      </c>
      <c r="X8" t="s">
        <v>13051</v>
      </c>
      <c r="Y8" t="s">
        <v>2009</v>
      </c>
      <c r="AB8" t="s">
        <v>2236</v>
      </c>
      <c r="AD8" t="s">
        <v>2662</v>
      </c>
      <c r="AE8" t="s">
        <v>13051</v>
      </c>
      <c r="AH8" t="s">
        <v>13051</v>
      </c>
      <c r="AI8">
        <v>1</v>
      </c>
      <c r="AJ8">
        <v>2</v>
      </c>
      <c r="AK8">
        <v>0</v>
      </c>
      <c r="AN8" t="s">
        <v>2926</v>
      </c>
      <c r="AO8" t="s">
        <v>13051</v>
      </c>
      <c r="AU8">
        <v>13.7</v>
      </c>
      <c r="AV8" t="s">
        <v>328</v>
      </c>
      <c r="AW8" t="s">
        <v>69</v>
      </c>
    </row>
    <row r="9" spans="1:50">
      <c r="A9" s="1" t="s">
        <v>124</v>
      </c>
      <c r="B9" t="s">
        <v>163</v>
      </c>
      <c r="C9" t="s">
        <v>3219</v>
      </c>
      <c r="D9" t="s">
        <v>183</v>
      </c>
      <c r="F9" t="s">
        <v>6782</v>
      </c>
      <c r="G9" t="s">
        <v>7870</v>
      </c>
      <c r="H9" t="s">
        <v>9371</v>
      </c>
      <c r="I9" t="s">
        <v>1622</v>
      </c>
      <c r="J9" t="s">
        <v>1644</v>
      </c>
      <c r="K9">
        <v>11217</v>
      </c>
      <c r="L9" t="s">
        <v>1672</v>
      </c>
      <c r="M9" t="s">
        <v>1672</v>
      </c>
      <c r="O9" t="s">
        <v>1936</v>
      </c>
      <c r="R9" t="s">
        <v>50</v>
      </c>
      <c r="U9" t="s">
        <v>1972</v>
      </c>
      <c r="W9" t="s">
        <v>183</v>
      </c>
      <c r="X9" t="s">
        <v>13051</v>
      </c>
      <c r="Y9" t="s">
        <v>2009</v>
      </c>
      <c r="AB9" t="s">
        <v>13070</v>
      </c>
      <c r="AD9" t="s">
        <v>15705</v>
      </c>
      <c r="AE9" t="s">
        <v>13051</v>
      </c>
      <c r="AF9" t="s">
        <v>2902</v>
      </c>
      <c r="AH9" t="s">
        <v>13051</v>
      </c>
      <c r="AI9">
        <v>1</v>
      </c>
      <c r="AJ9">
        <v>0</v>
      </c>
      <c r="AK9">
        <v>0</v>
      </c>
      <c r="AN9" t="s">
        <v>2926</v>
      </c>
      <c r="AO9" t="s">
        <v>13051</v>
      </c>
      <c r="AU9">
        <v>10.5</v>
      </c>
      <c r="AV9" t="s">
        <v>230</v>
      </c>
      <c r="AW9" t="s">
        <v>69</v>
      </c>
    </row>
    <row r="10" spans="1:50">
      <c r="A10" s="1" t="s">
        <v>124</v>
      </c>
      <c r="B10" t="s">
        <v>163</v>
      </c>
      <c r="C10" t="s">
        <v>3220</v>
      </c>
      <c r="D10" t="s">
        <v>295</v>
      </c>
      <c r="F10" t="s">
        <v>6782</v>
      </c>
      <c r="G10" t="s">
        <v>7870</v>
      </c>
      <c r="H10" t="s">
        <v>9371</v>
      </c>
      <c r="I10" t="s">
        <v>1622</v>
      </c>
      <c r="J10" t="s">
        <v>1644</v>
      </c>
      <c r="K10">
        <v>11217</v>
      </c>
      <c r="L10" t="s">
        <v>1672</v>
      </c>
      <c r="M10" t="s">
        <v>1672</v>
      </c>
      <c r="R10" t="s">
        <v>50</v>
      </c>
      <c r="U10" t="s">
        <v>1972</v>
      </c>
      <c r="W10" t="s">
        <v>295</v>
      </c>
      <c r="X10">
        <v>869.85</v>
      </c>
      <c r="Y10" t="s">
        <v>2009</v>
      </c>
      <c r="AB10" t="s">
        <v>13070</v>
      </c>
      <c r="AD10" t="s">
        <v>15705</v>
      </c>
      <c r="AE10" t="s">
        <v>13051</v>
      </c>
      <c r="AH10">
        <v>10</v>
      </c>
      <c r="AI10">
        <v>1</v>
      </c>
      <c r="AJ10">
        <v>0</v>
      </c>
      <c r="AK10">
        <v>0</v>
      </c>
      <c r="AN10" t="s">
        <v>2926</v>
      </c>
      <c r="AO10" t="s">
        <v>13051</v>
      </c>
      <c r="AU10">
        <v>4.6</v>
      </c>
      <c r="AV10" t="s">
        <v>289</v>
      </c>
      <c r="AW10" t="s">
        <v>69</v>
      </c>
    </row>
    <row r="11" spans="1:50">
      <c r="A11" s="1" t="s">
        <v>124</v>
      </c>
      <c r="B11" t="s">
        <v>163</v>
      </c>
      <c r="C11" t="s">
        <v>3221</v>
      </c>
      <c r="D11" t="s">
        <v>295</v>
      </c>
      <c r="F11" t="s">
        <v>6783</v>
      </c>
      <c r="G11" t="s">
        <v>7871</v>
      </c>
      <c r="H11" t="s">
        <v>9371</v>
      </c>
      <c r="I11" t="s">
        <v>1544</v>
      </c>
      <c r="J11" t="s">
        <v>1644</v>
      </c>
      <c r="K11">
        <v>11217</v>
      </c>
      <c r="L11" t="s">
        <v>1672</v>
      </c>
      <c r="M11" t="s">
        <v>1672</v>
      </c>
      <c r="R11" t="s">
        <v>50</v>
      </c>
      <c r="U11" t="s">
        <v>1972</v>
      </c>
      <c r="W11" t="s">
        <v>295</v>
      </c>
      <c r="X11">
        <v>1133.28</v>
      </c>
      <c r="Y11" t="s">
        <v>2009</v>
      </c>
      <c r="AB11" t="s">
        <v>13071</v>
      </c>
      <c r="AD11" t="s">
        <v>15706</v>
      </c>
      <c r="AE11" t="s">
        <v>13051</v>
      </c>
      <c r="AH11">
        <v>4</v>
      </c>
      <c r="AI11">
        <v>1</v>
      </c>
      <c r="AJ11">
        <v>0</v>
      </c>
      <c r="AK11">
        <v>0</v>
      </c>
      <c r="AN11" t="s">
        <v>2926</v>
      </c>
      <c r="AO11" t="s">
        <v>13051</v>
      </c>
      <c r="AU11">
        <v>2.9</v>
      </c>
      <c r="AV11" t="s">
        <v>171</v>
      </c>
      <c r="AW11" t="s">
        <v>69</v>
      </c>
    </row>
    <row r="12" spans="1:50">
      <c r="A12" s="1" t="s">
        <v>104</v>
      </c>
      <c r="B12" t="s">
        <v>164</v>
      </c>
      <c r="C12" t="s">
        <v>3222</v>
      </c>
      <c r="D12" t="s">
        <v>385</v>
      </c>
      <c r="E12" t="s">
        <v>397</v>
      </c>
      <c r="F12" t="s">
        <v>6784</v>
      </c>
      <c r="G12" t="s">
        <v>7872</v>
      </c>
      <c r="H12" t="s">
        <v>9372</v>
      </c>
      <c r="J12" t="s">
        <v>1646</v>
      </c>
      <c r="K12">
        <v>10306</v>
      </c>
      <c r="L12" t="s">
        <v>1670</v>
      </c>
      <c r="M12" t="s">
        <v>1672</v>
      </c>
      <c r="N12" t="s">
        <v>11831</v>
      </c>
      <c r="O12" t="s">
        <v>1940</v>
      </c>
      <c r="P12" t="s">
        <v>1960</v>
      </c>
      <c r="Q12" t="s">
        <v>1969</v>
      </c>
      <c r="R12" t="s">
        <v>51</v>
      </c>
      <c r="S12" t="s">
        <v>1671</v>
      </c>
      <c r="U12" t="s">
        <v>1972</v>
      </c>
      <c r="V12" t="s">
        <v>1984</v>
      </c>
      <c r="W12" t="s">
        <v>385</v>
      </c>
      <c r="X12">
        <v>2200</v>
      </c>
      <c r="Y12" t="s">
        <v>2010</v>
      </c>
      <c r="Z12" t="s">
        <v>2012</v>
      </c>
      <c r="AA12" t="s">
        <v>2033</v>
      </c>
      <c r="AB12" t="s">
        <v>13072</v>
      </c>
      <c r="AE12">
        <v>2</v>
      </c>
      <c r="AF12" t="s">
        <v>2903</v>
      </c>
      <c r="AG12" t="s">
        <v>1754</v>
      </c>
      <c r="AH12">
        <v>2</v>
      </c>
      <c r="AI12">
        <v>1</v>
      </c>
      <c r="AJ12">
        <v>1</v>
      </c>
      <c r="AK12">
        <v>266.11</v>
      </c>
      <c r="AN12" t="s">
        <v>18034</v>
      </c>
      <c r="AO12">
        <v>45000</v>
      </c>
      <c r="AR12" t="s">
        <v>2017</v>
      </c>
      <c r="AU12">
        <v>6</v>
      </c>
      <c r="AV12" t="s">
        <v>397</v>
      </c>
      <c r="AW12" t="s">
        <v>104</v>
      </c>
      <c r="AX12" t="s">
        <v>18685</v>
      </c>
    </row>
    <row r="13" spans="1:50">
      <c r="A13" s="1" t="s">
        <v>69</v>
      </c>
      <c r="B13" t="s">
        <v>163</v>
      </c>
      <c r="C13" t="s">
        <v>3223</v>
      </c>
      <c r="D13" t="s">
        <v>253</v>
      </c>
      <c r="F13" t="s">
        <v>6785</v>
      </c>
      <c r="G13" t="s">
        <v>7873</v>
      </c>
      <c r="H13" t="s">
        <v>9373</v>
      </c>
      <c r="I13" t="s">
        <v>10937</v>
      </c>
      <c r="J13" t="s">
        <v>1644</v>
      </c>
      <c r="K13">
        <v>11213</v>
      </c>
      <c r="L13" t="s">
        <v>1672</v>
      </c>
      <c r="M13" t="s">
        <v>1672</v>
      </c>
      <c r="R13" t="s">
        <v>50</v>
      </c>
      <c r="U13" t="s">
        <v>1974</v>
      </c>
      <c r="W13" t="s">
        <v>253</v>
      </c>
      <c r="X13" t="s">
        <v>13051</v>
      </c>
      <c r="Y13" t="s">
        <v>2009</v>
      </c>
      <c r="AB13" t="s">
        <v>13073</v>
      </c>
      <c r="AC13" t="s">
        <v>15067</v>
      </c>
      <c r="AD13" t="s">
        <v>15707</v>
      </c>
      <c r="AE13" t="s">
        <v>13051</v>
      </c>
      <c r="AH13" t="s">
        <v>13051</v>
      </c>
      <c r="AI13">
        <v>1</v>
      </c>
      <c r="AJ13">
        <v>1</v>
      </c>
      <c r="AK13">
        <v>0</v>
      </c>
      <c r="AN13" t="s">
        <v>2926</v>
      </c>
      <c r="AO13" t="s">
        <v>13051</v>
      </c>
      <c r="AU13">
        <v>1.3</v>
      </c>
      <c r="AV13" t="s">
        <v>369</v>
      </c>
      <c r="AW13" t="s">
        <v>69</v>
      </c>
    </row>
    <row r="14" spans="1:50">
      <c r="A14" s="1" t="s">
        <v>69</v>
      </c>
      <c r="B14" t="s">
        <v>163</v>
      </c>
      <c r="C14" t="s">
        <v>3224</v>
      </c>
      <c r="D14" t="s">
        <v>253</v>
      </c>
      <c r="F14" t="s">
        <v>422</v>
      </c>
      <c r="G14" t="s">
        <v>7874</v>
      </c>
      <c r="H14" t="s">
        <v>9374</v>
      </c>
      <c r="I14" t="s">
        <v>10938</v>
      </c>
      <c r="J14" t="s">
        <v>1644</v>
      </c>
      <c r="K14">
        <v>11203</v>
      </c>
      <c r="L14" t="s">
        <v>1672</v>
      </c>
      <c r="M14" t="s">
        <v>1672</v>
      </c>
      <c r="R14" t="s">
        <v>50</v>
      </c>
      <c r="U14" t="s">
        <v>1974</v>
      </c>
      <c r="W14" t="s">
        <v>253</v>
      </c>
      <c r="X14" t="s">
        <v>13051</v>
      </c>
      <c r="Y14" t="s">
        <v>2009</v>
      </c>
      <c r="AB14" t="s">
        <v>13074</v>
      </c>
      <c r="AD14" t="s">
        <v>15708</v>
      </c>
      <c r="AE14" t="s">
        <v>13051</v>
      </c>
      <c r="AH14" t="s">
        <v>13051</v>
      </c>
      <c r="AI14">
        <v>1</v>
      </c>
      <c r="AJ14">
        <v>0</v>
      </c>
      <c r="AK14">
        <v>0</v>
      </c>
      <c r="AN14" t="s">
        <v>2926</v>
      </c>
      <c r="AO14" t="s">
        <v>13051</v>
      </c>
      <c r="AU14">
        <v>4.3</v>
      </c>
      <c r="AV14" t="s">
        <v>385</v>
      </c>
      <c r="AW14" t="s">
        <v>69</v>
      </c>
    </row>
    <row r="15" spans="1:50">
      <c r="A15" s="1" t="s">
        <v>69</v>
      </c>
      <c r="B15" t="s">
        <v>163</v>
      </c>
      <c r="C15" t="s">
        <v>3225</v>
      </c>
      <c r="D15" t="s">
        <v>301</v>
      </c>
      <c r="F15" t="s">
        <v>6786</v>
      </c>
      <c r="G15" t="s">
        <v>7875</v>
      </c>
      <c r="H15" t="s">
        <v>9374</v>
      </c>
      <c r="I15" t="s">
        <v>10939</v>
      </c>
      <c r="J15" t="s">
        <v>1644</v>
      </c>
      <c r="K15">
        <v>11203</v>
      </c>
      <c r="L15" t="s">
        <v>1672</v>
      </c>
      <c r="M15" t="s">
        <v>1672</v>
      </c>
      <c r="R15" t="s">
        <v>50</v>
      </c>
      <c r="U15" t="s">
        <v>1974</v>
      </c>
      <c r="W15" t="s">
        <v>301</v>
      </c>
      <c r="X15" t="s">
        <v>13051</v>
      </c>
      <c r="Y15" t="s">
        <v>2009</v>
      </c>
      <c r="AB15" t="s">
        <v>13075</v>
      </c>
      <c r="AD15" t="s">
        <v>15709</v>
      </c>
      <c r="AE15" t="s">
        <v>13051</v>
      </c>
      <c r="AH15" t="s">
        <v>13051</v>
      </c>
      <c r="AI15">
        <v>1</v>
      </c>
      <c r="AJ15">
        <v>0</v>
      </c>
      <c r="AK15">
        <v>0</v>
      </c>
      <c r="AO15" t="s">
        <v>13051</v>
      </c>
      <c r="AU15">
        <v>2</v>
      </c>
      <c r="AV15" t="s">
        <v>385</v>
      </c>
      <c r="AW15" t="s">
        <v>69</v>
      </c>
    </row>
    <row r="16" spans="1:50">
      <c r="A16" s="1" t="s">
        <v>120</v>
      </c>
      <c r="B16" t="s">
        <v>163</v>
      </c>
      <c r="C16" t="s">
        <v>3226</v>
      </c>
      <c r="D16" t="s">
        <v>303</v>
      </c>
      <c r="F16" t="s">
        <v>6787</v>
      </c>
      <c r="G16" t="s">
        <v>7876</v>
      </c>
      <c r="H16" t="s">
        <v>9375</v>
      </c>
      <c r="I16">
        <v>226</v>
      </c>
      <c r="J16" t="s">
        <v>1644</v>
      </c>
      <c r="K16">
        <v>11233</v>
      </c>
      <c r="L16" t="s">
        <v>1670</v>
      </c>
      <c r="M16" t="s">
        <v>1670</v>
      </c>
      <c r="N16" t="s">
        <v>11832</v>
      </c>
      <c r="O16" t="s">
        <v>1936</v>
      </c>
      <c r="R16" t="s">
        <v>50</v>
      </c>
      <c r="S16" t="s">
        <v>1671</v>
      </c>
      <c r="U16" t="s">
        <v>1974</v>
      </c>
      <c r="W16" t="s">
        <v>217</v>
      </c>
      <c r="X16">
        <v>1208</v>
      </c>
      <c r="Y16" t="s">
        <v>2009</v>
      </c>
      <c r="AB16" t="s">
        <v>13076</v>
      </c>
      <c r="AC16" t="s">
        <v>15068</v>
      </c>
      <c r="AE16">
        <v>137</v>
      </c>
      <c r="AF16" t="s">
        <v>2902</v>
      </c>
      <c r="AG16" t="s">
        <v>2918</v>
      </c>
      <c r="AH16">
        <v>1</v>
      </c>
      <c r="AI16">
        <v>1</v>
      </c>
      <c r="AJ16">
        <v>1</v>
      </c>
      <c r="AK16">
        <v>12.99</v>
      </c>
      <c r="AN16" t="s">
        <v>2926</v>
      </c>
      <c r="AO16">
        <v>2196</v>
      </c>
      <c r="AU16">
        <v>6.25</v>
      </c>
      <c r="AV16" t="s">
        <v>220</v>
      </c>
      <c r="AW16" t="s">
        <v>3059</v>
      </c>
    </row>
    <row r="17" spans="1:50">
      <c r="A17" s="1" t="s">
        <v>107</v>
      </c>
      <c r="B17" t="s">
        <v>163</v>
      </c>
      <c r="C17" t="s">
        <v>3227</v>
      </c>
      <c r="D17" t="s">
        <v>267</v>
      </c>
      <c r="F17" t="s">
        <v>431</v>
      </c>
      <c r="G17" t="s">
        <v>1098</v>
      </c>
      <c r="H17" t="s">
        <v>9376</v>
      </c>
      <c r="I17" t="s">
        <v>10940</v>
      </c>
      <c r="J17" t="s">
        <v>1644</v>
      </c>
      <c r="K17">
        <v>11208</v>
      </c>
      <c r="L17" t="s">
        <v>1670</v>
      </c>
      <c r="M17" t="s">
        <v>1670</v>
      </c>
      <c r="N17" t="s">
        <v>11833</v>
      </c>
      <c r="O17" t="s">
        <v>1936</v>
      </c>
      <c r="R17" t="s">
        <v>50</v>
      </c>
      <c r="S17" t="s">
        <v>1671</v>
      </c>
      <c r="U17" t="s">
        <v>1972</v>
      </c>
      <c r="V17" t="s">
        <v>1984</v>
      </c>
      <c r="W17" t="s">
        <v>266</v>
      </c>
      <c r="X17">
        <v>1200</v>
      </c>
      <c r="Y17" t="s">
        <v>2009</v>
      </c>
      <c r="Z17" t="s">
        <v>2011</v>
      </c>
      <c r="AB17" t="s">
        <v>13077</v>
      </c>
      <c r="AC17" t="s">
        <v>15069</v>
      </c>
      <c r="AD17" t="s">
        <v>15710</v>
      </c>
      <c r="AE17">
        <v>56</v>
      </c>
      <c r="AG17" t="s">
        <v>2017</v>
      </c>
      <c r="AH17">
        <v>1</v>
      </c>
      <c r="AI17">
        <v>1</v>
      </c>
      <c r="AJ17">
        <v>0</v>
      </c>
      <c r="AK17">
        <v>19.77</v>
      </c>
      <c r="AN17" t="s">
        <v>2927</v>
      </c>
      <c r="AO17">
        <v>2400</v>
      </c>
      <c r="AU17">
        <v>0.8</v>
      </c>
      <c r="AV17" t="s">
        <v>347</v>
      </c>
      <c r="AW17" t="s">
        <v>3060</v>
      </c>
    </row>
    <row r="18" spans="1:50">
      <c r="A18" s="1" t="s">
        <v>61</v>
      </c>
      <c r="B18" t="s">
        <v>163</v>
      </c>
      <c r="C18" t="s">
        <v>3228</v>
      </c>
      <c r="D18" t="s">
        <v>208</v>
      </c>
      <c r="F18" t="s">
        <v>6788</v>
      </c>
      <c r="G18" t="s">
        <v>7877</v>
      </c>
      <c r="H18" t="s">
        <v>9377</v>
      </c>
      <c r="I18" t="s">
        <v>1560</v>
      </c>
      <c r="J18" t="s">
        <v>1644</v>
      </c>
      <c r="K18">
        <v>11225</v>
      </c>
      <c r="L18" t="s">
        <v>1671</v>
      </c>
      <c r="M18" t="s">
        <v>1670</v>
      </c>
      <c r="R18" t="s">
        <v>50</v>
      </c>
      <c r="S18" t="s">
        <v>1671</v>
      </c>
      <c r="U18" t="s">
        <v>1972</v>
      </c>
      <c r="W18" t="s">
        <v>210</v>
      </c>
      <c r="X18" t="s">
        <v>13051</v>
      </c>
      <c r="Y18" t="s">
        <v>2009</v>
      </c>
      <c r="AB18" t="s">
        <v>2223</v>
      </c>
      <c r="AE18">
        <v>72</v>
      </c>
      <c r="AH18">
        <v>32</v>
      </c>
      <c r="AI18">
        <v>4</v>
      </c>
      <c r="AJ18">
        <v>1</v>
      </c>
      <c r="AK18">
        <v>33.37</v>
      </c>
      <c r="AN18" t="s">
        <v>2926</v>
      </c>
      <c r="AO18">
        <v>10068</v>
      </c>
      <c r="AP18" t="s">
        <v>18051</v>
      </c>
      <c r="AU18">
        <v>9.800000000000001</v>
      </c>
      <c r="AV18" t="s">
        <v>322</v>
      </c>
      <c r="AW18" t="s">
        <v>158</v>
      </c>
    </row>
    <row r="19" spans="1:50">
      <c r="A19" s="1" t="s">
        <v>103</v>
      </c>
      <c r="B19" t="s">
        <v>163</v>
      </c>
      <c r="C19" t="s">
        <v>3229</v>
      </c>
      <c r="D19" t="s">
        <v>337</v>
      </c>
      <c r="F19" t="s">
        <v>6789</v>
      </c>
      <c r="G19" t="s">
        <v>7878</v>
      </c>
      <c r="H19" t="s">
        <v>9378</v>
      </c>
      <c r="I19" t="s">
        <v>1624</v>
      </c>
      <c r="J19" t="s">
        <v>1644</v>
      </c>
      <c r="K19">
        <v>11239</v>
      </c>
      <c r="L19" t="s">
        <v>1670</v>
      </c>
      <c r="M19" t="s">
        <v>1672</v>
      </c>
      <c r="N19" t="s">
        <v>11834</v>
      </c>
      <c r="O19" t="s">
        <v>1940</v>
      </c>
      <c r="R19" t="s">
        <v>50</v>
      </c>
      <c r="S19" t="s">
        <v>1671</v>
      </c>
      <c r="U19" t="s">
        <v>1972</v>
      </c>
      <c r="V19" t="s">
        <v>1984</v>
      </c>
      <c r="W19" t="s">
        <v>268</v>
      </c>
      <c r="X19">
        <v>254</v>
      </c>
      <c r="Y19" t="s">
        <v>2009</v>
      </c>
      <c r="Z19" t="s">
        <v>2014</v>
      </c>
      <c r="AB19" t="s">
        <v>13078</v>
      </c>
      <c r="AC19" t="s">
        <v>2904</v>
      </c>
      <c r="AE19">
        <v>1463</v>
      </c>
      <c r="AF19" t="s">
        <v>2909</v>
      </c>
      <c r="AG19" t="s">
        <v>2922</v>
      </c>
      <c r="AH19" t="s">
        <v>13051</v>
      </c>
      <c r="AI19">
        <v>3</v>
      </c>
      <c r="AJ19">
        <v>0</v>
      </c>
      <c r="AK19">
        <v>43.38</v>
      </c>
      <c r="AN19" t="s">
        <v>2926</v>
      </c>
      <c r="AO19">
        <v>9252</v>
      </c>
      <c r="AU19">
        <v>2.25</v>
      </c>
      <c r="AV19" t="s">
        <v>397</v>
      </c>
      <c r="AW19" t="s">
        <v>3060</v>
      </c>
      <c r="AX19" t="s">
        <v>18685</v>
      </c>
    </row>
    <row r="20" spans="1:50">
      <c r="A20" s="1" t="s">
        <v>120</v>
      </c>
      <c r="B20" t="s">
        <v>163</v>
      </c>
      <c r="C20" t="s">
        <v>3230</v>
      </c>
      <c r="D20" t="s">
        <v>404</v>
      </c>
      <c r="F20" t="s">
        <v>6790</v>
      </c>
      <c r="G20" t="s">
        <v>7879</v>
      </c>
      <c r="H20" t="s">
        <v>9379</v>
      </c>
      <c r="I20" t="s">
        <v>1486</v>
      </c>
      <c r="J20" t="s">
        <v>1644</v>
      </c>
      <c r="K20">
        <v>11208</v>
      </c>
      <c r="L20" t="s">
        <v>1670</v>
      </c>
      <c r="M20" t="s">
        <v>1672</v>
      </c>
      <c r="N20" t="s">
        <v>11835</v>
      </c>
      <c r="O20" t="s">
        <v>12742</v>
      </c>
      <c r="R20" t="s">
        <v>50</v>
      </c>
      <c r="S20" t="s">
        <v>1671</v>
      </c>
      <c r="U20" t="s">
        <v>1974</v>
      </c>
      <c r="V20" t="s">
        <v>1987</v>
      </c>
      <c r="W20" t="s">
        <v>3039</v>
      </c>
      <c r="X20" t="s">
        <v>13051</v>
      </c>
      <c r="Y20" t="s">
        <v>2009</v>
      </c>
      <c r="AB20" t="s">
        <v>13079</v>
      </c>
      <c r="AC20" t="s">
        <v>15070</v>
      </c>
      <c r="AD20" t="s">
        <v>15711</v>
      </c>
      <c r="AE20" t="s">
        <v>13051</v>
      </c>
      <c r="AG20" t="s">
        <v>2917</v>
      </c>
      <c r="AH20" t="s">
        <v>13051</v>
      </c>
      <c r="AI20">
        <v>1</v>
      </c>
      <c r="AJ20">
        <v>1</v>
      </c>
      <c r="AK20">
        <v>56.77</v>
      </c>
      <c r="AN20" t="s">
        <v>2926</v>
      </c>
      <c r="AO20">
        <v>9600</v>
      </c>
      <c r="AU20">
        <v>1.75</v>
      </c>
      <c r="AV20" t="s">
        <v>401</v>
      </c>
      <c r="AW20" t="s">
        <v>3060</v>
      </c>
      <c r="AX20" t="s">
        <v>18685</v>
      </c>
    </row>
    <row r="21" spans="1:50">
      <c r="A21" s="1" t="s">
        <v>120</v>
      </c>
      <c r="B21" t="s">
        <v>163</v>
      </c>
      <c r="C21" t="s">
        <v>3231</v>
      </c>
      <c r="D21" t="s">
        <v>1994</v>
      </c>
      <c r="F21" t="s">
        <v>6791</v>
      </c>
      <c r="G21" t="s">
        <v>6804</v>
      </c>
      <c r="H21" t="s">
        <v>9380</v>
      </c>
      <c r="I21" t="s">
        <v>10941</v>
      </c>
      <c r="J21" t="s">
        <v>1644</v>
      </c>
      <c r="K21">
        <v>11233</v>
      </c>
      <c r="L21" t="s">
        <v>1670</v>
      </c>
      <c r="M21" t="s">
        <v>1672</v>
      </c>
      <c r="N21" t="s">
        <v>11836</v>
      </c>
      <c r="O21" t="s">
        <v>1950</v>
      </c>
      <c r="R21" t="s">
        <v>50</v>
      </c>
      <c r="S21" t="s">
        <v>1671</v>
      </c>
      <c r="U21" t="s">
        <v>1974</v>
      </c>
      <c r="W21" t="s">
        <v>275</v>
      </c>
      <c r="X21">
        <v>850</v>
      </c>
      <c r="Y21" t="s">
        <v>2009</v>
      </c>
      <c r="Z21" t="s">
        <v>2014</v>
      </c>
      <c r="AB21" t="s">
        <v>13080</v>
      </c>
      <c r="AC21" t="s">
        <v>15071</v>
      </c>
      <c r="AE21">
        <v>107</v>
      </c>
      <c r="AF21" t="s">
        <v>2910</v>
      </c>
      <c r="AG21" t="s">
        <v>2917</v>
      </c>
      <c r="AH21">
        <v>4</v>
      </c>
      <c r="AI21">
        <v>1</v>
      </c>
      <c r="AJ21">
        <v>3</v>
      </c>
      <c r="AK21">
        <v>57.18</v>
      </c>
      <c r="AN21" t="s">
        <v>2926</v>
      </c>
      <c r="AO21">
        <v>14724</v>
      </c>
      <c r="AU21">
        <v>5.75</v>
      </c>
      <c r="AV21" t="s">
        <v>397</v>
      </c>
      <c r="AW21" t="s">
        <v>3059</v>
      </c>
      <c r="AX21" t="s">
        <v>18686</v>
      </c>
    </row>
    <row r="22" spans="1:50">
      <c r="A22" s="1" t="s">
        <v>69</v>
      </c>
      <c r="B22" t="s">
        <v>163</v>
      </c>
      <c r="C22" t="s">
        <v>3232</v>
      </c>
      <c r="D22" t="s">
        <v>404</v>
      </c>
      <c r="F22" t="s">
        <v>563</v>
      </c>
      <c r="G22" t="s">
        <v>7880</v>
      </c>
      <c r="H22" t="s">
        <v>9381</v>
      </c>
      <c r="I22" t="s">
        <v>1489</v>
      </c>
      <c r="J22" t="s">
        <v>1644</v>
      </c>
      <c r="K22">
        <v>11206</v>
      </c>
      <c r="L22" t="s">
        <v>1670</v>
      </c>
      <c r="M22" t="s">
        <v>1672</v>
      </c>
      <c r="R22" t="s">
        <v>50</v>
      </c>
      <c r="U22" t="s">
        <v>1972</v>
      </c>
      <c r="W22" t="s">
        <v>404</v>
      </c>
      <c r="X22" t="s">
        <v>13051</v>
      </c>
      <c r="Y22" t="s">
        <v>2009</v>
      </c>
      <c r="AB22" t="s">
        <v>13081</v>
      </c>
      <c r="AE22" t="s">
        <v>13051</v>
      </c>
      <c r="AH22" t="s">
        <v>13051</v>
      </c>
      <c r="AI22">
        <v>3</v>
      </c>
      <c r="AJ22">
        <v>0</v>
      </c>
      <c r="AK22">
        <v>70.31999999999999</v>
      </c>
      <c r="AN22" t="s">
        <v>2926</v>
      </c>
      <c r="AO22">
        <v>15000</v>
      </c>
      <c r="AU22">
        <v>0.2</v>
      </c>
      <c r="AV22" t="s">
        <v>404</v>
      </c>
      <c r="AW22" t="s">
        <v>69</v>
      </c>
    </row>
    <row r="23" spans="1:50">
      <c r="A23" s="1" t="s">
        <v>143</v>
      </c>
      <c r="B23" t="s">
        <v>163</v>
      </c>
      <c r="C23" t="s">
        <v>3233</v>
      </c>
      <c r="D23" t="s">
        <v>330</v>
      </c>
      <c r="F23" t="s">
        <v>6792</v>
      </c>
      <c r="G23" t="s">
        <v>7881</v>
      </c>
      <c r="H23" t="s">
        <v>9382</v>
      </c>
      <c r="I23" t="s">
        <v>1602</v>
      </c>
      <c r="J23" t="s">
        <v>1644</v>
      </c>
      <c r="K23">
        <v>11237</v>
      </c>
      <c r="L23" t="s">
        <v>1670</v>
      </c>
      <c r="M23" t="s">
        <v>1670</v>
      </c>
      <c r="O23" t="s">
        <v>1936</v>
      </c>
      <c r="R23" t="s">
        <v>50</v>
      </c>
      <c r="S23" t="s">
        <v>1671</v>
      </c>
      <c r="U23" t="s">
        <v>1972</v>
      </c>
      <c r="W23" t="s">
        <v>330</v>
      </c>
      <c r="X23" t="s">
        <v>13051</v>
      </c>
      <c r="Y23" t="s">
        <v>2009</v>
      </c>
      <c r="AB23" t="s">
        <v>13082</v>
      </c>
      <c r="AE23" t="s">
        <v>13051</v>
      </c>
      <c r="AH23" t="s">
        <v>13051</v>
      </c>
      <c r="AI23">
        <v>5</v>
      </c>
      <c r="AJ23">
        <v>0</v>
      </c>
      <c r="AK23">
        <v>75.12</v>
      </c>
      <c r="AN23" t="s">
        <v>2926</v>
      </c>
      <c r="AO23">
        <v>22100</v>
      </c>
      <c r="AP23" t="s">
        <v>18052</v>
      </c>
      <c r="AU23">
        <v>13</v>
      </c>
      <c r="AV23" t="s">
        <v>238</v>
      </c>
      <c r="AW23" t="s">
        <v>69</v>
      </c>
    </row>
    <row r="24" spans="1:50">
      <c r="A24" s="1" t="s">
        <v>158</v>
      </c>
      <c r="B24" t="s">
        <v>163</v>
      </c>
      <c r="C24" t="s">
        <v>3234</v>
      </c>
      <c r="D24" t="s">
        <v>6126</v>
      </c>
      <c r="F24" t="s">
        <v>6793</v>
      </c>
      <c r="G24" t="s">
        <v>936</v>
      </c>
      <c r="H24" t="s">
        <v>9383</v>
      </c>
      <c r="I24" t="s">
        <v>1532</v>
      </c>
      <c r="J24" t="s">
        <v>1644</v>
      </c>
      <c r="K24">
        <v>11226</v>
      </c>
      <c r="L24" t="s">
        <v>1670</v>
      </c>
      <c r="M24" t="s">
        <v>1670</v>
      </c>
      <c r="R24" t="s">
        <v>50</v>
      </c>
      <c r="U24" t="s">
        <v>1972</v>
      </c>
      <c r="W24" t="s">
        <v>180</v>
      </c>
      <c r="X24">
        <v>1106.76</v>
      </c>
      <c r="Y24" t="s">
        <v>2009</v>
      </c>
      <c r="AB24" t="s">
        <v>13083</v>
      </c>
      <c r="AE24" t="s">
        <v>13051</v>
      </c>
      <c r="AH24">
        <v>25</v>
      </c>
      <c r="AI24">
        <v>2</v>
      </c>
      <c r="AJ24">
        <v>0</v>
      </c>
      <c r="AK24">
        <v>76.88</v>
      </c>
      <c r="AN24" t="s">
        <v>2926</v>
      </c>
      <c r="AO24">
        <v>13000</v>
      </c>
      <c r="AU24">
        <v>0.2</v>
      </c>
      <c r="AV24" t="s">
        <v>404</v>
      </c>
      <c r="AW24" t="s">
        <v>158</v>
      </c>
    </row>
    <row r="25" spans="1:50">
      <c r="A25" s="1" t="s">
        <v>69</v>
      </c>
      <c r="B25" t="s">
        <v>163</v>
      </c>
      <c r="C25" t="s">
        <v>3235</v>
      </c>
      <c r="D25" t="s">
        <v>3039</v>
      </c>
      <c r="F25" t="s">
        <v>6794</v>
      </c>
      <c r="G25" t="s">
        <v>7882</v>
      </c>
      <c r="H25" t="s">
        <v>9384</v>
      </c>
      <c r="I25" t="s">
        <v>1562</v>
      </c>
      <c r="J25" t="s">
        <v>1644</v>
      </c>
      <c r="K25">
        <v>11218</v>
      </c>
      <c r="L25" t="s">
        <v>1670</v>
      </c>
      <c r="M25" t="s">
        <v>1672</v>
      </c>
      <c r="R25" t="s">
        <v>50</v>
      </c>
      <c r="S25" t="s">
        <v>1670</v>
      </c>
      <c r="U25" t="s">
        <v>1972</v>
      </c>
      <c r="W25" t="s">
        <v>3039</v>
      </c>
      <c r="X25" t="s">
        <v>13051</v>
      </c>
      <c r="Y25" t="s">
        <v>2009</v>
      </c>
      <c r="AB25" t="s">
        <v>13084</v>
      </c>
      <c r="AE25" t="s">
        <v>13051</v>
      </c>
      <c r="AH25" t="s">
        <v>13051</v>
      </c>
      <c r="AI25">
        <v>3</v>
      </c>
      <c r="AJ25">
        <v>2</v>
      </c>
      <c r="AK25">
        <v>80.20999999999999</v>
      </c>
      <c r="AN25" t="s">
        <v>2926</v>
      </c>
      <c r="AO25">
        <v>24200</v>
      </c>
      <c r="AU25">
        <v>0.5</v>
      </c>
      <c r="AV25" t="s">
        <v>3039</v>
      </c>
      <c r="AW25" t="s">
        <v>69</v>
      </c>
    </row>
    <row r="26" spans="1:50">
      <c r="A26" s="1" t="s">
        <v>3137</v>
      </c>
      <c r="B26" t="s">
        <v>163</v>
      </c>
      <c r="C26" t="s">
        <v>3236</v>
      </c>
      <c r="D26" t="s">
        <v>332</v>
      </c>
      <c r="F26" t="s">
        <v>6795</v>
      </c>
      <c r="G26" t="s">
        <v>7883</v>
      </c>
      <c r="H26" t="s">
        <v>9385</v>
      </c>
      <c r="I26" t="s">
        <v>1534</v>
      </c>
      <c r="J26" t="s">
        <v>1644</v>
      </c>
      <c r="K26">
        <v>11226</v>
      </c>
      <c r="L26" t="s">
        <v>1670</v>
      </c>
      <c r="M26" t="s">
        <v>1670</v>
      </c>
      <c r="R26" t="s">
        <v>50</v>
      </c>
      <c r="U26" t="s">
        <v>1972</v>
      </c>
      <c r="W26" t="s">
        <v>271</v>
      </c>
      <c r="X26">
        <v>5</v>
      </c>
      <c r="Y26" t="s">
        <v>2009</v>
      </c>
      <c r="AB26" t="s">
        <v>13085</v>
      </c>
      <c r="AD26" t="s">
        <v>15712</v>
      </c>
      <c r="AE26" t="s">
        <v>13051</v>
      </c>
      <c r="AH26" t="s">
        <v>13051</v>
      </c>
      <c r="AI26">
        <v>1</v>
      </c>
      <c r="AJ26">
        <v>0</v>
      </c>
      <c r="AK26">
        <v>91.83</v>
      </c>
      <c r="AN26" t="s">
        <v>2926</v>
      </c>
      <c r="AO26">
        <v>11148</v>
      </c>
      <c r="AU26">
        <v>16.3</v>
      </c>
      <c r="AV26" t="s">
        <v>385</v>
      </c>
      <c r="AW26" t="s">
        <v>158</v>
      </c>
    </row>
    <row r="27" spans="1:50">
      <c r="A27" s="1" t="s">
        <v>120</v>
      </c>
      <c r="B27" t="s">
        <v>163</v>
      </c>
      <c r="C27" t="s">
        <v>3237</v>
      </c>
      <c r="D27" t="s">
        <v>361</v>
      </c>
      <c r="F27" t="s">
        <v>6796</v>
      </c>
      <c r="G27" t="s">
        <v>7884</v>
      </c>
      <c r="H27" t="s">
        <v>9386</v>
      </c>
      <c r="I27" t="s">
        <v>10942</v>
      </c>
      <c r="J27" t="s">
        <v>1644</v>
      </c>
      <c r="K27">
        <v>11239</v>
      </c>
      <c r="L27" t="s">
        <v>1670</v>
      </c>
      <c r="M27" t="s">
        <v>1672</v>
      </c>
      <c r="N27" t="s">
        <v>1687</v>
      </c>
      <c r="O27" t="s">
        <v>1675</v>
      </c>
      <c r="R27" t="s">
        <v>50</v>
      </c>
      <c r="S27" t="s">
        <v>1671</v>
      </c>
      <c r="U27" t="s">
        <v>1972</v>
      </c>
      <c r="V27" t="s">
        <v>1984</v>
      </c>
      <c r="W27" t="s">
        <v>400</v>
      </c>
      <c r="X27">
        <v>898.5</v>
      </c>
      <c r="Y27" t="s">
        <v>2009</v>
      </c>
      <c r="Z27" t="s">
        <v>2011</v>
      </c>
      <c r="AB27" t="s">
        <v>13086</v>
      </c>
      <c r="AC27" t="s">
        <v>15072</v>
      </c>
      <c r="AD27" t="s">
        <v>15713</v>
      </c>
      <c r="AE27">
        <v>84</v>
      </c>
      <c r="AF27" t="s">
        <v>2909</v>
      </c>
      <c r="AG27" t="s">
        <v>1754</v>
      </c>
      <c r="AH27">
        <v>1</v>
      </c>
      <c r="AI27">
        <v>1</v>
      </c>
      <c r="AJ27">
        <v>0</v>
      </c>
      <c r="AK27">
        <v>93.19</v>
      </c>
      <c r="AN27" t="s">
        <v>2926</v>
      </c>
      <c r="AO27">
        <v>11640</v>
      </c>
      <c r="AU27">
        <v>4</v>
      </c>
      <c r="AV27" t="s">
        <v>3030</v>
      </c>
      <c r="AW27" t="s">
        <v>3043</v>
      </c>
      <c r="AX27" t="s">
        <v>18685</v>
      </c>
    </row>
    <row r="28" spans="1:50">
      <c r="A28" s="1" t="s">
        <v>61</v>
      </c>
      <c r="B28" t="s">
        <v>163</v>
      </c>
      <c r="C28" t="s">
        <v>3238</v>
      </c>
      <c r="D28" t="s">
        <v>325</v>
      </c>
      <c r="F28" t="s">
        <v>463</v>
      </c>
      <c r="G28" t="s">
        <v>7015</v>
      </c>
      <c r="H28" t="s">
        <v>9387</v>
      </c>
      <c r="I28" t="s">
        <v>1569</v>
      </c>
      <c r="J28" t="s">
        <v>1644</v>
      </c>
      <c r="K28">
        <v>11226</v>
      </c>
      <c r="L28" t="s">
        <v>1670</v>
      </c>
      <c r="M28" t="s">
        <v>1672</v>
      </c>
      <c r="R28" t="s">
        <v>50</v>
      </c>
      <c r="U28" t="s">
        <v>1972</v>
      </c>
      <c r="W28" t="s">
        <v>188</v>
      </c>
      <c r="X28" t="s">
        <v>13051</v>
      </c>
      <c r="Y28" t="s">
        <v>2009</v>
      </c>
      <c r="AB28" t="s">
        <v>13087</v>
      </c>
      <c r="AD28" t="s">
        <v>15714</v>
      </c>
      <c r="AE28" t="s">
        <v>13051</v>
      </c>
      <c r="AH28" t="s">
        <v>13051</v>
      </c>
      <c r="AI28">
        <v>1</v>
      </c>
      <c r="AJ28">
        <v>0</v>
      </c>
      <c r="AK28">
        <v>96.88</v>
      </c>
      <c r="AN28" t="s">
        <v>2928</v>
      </c>
      <c r="AO28">
        <v>12100</v>
      </c>
      <c r="AU28">
        <v>0.3</v>
      </c>
      <c r="AV28" t="s">
        <v>325</v>
      </c>
      <c r="AW28" t="s">
        <v>158</v>
      </c>
    </row>
    <row r="29" spans="1:50">
      <c r="A29" s="1" t="s">
        <v>3138</v>
      </c>
      <c r="B29" t="s">
        <v>163</v>
      </c>
      <c r="C29" t="s">
        <v>3239</v>
      </c>
      <c r="D29" t="s">
        <v>389</v>
      </c>
      <c r="F29" t="s">
        <v>6797</v>
      </c>
      <c r="G29" t="s">
        <v>7885</v>
      </c>
      <c r="H29" t="s">
        <v>9388</v>
      </c>
      <c r="I29" t="s">
        <v>10943</v>
      </c>
      <c r="J29" t="s">
        <v>1643</v>
      </c>
      <c r="K29">
        <v>10025</v>
      </c>
      <c r="L29" t="s">
        <v>1672</v>
      </c>
      <c r="M29" t="s">
        <v>1672</v>
      </c>
      <c r="R29" t="s">
        <v>50</v>
      </c>
      <c r="U29" t="s">
        <v>1975</v>
      </c>
      <c r="W29" t="s">
        <v>403</v>
      </c>
      <c r="X29" t="s">
        <v>13051</v>
      </c>
      <c r="Y29" t="s">
        <v>2008</v>
      </c>
      <c r="AB29" t="s">
        <v>13088</v>
      </c>
      <c r="AD29" t="s">
        <v>15715</v>
      </c>
      <c r="AE29" t="s">
        <v>13051</v>
      </c>
      <c r="AH29" t="s">
        <v>13051</v>
      </c>
      <c r="AI29">
        <v>1</v>
      </c>
      <c r="AJ29">
        <v>0</v>
      </c>
      <c r="AK29">
        <v>100.88</v>
      </c>
      <c r="AN29" t="s">
        <v>2926</v>
      </c>
      <c r="AO29">
        <v>12600</v>
      </c>
      <c r="AU29">
        <v>9.1</v>
      </c>
      <c r="AV29" t="s">
        <v>397</v>
      </c>
      <c r="AW29" t="s">
        <v>3065</v>
      </c>
    </row>
    <row r="30" spans="1:50">
      <c r="A30" s="1" t="s">
        <v>118</v>
      </c>
      <c r="B30" t="s">
        <v>163</v>
      </c>
      <c r="C30" t="s">
        <v>3240</v>
      </c>
      <c r="D30" t="s">
        <v>203</v>
      </c>
      <c r="F30" t="s">
        <v>427</v>
      </c>
      <c r="G30" t="s">
        <v>780</v>
      </c>
      <c r="H30" t="s">
        <v>9389</v>
      </c>
      <c r="I30">
        <v>1</v>
      </c>
      <c r="J30" t="s">
        <v>1641</v>
      </c>
      <c r="K30">
        <v>10468</v>
      </c>
      <c r="L30" t="s">
        <v>1670</v>
      </c>
      <c r="M30" t="s">
        <v>1672</v>
      </c>
      <c r="R30" t="s">
        <v>50</v>
      </c>
      <c r="U30" t="s">
        <v>1972</v>
      </c>
      <c r="W30" t="s">
        <v>400</v>
      </c>
      <c r="X30" t="s">
        <v>13051</v>
      </c>
      <c r="Y30" t="s">
        <v>2006</v>
      </c>
      <c r="AD30" t="s">
        <v>15716</v>
      </c>
      <c r="AE30" t="s">
        <v>13051</v>
      </c>
      <c r="AH30" t="s">
        <v>13051</v>
      </c>
      <c r="AI30">
        <v>3</v>
      </c>
      <c r="AJ30">
        <v>2</v>
      </c>
      <c r="AK30">
        <v>112.03</v>
      </c>
      <c r="AN30" t="s">
        <v>2927</v>
      </c>
      <c r="AO30">
        <v>33800</v>
      </c>
      <c r="AU30">
        <v>3</v>
      </c>
      <c r="AV30" t="s">
        <v>409</v>
      </c>
      <c r="AW30" t="s">
        <v>118</v>
      </c>
      <c r="AX30" t="s">
        <v>18685</v>
      </c>
    </row>
    <row r="31" spans="1:50">
      <c r="A31" s="1" t="s">
        <v>62</v>
      </c>
      <c r="B31" t="s">
        <v>163</v>
      </c>
      <c r="C31" t="s">
        <v>3241</v>
      </c>
      <c r="D31" t="s">
        <v>396</v>
      </c>
      <c r="F31" t="s">
        <v>6798</v>
      </c>
      <c r="G31" t="s">
        <v>7886</v>
      </c>
      <c r="H31" t="s">
        <v>9390</v>
      </c>
      <c r="I31" t="s">
        <v>1600</v>
      </c>
      <c r="J31" t="s">
        <v>1644</v>
      </c>
      <c r="K31">
        <v>11220</v>
      </c>
      <c r="L31" t="s">
        <v>1670</v>
      </c>
      <c r="M31" t="s">
        <v>1672</v>
      </c>
      <c r="R31" t="s">
        <v>50</v>
      </c>
      <c r="S31" t="s">
        <v>1670</v>
      </c>
      <c r="U31" t="s">
        <v>1972</v>
      </c>
      <c r="W31" t="s">
        <v>1994</v>
      </c>
      <c r="X31" t="s">
        <v>13051</v>
      </c>
      <c r="Y31" t="s">
        <v>2009</v>
      </c>
      <c r="AB31" t="s">
        <v>13089</v>
      </c>
      <c r="AD31" t="s">
        <v>15717</v>
      </c>
      <c r="AE31" t="s">
        <v>13051</v>
      </c>
      <c r="AH31" t="s">
        <v>13051</v>
      </c>
      <c r="AI31">
        <v>2</v>
      </c>
      <c r="AJ31">
        <v>0</v>
      </c>
      <c r="AK31">
        <v>112.48</v>
      </c>
      <c r="AN31" t="s">
        <v>2926</v>
      </c>
      <c r="AO31">
        <v>19020</v>
      </c>
      <c r="AU31">
        <v>0.3</v>
      </c>
      <c r="AV31" t="s">
        <v>396</v>
      </c>
      <c r="AW31" t="s">
        <v>69</v>
      </c>
    </row>
    <row r="32" spans="1:50">
      <c r="A32" s="1" t="s">
        <v>62</v>
      </c>
      <c r="B32" t="s">
        <v>163</v>
      </c>
      <c r="C32" t="s">
        <v>3242</v>
      </c>
      <c r="D32" t="s">
        <v>217</v>
      </c>
      <c r="F32" t="s">
        <v>6781</v>
      </c>
      <c r="G32" t="s">
        <v>7869</v>
      </c>
      <c r="H32" t="s">
        <v>9370</v>
      </c>
      <c r="I32" t="s">
        <v>10936</v>
      </c>
      <c r="J32" t="s">
        <v>1644</v>
      </c>
      <c r="K32">
        <v>11209</v>
      </c>
      <c r="L32" t="s">
        <v>1672</v>
      </c>
      <c r="M32" t="s">
        <v>1672</v>
      </c>
      <c r="R32" t="s">
        <v>50</v>
      </c>
      <c r="U32" t="s">
        <v>1972</v>
      </c>
      <c r="W32" t="s">
        <v>217</v>
      </c>
      <c r="X32" t="s">
        <v>13051</v>
      </c>
      <c r="Y32" t="s">
        <v>2009</v>
      </c>
      <c r="AB32" t="s">
        <v>13069</v>
      </c>
      <c r="AD32" t="s">
        <v>15704</v>
      </c>
      <c r="AE32" t="s">
        <v>13051</v>
      </c>
      <c r="AH32" t="s">
        <v>13051</v>
      </c>
      <c r="AI32">
        <v>1</v>
      </c>
      <c r="AJ32">
        <v>1</v>
      </c>
      <c r="AK32">
        <v>145.48</v>
      </c>
      <c r="AN32" t="s">
        <v>2926</v>
      </c>
      <c r="AO32">
        <v>24600</v>
      </c>
      <c r="AU32">
        <v>23.45</v>
      </c>
      <c r="AV32" t="s">
        <v>328</v>
      </c>
      <c r="AW32" t="s">
        <v>69</v>
      </c>
    </row>
    <row r="33" spans="1:50">
      <c r="A33" s="1" t="s">
        <v>65</v>
      </c>
      <c r="B33" t="s">
        <v>163</v>
      </c>
      <c r="C33" t="s">
        <v>3243</v>
      </c>
      <c r="D33" t="s">
        <v>318</v>
      </c>
      <c r="F33" t="s">
        <v>420</v>
      </c>
      <c r="G33" t="s">
        <v>7887</v>
      </c>
      <c r="H33" t="s">
        <v>9391</v>
      </c>
      <c r="I33" t="s">
        <v>1488</v>
      </c>
      <c r="J33" t="s">
        <v>1644</v>
      </c>
      <c r="K33">
        <v>11225</v>
      </c>
      <c r="L33" t="s">
        <v>1670</v>
      </c>
      <c r="M33" t="s">
        <v>1670</v>
      </c>
      <c r="R33" t="s">
        <v>50</v>
      </c>
      <c r="U33" t="s">
        <v>1972</v>
      </c>
      <c r="W33" t="s">
        <v>13036</v>
      </c>
      <c r="X33">
        <v>813.54</v>
      </c>
      <c r="Y33" t="s">
        <v>2009</v>
      </c>
      <c r="AB33" t="s">
        <v>13090</v>
      </c>
      <c r="AD33" t="s">
        <v>15718</v>
      </c>
      <c r="AE33">
        <v>8</v>
      </c>
      <c r="AH33">
        <v>26</v>
      </c>
      <c r="AI33">
        <v>3</v>
      </c>
      <c r="AJ33">
        <v>0</v>
      </c>
      <c r="AK33">
        <v>153.99</v>
      </c>
      <c r="AN33" t="s">
        <v>2926</v>
      </c>
      <c r="AO33">
        <v>32000</v>
      </c>
      <c r="AU33">
        <v>2.3</v>
      </c>
      <c r="AV33" t="s">
        <v>320</v>
      </c>
      <c r="AW33" t="s">
        <v>3063</v>
      </c>
      <c r="AX33" t="s">
        <v>18685</v>
      </c>
    </row>
    <row r="34" spans="1:50">
      <c r="A34" s="1" t="s">
        <v>69</v>
      </c>
      <c r="B34" t="s">
        <v>163</v>
      </c>
      <c r="C34" t="s">
        <v>3244</v>
      </c>
      <c r="D34" t="s">
        <v>322</v>
      </c>
      <c r="F34" t="s">
        <v>6799</v>
      </c>
      <c r="G34" t="s">
        <v>1048</v>
      </c>
      <c r="H34" t="s">
        <v>9392</v>
      </c>
      <c r="I34" t="s">
        <v>1587</v>
      </c>
      <c r="J34" t="s">
        <v>1644</v>
      </c>
      <c r="K34">
        <v>11225</v>
      </c>
      <c r="L34" t="s">
        <v>1672</v>
      </c>
      <c r="M34" t="s">
        <v>1672</v>
      </c>
      <c r="R34" t="s">
        <v>50</v>
      </c>
      <c r="U34" t="s">
        <v>1972</v>
      </c>
      <c r="W34" t="s">
        <v>322</v>
      </c>
      <c r="X34" t="s">
        <v>13051</v>
      </c>
      <c r="Y34" t="s">
        <v>2009</v>
      </c>
      <c r="AB34" t="s">
        <v>13091</v>
      </c>
      <c r="AD34" t="s">
        <v>15719</v>
      </c>
      <c r="AE34" t="s">
        <v>13051</v>
      </c>
      <c r="AH34" t="s">
        <v>13051</v>
      </c>
      <c r="AI34">
        <v>1</v>
      </c>
      <c r="AJ34">
        <v>0</v>
      </c>
      <c r="AK34">
        <v>163.33</v>
      </c>
      <c r="AN34" t="s">
        <v>2926</v>
      </c>
      <c r="AO34">
        <v>20400</v>
      </c>
      <c r="AU34">
        <v>1</v>
      </c>
      <c r="AV34" t="s">
        <v>191</v>
      </c>
      <c r="AW34" t="s">
        <v>69</v>
      </c>
    </row>
    <row r="35" spans="1:50">
      <c r="A35" s="1" t="s">
        <v>69</v>
      </c>
      <c r="B35" t="s">
        <v>163</v>
      </c>
      <c r="C35" t="s">
        <v>3245</v>
      </c>
      <c r="D35" t="s">
        <v>404</v>
      </c>
      <c r="F35" t="s">
        <v>6800</v>
      </c>
      <c r="G35" t="s">
        <v>7111</v>
      </c>
      <c r="H35" t="s">
        <v>9381</v>
      </c>
      <c r="I35" t="s">
        <v>1600</v>
      </c>
      <c r="J35" t="s">
        <v>1644</v>
      </c>
      <c r="K35">
        <v>11206</v>
      </c>
      <c r="L35" t="s">
        <v>1670</v>
      </c>
      <c r="M35" t="s">
        <v>1672</v>
      </c>
      <c r="R35" t="s">
        <v>50</v>
      </c>
      <c r="U35" t="s">
        <v>1972</v>
      </c>
      <c r="W35" t="s">
        <v>404</v>
      </c>
      <c r="X35" t="s">
        <v>13051</v>
      </c>
      <c r="Y35" t="s">
        <v>2009</v>
      </c>
      <c r="AB35" t="s">
        <v>13092</v>
      </c>
      <c r="AE35" t="s">
        <v>13051</v>
      </c>
      <c r="AH35" t="s">
        <v>13051</v>
      </c>
      <c r="AI35">
        <v>2</v>
      </c>
      <c r="AJ35">
        <v>1</v>
      </c>
      <c r="AK35">
        <v>164.09</v>
      </c>
      <c r="AN35" t="s">
        <v>2926</v>
      </c>
      <c r="AO35">
        <v>35000</v>
      </c>
      <c r="AU35">
        <v>0.2</v>
      </c>
      <c r="AV35" t="s">
        <v>404</v>
      </c>
      <c r="AW35" t="s">
        <v>69</v>
      </c>
    </row>
    <row r="36" spans="1:50">
      <c r="A36" s="1" t="s">
        <v>119</v>
      </c>
      <c r="B36" t="s">
        <v>163</v>
      </c>
      <c r="C36" t="s">
        <v>3246</v>
      </c>
      <c r="D36" t="s">
        <v>389</v>
      </c>
      <c r="F36" t="s">
        <v>687</v>
      </c>
      <c r="G36" t="s">
        <v>7888</v>
      </c>
      <c r="H36" t="s">
        <v>9393</v>
      </c>
      <c r="I36" t="s">
        <v>1482</v>
      </c>
      <c r="J36" t="s">
        <v>1644</v>
      </c>
      <c r="K36">
        <v>11207</v>
      </c>
      <c r="L36" t="s">
        <v>1670</v>
      </c>
      <c r="M36" t="s">
        <v>1672</v>
      </c>
      <c r="N36" t="s">
        <v>1754</v>
      </c>
      <c r="O36" t="s">
        <v>1675</v>
      </c>
      <c r="R36" t="s">
        <v>50</v>
      </c>
      <c r="S36" t="s">
        <v>1671</v>
      </c>
      <c r="U36" t="s">
        <v>1972</v>
      </c>
      <c r="V36" t="s">
        <v>1984</v>
      </c>
      <c r="W36" t="s">
        <v>379</v>
      </c>
      <c r="X36">
        <v>846.5</v>
      </c>
      <c r="Y36" t="s">
        <v>2009</v>
      </c>
      <c r="Z36" t="s">
        <v>2019</v>
      </c>
      <c r="AB36" t="s">
        <v>13093</v>
      </c>
      <c r="AC36" t="s">
        <v>1754</v>
      </c>
      <c r="AD36" t="s">
        <v>15720</v>
      </c>
      <c r="AE36">
        <v>241</v>
      </c>
      <c r="AF36" t="s">
        <v>2902</v>
      </c>
      <c r="AG36" t="s">
        <v>1754</v>
      </c>
      <c r="AH36">
        <v>1</v>
      </c>
      <c r="AI36">
        <v>1</v>
      </c>
      <c r="AJ36">
        <v>0</v>
      </c>
      <c r="AK36">
        <v>201.76</v>
      </c>
      <c r="AM36" t="s">
        <v>18031</v>
      </c>
      <c r="AN36" t="s">
        <v>2926</v>
      </c>
      <c r="AO36">
        <v>25200</v>
      </c>
      <c r="AP36" t="s">
        <v>18053</v>
      </c>
      <c r="AU36">
        <v>4.1</v>
      </c>
      <c r="AV36" t="s">
        <v>400</v>
      </c>
      <c r="AW36" t="s">
        <v>3060</v>
      </c>
      <c r="AX36" t="s">
        <v>18685</v>
      </c>
    </row>
    <row r="37" spans="1:50">
      <c r="A37" s="1" t="s">
        <v>124</v>
      </c>
      <c r="B37" t="s">
        <v>163</v>
      </c>
      <c r="C37" t="s">
        <v>3247</v>
      </c>
      <c r="D37" t="s">
        <v>217</v>
      </c>
      <c r="F37" t="s">
        <v>479</v>
      </c>
      <c r="G37" t="s">
        <v>7889</v>
      </c>
      <c r="H37" t="s">
        <v>9394</v>
      </c>
      <c r="I37">
        <v>12</v>
      </c>
      <c r="J37" t="s">
        <v>1644</v>
      </c>
      <c r="K37">
        <v>11226</v>
      </c>
      <c r="L37" t="s">
        <v>1672</v>
      </c>
      <c r="M37" t="s">
        <v>1671</v>
      </c>
      <c r="R37" t="s">
        <v>50</v>
      </c>
      <c r="U37" t="s">
        <v>1972</v>
      </c>
      <c r="W37" t="s">
        <v>217</v>
      </c>
      <c r="X37" t="s">
        <v>13051</v>
      </c>
      <c r="Y37" t="s">
        <v>2009</v>
      </c>
      <c r="AB37" t="s">
        <v>13094</v>
      </c>
      <c r="AE37" t="s">
        <v>13051</v>
      </c>
      <c r="AH37" t="s">
        <v>13051</v>
      </c>
      <c r="AI37">
        <v>2</v>
      </c>
      <c r="AJ37">
        <v>0</v>
      </c>
      <c r="AK37">
        <v>220.78</v>
      </c>
      <c r="AN37" t="s">
        <v>2928</v>
      </c>
      <c r="AO37">
        <v>37333.92</v>
      </c>
      <c r="AU37">
        <v>0.7</v>
      </c>
      <c r="AV37" t="s">
        <v>268</v>
      </c>
      <c r="AW37" t="s">
        <v>69</v>
      </c>
    </row>
    <row r="38" spans="1:50">
      <c r="A38" s="1" t="s">
        <v>62</v>
      </c>
      <c r="B38" t="s">
        <v>163</v>
      </c>
      <c r="C38" t="s">
        <v>3248</v>
      </c>
      <c r="D38" t="s">
        <v>396</v>
      </c>
      <c r="F38" t="s">
        <v>6801</v>
      </c>
      <c r="G38" t="s">
        <v>7890</v>
      </c>
      <c r="H38" t="s">
        <v>9390</v>
      </c>
      <c r="I38" t="s">
        <v>1541</v>
      </c>
      <c r="J38" t="s">
        <v>1644</v>
      </c>
      <c r="K38">
        <v>11220</v>
      </c>
      <c r="L38" t="s">
        <v>1670</v>
      </c>
      <c r="M38" t="s">
        <v>1672</v>
      </c>
      <c r="R38" t="s">
        <v>50</v>
      </c>
      <c r="S38" t="s">
        <v>1670</v>
      </c>
      <c r="U38" t="s">
        <v>1972</v>
      </c>
      <c r="W38" t="s">
        <v>1994</v>
      </c>
      <c r="X38" t="s">
        <v>13051</v>
      </c>
      <c r="Y38" t="s">
        <v>2009</v>
      </c>
      <c r="AB38" t="s">
        <v>13095</v>
      </c>
      <c r="AD38" t="s">
        <v>15721</v>
      </c>
      <c r="AE38" t="s">
        <v>13051</v>
      </c>
      <c r="AH38" t="s">
        <v>13051</v>
      </c>
      <c r="AI38">
        <v>1</v>
      </c>
      <c r="AJ38">
        <v>0</v>
      </c>
      <c r="AK38">
        <v>240.19</v>
      </c>
      <c r="AN38" t="s">
        <v>2926</v>
      </c>
      <c r="AO38">
        <v>30000</v>
      </c>
      <c r="AU38">
        <v>0.3</v>
      </c>
      <c r="AV38" t="s">
        <v>396</v>
      </c>
      <c r="AW38" t="s">
        <v>69</v>
      </c>
    </row>
    <row r="39" spans="1:50">
      <c r="A39" s="1" t="s">
        <v>62</v>
      </c>
      <c r="B39" t="s">
        <v>163</v>
      </c>
      <c r="C39" t="s">
        <v>3249</v>
      </c>
      <c r="D39" t="s">
        <v>396</v>
      </c>
      <c r="F39" t="s">
        <v>6802</v>
      </c>
      <c r="G39" t="s">
        <v>810</v>
      </c>
      <c r="H39" t="s">
        <v>9390</v>
      </c>
      <c r="I39" t="s">
        <v>1534</v>
      </c>
      <c r="J39" t="s">
        <v>1644</v>
      </c>
      <c r="K39">
        <v>11220</v>
      </c>
      <c r="L39" t="s">
        <v>1670</v>
      </c>
      <c r="M39" t="s">
        <v>1672</v>
      </c>
      <c r="R39" t="s">
        <v>50</v>
      </c>
      <c r="S39" t="s">
        <v>1670</v>
      </c>
      <c r="U39" t="s">
        <v>1972</v>
      </c>
      <c r="W39" t="s">
        <v>1994</v>
      </c>
      <c r="X39" t="s">
        <v>13051</v>
      </c>
      <c r="Y39" t="s">
        <v>2009</v>
      </c>
      <c r="AE39" t="s">
        <v>13051</v>
      </c>
      <c r="AH39" t="s">
        <v>13051</v>
      </c>
      <c r="AI39">
        <v>1</v>
      </c>
      <c r="AJ39">
        <v>0</v>
      </c>
      <c r="AK39">
        <v>240.19</v>
      </c>
      <c r="AN39" t="s">
        <v>2927</v>
      </c>
      <c r="AO39">
        <v>30000</v>
      </c>
      <c r="AU39">
        <v>0.3</v>
      </c>
      <c r="AV39" t="s">
        <v>396</v>
      </c>
      <c r="AW39" t="s">
        <v>69</v>
      </c>
    </row>
    <row r="40" spans="1:50">
      <c r="A40" s="1" t="s">
        <v>120</v>
      </c>
      <c r="B40" t="s">
        <v>163</v>
      </c>
      <c r="C40" t="s">
        <v>3250</v>
      </c>
      <c r="D40" t="s">
        <v>283</v>
      </c>
      <c r="F40" t="s">
        <v>6803</v>
      </c>
      <c r="G40" t="s">
        <v>7891</v>
      </c>
      <c r="H40" t="s">
        <v>1270</v>
      </c>
      <c r="I40" t="s">
        <v>10944</v>
      </c>
      <c r="J40" t="s">
        <v>1644</v>
      </c>
      <c r="K40">
        <v>11208</v>
      </c>
      <c r="L40" t="s">
        <v>1670</v>
      </c>
      <c r="M40" t="s">
        <v>1670</v>
      </c>
      <c r="N40" t="s">
        <v>11837</v>
      </c>
      <c r="O40" t="s">
        <v>1944</v>
      </c>
      <c r="R40" t="s">
        <v>50</v>
      </c>
      <c r="S40" t="s">
        <v>1671</v>
      </c>
      <c r="U40" t="s">
        <v>1974</v>
      </c>
      <c r="W40" t="s">
        <v>217</v>
      </c>
      <c r="X40">
        <v>1255</v>
      </c>
      <c r="Y40" t="s">
        <v>2009</v>
      </c>
      <c r="Z40" t="s">
        <v>2020</v>
      </c>
      <c r="AB40" t="s">
        <v>13096</v>
      </c>
      <c r="AD40" t="s">
        <v>15722</v>
      </c>
      <c r="AE40">
        <v>272</v>
      </c>
      <c r="AF40" t="s">
        <v>2902</v>
      </c>
      <c r="AG40" t="s">
        <v>2919</v>
      </c>
      <c r="AH40">
        <v>7</v>
      </c>
      <c r="AI40">
        <v>1</v>
      </c>
      <c r="AJ40">
        <v>0</v>
      </c>
      <c r="AK40">
        <v>310.04</v>
      </c>
      <c r="AN40" t="s">
        <v>2926</v>
      </c>
      <c r="AO40">
        <v>38724</v>
      </c>
      <c r="AU40">
        <v>5.75</v>
      </c>
      <c r="AV40" t="s">
        <v>369</v>
      </c>
      <c r="AW40" t="s">
        <v>3059</v>
      </c>
    </row>
    <row r="41" spans="1:50">
      <c r="A41" s="1" t="s">
        <v>124</v>
      </c>
      <c r="B41" t="s">
        <v>163</v>
      </c>
      <c r="C41" t="s">
        <v>3251</v>
      </c>
      <c r="D41" t="s">
        <v>295</v>
      </c>
      <c r="F41" t="s">
        <v>6804</v>
      </c>
      <c r="G41" t="s">
        <v>7892</v>
      </c>
      <c r="H41" t="s">
        <v>9371</v>
      </c>
      <c r="I41" t="s">
        <v>10945</v>
      </c>
      <c r="J41" t="s">
        <v>1644</v>
      </c>
      <c r="K41">
        <v>11217</v>
      </c>
      <c r="L41" t="s">
        <v>1672</v>
      </c>
      <c r="M41" t="s">
        <v>1672</v>
      </c>
      <c r="R41" t="s">
        <v>50</v>
      </c>
      <c r="U41" t="s">
        <v>1972</v>
      </c>
      <c r="W41" t="s">
        <v>295</v>
      </c>
      <c r="X41">
        <v>880.58</v>
      </c>
      <c r="Y41" t="s">
        <v>2009</v>
      </c>
      <c r="AB41" t="s">
        <v>13097</v>
      </c>
      <c r="AD41" t="s">
        <v>15723</v>
      </c>
      <c r="AE41" t="s">
        <v>13051</v>
      </c>
      <c r="AH41">
        <v>7</v>
      </c>
      <c r="AI41">
        <v>2</v>
      </c>
      <c r="AJ41">
        <v>0</v>
      </c>
      <c r="AK41">
        <v>330.73</v>
      </c>
      <c r="AM41" t="s">
        <v>18031</v>
      </c>
      <c r="AN41" t="s">
        <v>2926</v>
      </c>
      <c r="AO41">
        <v>55927</v>
      </c>
      <c r="AU41">
        <v>2.8</v>
      </c>
      <c r="AV41" t="s">
        <v>268</v>
      </c>
      <c r="AW41" t="s">
        <v>69</v>
      </c>
    </row>
    <row r="42" spans="1:50">
      <c r="A42" s="1" t="s">
        <v>62</v>
      </c>
      <c r="B42" t="s">
        <v>163</v>
      </c>
      <c r="C42" t="s">
        <v>3252</v>
      </c>
      <c r="D42" t="s">
        <v>396</v>
      </c>
      <c r="F42" t="s">
        <v>6805</v>
      </c>
      <c r="G42" t="s">
        <v>7893</v>
      </c>
      <c r="H42" t="s">
        <v>9390</v>
      </c>
      <c r="I42" t="s">
        <v>1475</v>
      </c>
      <c r="J42" t="s">
        <v>1644</v>
      </c>
      <c r="K42">
        <v>11220</v>
      </c>
      <c r="L42" t="s">
        <v>1670</v>
      </c>
      <c r="M42" t="s">
        <v>1672</v>
      </c>
      <c r="R42" t="s">
        <v>50</v>
      </c>
      <c r="S42" t="s">
        <v>1670</v>
      </c>
      <c r="U42" t="s">
        <v>1972</v>
      </c>
      <c r="W42" t="s">
        <v>1994</v>
      </c>
      <c r="X42" t="s">
        <v>13051</v>
      </c>
      <c r="Y42" t="s">
        <v>2009</v>
      </c>
      <c r="AB42" t="s">
        <v>13098</v>
      </c>
      <c r="AE42" t="s">
        <v>13051</v>
      </c>
      <c r="AH42" t="s">
        <v>13051</v>
      </c>
      <c r="AI42">
        <v>3</v>
      </c>
      <c r="AJ42">
        <v>0</v>
      </c>
      <c r="AK42">
        <v>365.68</v>
      </c>
      <c r="AO42">
        <v>78000</v>
      </c>
      <c r="AU42">
        <v>0.8</v>
      </c>
      <c r="AV42" t="s">
        <v>3030</v>
      </c>
      <c r="AW42" t="s">
        <v>69</v>
      </c>
    </row>
    <row r="43" spans="1:50">
      <c r="A43" s="1" t="s">
        <v>96</v>
      </c>
      <c r="B43" t="s">
        <v>163</v>
      </c>
      <c r="C43" t="s">
        <v>3253</v>
      </c>
      <c r="D43" t="s">
        <v>404</v>
      </c>
      <c r="F43" t="s">
        <v>6806</v>
      </c>
      <c r="G43" t="s">
        <v>7894</v>
      </c>
      <c r="H43" t="s">
        <v>9395</v>
      </c>
      <c r="I43" t="s">
        <v>10946</v>
      </c>
      <c r="J43" t="s">
        <v>1644</v>
      </c>
      <c r="K43">
        <v>11238</v>
      </c>
      <c r="L43" t="s">
        <v>1670</v>
      </c>
      <c r="M43" t="s">
        <v>1672</v>
      </c>
      <c r="R43" t="s">
        <v>50</v>
      </c>
      <c r="U43" t="s">
        <v>1972</v>
      </c>
      <c r="W43" t="s">
        <v>404</v>
      </c>
      <c r="X43" t="s">
        <v>13051</v>
      </c>
      <c r="Y43" t="s">
        <v>2009</v>
      </c>
      <c r="AB43" t="s">
        <v>13099</v>
      </c>
      <c r="AD43" t="s">
        <v>15724</v>
      </c>
      <c r="AE43" t="s">
        <v>13051</v>
      </c>
      <c r="AH43" t="s">
        <v>13051</v>
      </c>
      <c r="AI43">
        <v>2</v>
      </c>
      <c r="AJ43">
        <v>0</v>
      </c>
      <c r="AK43">
        <v>396.83</v>
      </c>
      <c r="AN43" t="s">
        <v>2926</v>
      </c>
      <c r="AO43">
        <v>67104</v>
      </c>
      <c r="AU43">
        <v>0.2</v>
      </c>
      <c r="AV43" t="s">
        <v>404</v>
      </c>
      <c r="AW43" t="s">
        <v>69</v>
      </c>
    </row>
    <row r="44" spans="1:50">
      <c r="A44" s="1" t="s">
        <v>96</v>
      </c>
      <c r="B44" t="s">
        <v>163</v>
      </c>
      <c r="C44" t="s">
        <v>3254</v>
      </c>
      <c r="D44" t="s">
        <v>404</v>
      </c>
      <c r="F44" t="s">
        <v>6806</v>
      </c>
      <c r="G44" t="s">
        <v>7894</v>
      </c>
      <c r="H44" t="s">
        <v>9395</v>
      </c>
      <c r="I44" t="s">
        <v>10946</v>
      </c>
      <c r="J44" t="s">
        <v>1644</v>
      </c>
      <c r="K44">
        <v>11238</v>
      </c>
      <c r="L44" t="s">
        <v>1670</v>
      </c>
      <c r="M44" t="s">
        <v>1672</v>
      </c>
      <c r="R44" t="s">
        <v>50</v>
      </c>
      <c r="U44" t="s">
        <v>1972</v>
      </c>
      <c r="W44" t="s">
        <v>404</v>
      </c>
      <c r="X44" t="s">
        <v>13051</v>
      </c>
      <c r="Y44" t="s">
        <v>2009</v>
      </c>
      <c r="AB44" t="s">
        <v>13099</v>
      </c>
      <c r="AD44" t="s">
        <v>15724</v>
      </c>
      <c r="AE44" t="s">
        <v>13051</v>
      </c>
      <c r="AH44" t="s">
        <v>13051</v>
      </c>
      <c r="AI44">
        <v>2</v>
      </c>
      <c r="AJ44">
        <v>0</v>
      </c>
      <c r="AK44">
        <v>396.83</v>
      </c>
      <c r="AN44" t="s">
        <v>2926</v>
      </c>
      <c r="AO44">
        <v>67104</v>
      </c>
      <c r="AU44">
        <v>0.2</v>
      </c>
      <c r="AV44" t="s">
        <v>404</v>
      </c>
      <c r="AW44" t="s">
        <v>69</v>
      </c>
    </row>
    <row r="45" spans="1:50">
      <c r="A45" s="1" t="s">
        <v>96</v>
      </c>
      <c r="B45" t="s">
        <v>163</v>
      </c>
      <c r="C45" t="s">
        <v>3255</v>
      </c>
      <c r="D45" t="s">
        <v>404</v>
      </c>
      <c r="F45" t="s">
        <v>6806</v>
      </c>
      <c r="G45" t="s">
        <v>7894</v>
      </c>
      <c r="H45" t="s">
        <v>9395</v>
      </c>
      <c r="I45" t="s">
        <v>10946</v>
      </c>
      <c r="J45" t="s">
        <v>1644</v>
      </c>
      <c r="K45">
        <v>11238</v>
      </c>
      <c r="L45" t="s">
        <v>1670</v>
      </c>
      <c r="M45" t="s">
        <v>1672</v>
      </c>
      <c r="R45" t="s">
        <v>50</v>
      </c>
      <c r="U45" t="s">
        <v>1972</v>
      </c>
      <c r="W45" t="s">
        <v>404</v>
      </c>
      <c r="X45" t="s">
        <v>13051</v>
      </c>
      <c r="Y45" t="s">
        <v>2009</v>
      </c>
      <c r="AB45" t="s">
        <v>13099</v>
      </c>
      <c r="AD45" t="s">
        <v>15724</v>
      </c>
      <c r="AE45" t="s">
        <v>13051</v>
      </c>
      <c r="AH45" t="s">
        <v>13051</v>
      </c>
      <c r="AI45">
        <v>2</v>
      </c>
      <c r="AJ45">
        <v>0</v>
      </c>
      <c r="AK45">
        <v>396.83</v>
      </c>
      <c r="AN45" t="s">
        <v>2926</v>
      </c>
      <c r="AO45">
        <v>67104</v>
      </c>
      <c r="AU45">
        <v>0.2</v>
      </c>
      <c r="AV45" t="s">
        <v>404</v>
      </c>
      <c r="AW45" t="s">
        <v>69</v>
      </c>
    </row>
    <row r="46" spans="1:50">
      <c r="A46" s="1" t="s">
        <v>62</v>
      </c>
      <c r="B46" t="s">
        <v>163</v>
      </c>
      <c r="C46" t="s">
        <v>3256</v>
      </c>
      <c r="D46" t="s">
        <v>396</v>
      </c>
      <c r="F46" t="s">
        <v>6807</v>
      </c>
      <c r="G46" t="s">
        <v>7895</v>
      </c>
      <c r="H46" t="s">
        <v>9390</v>
      </c>
      <c r="I46" t="s">
        <v>1580</v>
      </c>
      <c r="J46" t="s">
        <v>1644</v>
      </c>
      <c r="K46">
        <v>11220</v>
      </c>
      <c r="L46" t="s">
        <v>1670</v>
      </c>
      <c r="M46" t="s">
        <v>1672</v>
      </c>
      <c r="R46" t="s">
        <v>50</v>
      </c>
      <c r="S46" t="s">
        <v>1670</v>
      </c>
      <c r="U46" t="s">
        <v>1972</v>
      </c>
      <c r="W46" t="s">
        <v>1994</v>
      </c>
      <c r="X46" t="s">
        <v>13051</v>
      </c>
      <c r="Y46" t="s">
        <v>2009</v>
      </c>
      <c r="AB46" t="s">
        <v>13100</v>
      </c>
      <c r="AD46" t="s">
        <v>15725</v>
      </c>
      <c r="AE46" t="s">
        <v>13051</v>
      </c>
      <c r="AH46" t="s">
        <v>13051</v>
      </c>
      <c r="AI46">
        <v>3</v>
      </c>
      <c r="AJ46">
        <v>0</v>
      </c>
      <c r="AK46">
        <v>625.9299999999999</v>
      </c>
      <c r="AM46" t="s">
        <v>18031</v>
      </c>
      <c r="AN46" t="s">
        <v>2926</v>
      </c>
      <c r="AO46">
        <v>133510</v>
      </c>
      <c r="AU46">
        <v>0.3</v>
      </c>
      <c r="AV46" t="s">
        <v>396</v>
      </c>
      <c r="AW46" t="s">
        <v>69</v>
      </c>
    </row>
    <row r="47" spans="1:50">
      <c r="A47" s="1" t="s">
        <v>54</v>
      </c>
      <c r="B47" t="s">
        <v>163</v>
      </c>
      <c r="C47" t="s">
        <v>3257</v>
      </c>
      <c r="D47" t="s">
        <v>171</v>
      </c>
      <c r="F47" t="s">
        <v>6808</v>
      </c>
      <c r="G47" t="s">
        <v>7896</v>
      </c>
      <c r="H47" t="s">
        <v>9396</v>
      </c>
      <c r="I47" t="s">
        <v>1572</v>
      </c>
      <c r="J47" t="s">
        <v>1643</v>
      </c>
      <c r="K47">
        <v>10128</v>
      </c>
      <c r="L47" t="s">
        <v>1670</v>
      </c>
      <c r="M47" t="s">
        <v>1672</v>
      </c>
      <c r="O47" t="s">
        <v>1941</v>
      </c>
      <c r="P47" t="s">
        <v>1958</v>
      </c>
      <c r="R47" t="s">
        <v>51</v>
      </c>
      <c r="S47" t="s">
        <v>1671</v>
      </c>
      <c r="U47" t="s">
        <v>1972</v>
      </c>
      <c r="W47" t="s">
        <v>171</v>
      </c>
      <c r="X47" t="s">
        <v>13051</v>
      </c>
      <c r="Y47" t="s">
        <v>2008</v>
      </c>
      <c r="Z47" t="s">
        <v>2012</v>
      </c>
      <c r="AB47" t="s">
        <v>13101</v>
      </c>
      <c r="AE47" t="s">
        <v>13051</v>
      </c>
      <c r="AF47" t="s">
        <v>2902</v>
      </c>
      <c r="AG47" t="s">
        <v>2017</v>
      </c>
      <c r="AH47" t="s">
        <v>13051</v>
      </c>
      <c r="AI47">
        <v>1</v>
      </c>
      <c r="AJ47">
        <v>1</v>
      </c>
      <c r="AK47">
        <v>201.06</v>
      </c>
      <c r="AL47" t="s">
        <v>2923</v>
      </c>
      <c r="AM47" t="s">
        <v>2924</v>
      </c>
      <c r="AN47" t="s">
        <v>2926</v>
      </c>
      <c r="AO47">
        <v>34000</v>
      </c>
      <c r="AU47">
        <v>30.9</v>
      </c>
      <c r="AV47" t="s">
        <v>346</v>
      </c>
      <c r="AW47" t="s">
        <v>3042</v>
      </c>
      <c r="AX47" t="s">
        <v>18685</v>
      </c>
    </row>
    <row r="48" spans="1:50">
      <c r="A48" s="1" t="s">
        <v>74</v>
      </c>
      <c r="B48" t="s">
        <v>163</v>
      </c>
      <c r="C48" t="s">
        <v>3258</v>
      </c>
      <c r="D48" t="s">
        <v>375</v>
      </c>
      <c r="F48" t="s">
        <v>488</v>
      </c>
      <c r="G48" t="s">
        <v>849</v>
      </c>
      <c r="H48" t="s">
        <v>1131</v>
      </c>
      <c r="I48" t="s">
        <v>1532</v>
      </c>
      <c r="J48" t="s">
        <v>1641</v>
      </c>
      <c r="K48">
        <v>10460</v>
      </c>
      <c r="L48" t="s">
        <v>1670</v>
      </c>
      <c r="M48" t="s">
        <v>1670</v>
      </c>
      <c r="N48" t="s">
        <v>1692</v>
      </c>
      <c r="O48" t="s">
        <v>1939</v>
      </c>
      <c r="P48" t="s">
        <v>1960</v>
      </c>
      <c r="R48" t="s">
        <v>50</v>
      </c>
      <c r="S48" t="s">
        <v>1670</v>
      </c>
      <c r="U48" t="s">
        <v>1972</v>
      </c>
      <c r="W48" t="s">
        <v>283</v>
      </c>
      <c r="X48">
        <v>1018</v>
      </c>
      <c r="Y48" t="s">
        <v>2006</v>
      </c>
      <c r="Z48" t="s">
        <v>2015</v>
      </c>
      <c r="AB48" t="s">
        <v>2130</v>
      </c>
      <c r="AD48" t="s">
        <v>2557</v>
      </c>
      <c r="AE48">
        <v>168</v>
      </c>
      <c r="AF48" t="s">
        <v>2902</v>
      </c>
      <c r="AG48" t="s">
        <v>2915</v>
      </c>
      <c r="AH48">
        <v>14</v>
      </c>
      <c r="AI48">
        <v>1</v>
      </c>
      <c r="AJ48">
        <v>1</v>
      </c>
      <c r="AK48">
        <v>201.24</v>
      </c>
      <c r="AN48" t="s">
        <v>2926</v>
      </c>
      <c r="AO48">
        <v>33124</v>
      </c>
      <c r="AU48">
        <v>2</v>
      </c>
      <c r="AV48" t="s">
        <v>389</v>
      </c>
      <c r="AW48" t="s">
        <v>3047</v>
      </c>
    </row>
    <row r="49" spans="1:50">
      <c r="A49" s="1" t="s">
        <v>118</v>
      </c>
      <c r="B49" t="s">
        <v>163</v>
      </c>
      <c r="C49" t="s">
        <v>3259</v>
      </c>
      <c r="D49" t="s">
        <v>404</v>
      </c>
      <c r="F49" t="s">
        <v>6809</v>
      </c>
      <c r="G49" t="s">
        <v>890</v>
      </c>
      <c r="H49" t="s">
        <v>9397</v>
      </c>
      <c r="I49" t="s">
        <v>1507</v>
      </c>
      <c r="J49" t="s">
        <v>1641</v>
      </c>
      <c r="K49">
        <v>10452</v>
      </c>
      <c r="L49" t="s">
        <v>1670</v>
      </c>
      <c r="M49" t="s">
        <v>1672</v>
      </c>
      <c r="O49" t="s">
        <v>1938</v>
      </c>
      <c r="P49" t="s">
        <v>1961</v>
      </c>
      <c r="R49" t="s">
        <v>50</v>
      </c>
      <c r="S49" t="s">
        <v>1670</v>
      </c>
      <c r="U49" t="s">
        <v>1972</v>
      </c>
      <c r="W49" t="s">
        <v>1991</v>
      </c>
      <c r="X49">
        <v>1151.46</v>
      </c>
      <c r="Y49" t="s">
        <v>2006</v>
      </c>
      <c r="Z49" t="s">
        <v>2015</v>
      </c>
      <c r="AB49" t="s">
        <v>13102</v>
      </c>
      <c r="AD49" t="s">
        <v>15726</v>
      </c>
      <c r="AE49">
        <v>52</v>
      </c>
      <c r="AF49" t="s">
        <v>2902</v>
      </c>
      <c r="AG49" t="s">
        <v>1754</v>
      </c>
      <c r="AH49">
        <v>7</v>
      </c>
      <c r="AI49">
        <v>1</v>
      </c>
      <c r="AJ49">
        <v>0</v>
      </c>
      <c r="AK49">
        <v>201.7</v>
      </c>
      <c r="AN49" t="s">
        <v>2926</v>
      </c>
      <c r="AO49">
        <v>25192</v>
      </c>
      <c r="AU49" t="s">
        <v>13051</v>
      </c>
      <c r="AW49" t="s">
        <v>3045</v>
      </c>
      <c r="AX49" t="s">
        <v>18685</v>
      </c>
    </row>
    <row r="50" spans="1:50">
      <c r="A50" s="1" t="s">
        <v>57</v>
      </c>
      <c r="B50" t="s">
        <v>163</v>
      </c>
      <c r="C50" t="s">
        <v>3260</v>
      </c>
      <c r="D50" t="s">
        <v>208</v>
      </c>
      <c r="F50" t="s">
        <v>6810</v>
      </c>
      <c r="G50" t="s">
        <v>7897</v>
      </c>
      <c r="H50" t="s">
        <v>1112</v>
      </c>
      <c r="I50" t="s">
        <v>10947</v>
      </c>
      <c r="J50" t="s">
        <v>1641</v>
      </c>
      <c r="K50">
        <v>10453</v>
      </c>
      <c r="L50" t="s">
        <v>1670</v>
      </c>
      <c r="M50" t="s">
        <v>1670</v>
      </c>
      <c r="O50" t="s">
        <v>1938</v>
      </c>
      <c r="P50" t="s">
        <v>1961</v>
      </c>
      <c r="R50" t="s">
        <v>50</v>
      </c>
      <c r="S50" t="s">
        <v>1670</v>
      </c>
      <c r="U50" t="s">
        <v>1972</v>
      </c>
      <c r="W50" t="s">
        <v>283</v>
      </c>
      <c r="X50">
        <v>864</v>
      </c>
      <c r="Y50" t="s">
        <v>2006</v>
      </c>
      <c r="Z50" t="s">
        <v>2015</v>
      </c>
      <c r="AB50" t="s">
        <v>13103</v>
      </c>
      <c r="AD50" t="s">
        <v>15727</v>
      </c>
      <c r="AE50">
        <v>170</v>
      </c>
      <c r="AF50" t="s">
        <v>2902</v>
      </c>
      <c r="AG50" t="s">
        <v>2919</v>
      </c>
      <c r="AH50">
        <v>22</v>
      </c>
      <c r="AI50">
        <v>1</v>
      </c>
      <c r="AJ50">
        <v>0</v>
      </c>
      <c r="AK50">
        <v>201.76</v>
      </c>
      <c r="AN50" t="s">
        <v>2926</v>
      </c>
      <c r="AO50">
        <v>25200</v>
      </c>
      <c r="AU50" t="s">
        <v>13051</v>
      </c>
      <c r="AW50" t="s">
        <v>3054</v>
      </c>
    </row>
    <row r="51" spans="1:50">
      <c r="A51" s="1" t="s">
        <v>57</v>
      </c>
      <c r="B51" t="s">
        <v>163</v>
      </c>
      <c r="C51" t="s">
        <v>3261</v>
      </c>
      <c r="D51" t="s">
        <v>208</v>
      </c>
      <c r="F51" t="s">
        <v>6810</v>
      </c>
      <c r="G51" t="s">
        <v>7897</v>
      </c>
      <c r="H51" t="s">
        <v>1112</v>
      </c>
      <c r="I51" t="s">
        <v>10947</v>
      </c>
      <c r="J51" t="s">
        <v>1641</v>
      </c>
      <c r="K51">
        <v>10453</v>
      </c>
      <c r="L51" t="s">
        <v>1670</v>
      </c>
      <c r="M51" t="s">
        <v>1670</v>
      </c>
      <c r="N51" t="s">
        <v>1677</v>
      </c>
      <c r="O51" t="s">
        <v>1939</v>
      </c>
      <c r="P51" t="s">
        <v>1960</v>
      </c>
      <c r="R51" t="s">
        <v>50</v>
      </c>
      <c r="S51" t="s">
        <v>1670</v>
      </c>
      <c r="U51" t="s">
        <v>1972</v>
      </c>
      <c r="W51" t="s">
        <v>283</v>
      </c>
      <c r="X51">
        <v>864</v>
      </c>
      <c r="Y51" t="s">
        <v>2006</v>
      </c>
      <c r="Z51" t="s">
        <v>2015</v>
      </c>
      <c r="AB51" t="s">
        <v>13103</v>
      </c>
      <c r="AD51" t="s">
        <v>15727</v>
      </c>
      <c r="AE51">
        <v>170</v>
      </c>
      <c r="AF51" t="s">
        <v>2902</v>
      </c>
      <c r="AG51" t="s">
        <v>2919</v>
      </c>
      <c r="AH51">
        <v>22</v>
      </c>
      <c r="AI51">
        <v>1</v>
      </c>
      <c r="AJ51">
        <v>0</v>
      </c>
      <c r="AK51">
        <v>201.76</v>
      </c>
      <c r="AN51" t="s">
        <v>2926</v>
      </c>
      <c r="AO51">
        <v>25200</v>
      </c>
      <c r="AU51" t="s">
        <v>13051</v>
      </c>
      <c r="AW51" t="s">
        <v>3054</v>
      </c>
    </row>
    <row r="52" spans="1:50">
      <c r="A52" s="1" t="s">
        <v>101</v>
      </c>
      <c r="B52" t="s">
        <v>163</v>
      </c>
      <c r="C52" t="s">
        <v>3262</v>
      </c>
      <c r="D52" t="s">
        <v>219</v>
      </c>
      <c r="F52" t="s">
        <v>6811</v>
      </c>
      <c r="G52" t="s">
        <v>883</v>
      </c>
      <c r="H52" t="s">
        <v>1173</v>
      </c>
      <c r="I52" t="s">
        <v>1551</v>
      </c>
      <c r="J52" t="s">
        <v>1643</v>
      </c>
      <c r="K52">
        <v>10035</v>
      </c>
      <c r="L52" t="s">
        <v>1670</v>
      </c>
      <c r="M52" t="s">
        <v>1670</v>
      </c>
      <c r="O52" t="s">
        <v>1675</v>
      </c>
      <c r="P52" t="s">
        <v>1962</v>
      </c>
      <c r="R52" t="s">
        <v>50</v>
      </c>
      <c r="S52" t="s">
        <v>1670</v>
      </c>
      <c r="U52" t="s">
        <v>1972</v>
      </c>
      <c r="V52" t="s">
        <v>1984</v>
      </c>
      <c r="W52" t="s">
        <v>186</v>
      </c>
      <c r="X52">
        <v>985</v>
      </c>
      <c r="Y52" t="s">
        <v>2008</v>
      </c>
      <c r="Z52" t="s">
        <v>2016</v>
      </c>
      <c r="AB52" t="s">
        <v>13104</v>
      </c>
      <c r="AD52" t="s">
        <v>15728</v>
      </c>
      <c r="AE52">
        <v>60</v>
      </c>
      <c r="AF52" t="s">
        <v>2902</v>
      </c>
      <c r="AG52" t="s">
        <v>1754</v>
      </c>
      <c r="AH52">
        <v>10</v>
      </c>
      <c r="AI52">
        <v>3</v>
      </c>
      <c r="AJ52">
        <v>1</v>
      </c>
      <c r="AK52">
        <v>201.94</v>
      </c>
      <c r="AN52" t="s">
        <v>2926</v>
      </c>
      <c r="AO52">
        <v>52000</v>
      </c>
      <c r="AU52" t="s">
        <v>13051</v>
      </c>
      <c r="AW52" t="s">
        <v>3051</v>
      </c>
    </row>
    <row r="53" spans="1:50">
      <c r="A53" s="1" t="s">
        <v>133</v>
      </c>
      <c r="B53" t="s">
        <v>163</v>
      </c>
      <c r="C53" t="s">
        <v>3263</v>
      </c>
      <c r="D53" t="s">
        <v>316</v>
      </c>
      <c r="F53" t="s">
        <v>714</v>
      </c>
      <c r="G53" t="s">
        <v>6881</v>
      </c>
      <c r="H53" t="s">
        <v>1380</v>
      </c>
      <c r="I53" t="s">
        <v>1502</v>
      </c>
      <c r="J53" t="s">
        <v>1644</v>
      </c>
      <c r="K53">
        <v>11213</v>
      </c>
      <c r="L53" t="s">
        <v>1670</v>
      </c>
      <c r="M53" t="s">
        <v>1670</v>
      </c>
      <c r="N53" t="s">
        <v>11838</v>
      </c>
      <c r="O53" t="s">
        <v>1939</v>
      </c>
      <c r="P53" t="s">
        <v>1960</v>
      </c>
      <c r="R53" t="s">
        <v>50</v>
      </c>
      <c r="S53" t="s">
        <v>1670</v>
      </c>
      <c r="U53" t="s">
        <v>1972</v>
      </c>
      <c r="V53" t="s">
        <v>1984</v>
      </c>
      <c r="W53" t="s">
        <v>3040</v>
      </c>
      <c r="X53">
        <v>1071.14</v>
      </c>
      <c r="Y53" t="s">
        <v>2009</v>
      </c>
      <c r="AB53" t="s">
        <v>13105</v>
      </c>
      <c r="AE53">
        <v>35</v>
      </c>
      <c r="AF53" t="s">
        <v>2902</v>
      </c>
      <c r="AG53" t="s">
        <v>1754</v>
      </c>
      <c r="AH53">
        <v>19</v>
      </c>
      <c r="AI53">
        <v>3</v>
      </c>
      <c r="AJ53">
        <v>1</v>
      </c>
      <c r="AK53">
        <v>201.94</v>
      </c>
      <c r="AN53" t="s">
        <v>2926</v>
      </c>
      <c r="AO53">
        <v>52000</v>
      </c>
      <c r="AP53" t="s">
        <v>18054</v>
      </c>
      <c r="AU53" t="s">
        <v>13051</v>
      </c>
      <c r="AW53" t="s">
        <v>3060</v>
      </c>
    </row>
    <row r="54" spans="1:50">
      <c r="A54" s="1" t="s">
        <v>3139</v>
      </c>
      <c r="B54" t="s">
        <v>164</v>
      </c>
      <c r="C54" t="s">
        <v>3264</v>
      </c>
      <c r="D54" t="s">
        <v>197</v>
      </c>
      <c r="E54" t="s">
        <v>372</v>
      </c>
      <c r="F54" t="s">
        <v>6812</v>
      </c>
      <c r="G54" t="s">
        <v>7898</v>
      </c>
      <c r="H54" t="s">
        <v>9398</v>
      </c>
      <c r="I54">
        <v>2</v>
      </c>
      <c r="J54" t="s">
        <v>1641</v>
      </c>
      <c r="K54">
        <v>10460</v>
      </c>
      <c r="L54" t="s">
        <v>1670</v>
      </c>
      <c r="M54" t="s">
        <v>1670</v>
      </c>
      <c r="N54" t="s">
        <v>11839</v>
      </c>
      <c r="O54" t="s">
        <v>1936</v>
      </c>
      <c r="P54" t="s">
        <v>1960</v>
      </c>
      <c r="Q54" t="s">
        <v>1969</v>
      </c>
      <c r="R54" t="s">
        <v>50</v>
      </c>
      <c r="S54" t="s">
        <v>1671</v>
      </c>
      <c r="U54" t="s">
        <v>1972</v>
      </c>
      <c r="V54" t="s">
        <v>1986</v>
      </c>
      <c r="W54" t="s">
        <v>1992</v>
      </c>
      <c r="X54">
        <v>1079</v>
      </c>
      <c r="Y54" t="s">
        <v>2006</v>
      </c>
      <c r="Z54" t="s">
        <v>2017</v>
      </c>
      <c r="AA54" t="s">
        <v>2032</v>
      </c>
      <c r="AB54" t="s">
        <v>13106</v>
      </c>
      <c r="AD54" t="s">
        <v>15729</v>
      </c>
      <c r="AE54">
        <v>26</v>
      </c>
      <c r="AF54" t="s">
        <v>2902</v>
      </c>
      <c r="AG54" t="s">
        <v>1754</v>
      </c>
      <c r="AH54">
        <v>13</v>
      </c>
      <c r="AI54">
        <v>3</v>
      </c>
      <c r="AJ54">
        <v>0</v>
      </c>
      <c r="AK54">
        <v>202.12</v>
      </c>
      <c r="AL54" t="s">
        <v>172</v>
      </c>
      <c r="AM54" t="s">
        <v>18031</v>
      </c>
      <c r="AN54" t="s">
        <v>2926</v>
      </c>
      <c r="AO54">
        <v>42000</v>
      </c>
      <c r="AP54" t="s">
        <v>18055</v>
      </c>
      <c r="AQ54" t="s">
        <v>2978</v>
      </c>
      <c r="AR54" t="s">
        <v>18445</v>
      </c>
      <c r="AS54" t="s">
        <v>2992</v>
      </c>
      <c r="AT54" t="s">
        <v>18494</v>
      </c>
      <c r="AU54">
        <v>9.300000000000001</v>
      </c>
      <c r="AV54" t="s">
        <v>292</v>
      </c>
      <c r="AW54" t="s">
        <v>3082</v>
      </c>
    </row>
    <row r="55" spans="1:50">
      <c r="A55" s="1" t="s">
        <v>3140</v>
      </c>
      <c r="B55" t="s">
        <v>164</v>
      </c>
      <c r="C55" t="s">
        <v>3265</v>
      </c>
      <c r="D55" t="s">
        <v>211</v>
      </c>
      <c r="E55" t="s">
        <v>176</v>
      </c>
      <c r="F55" t="s">
        <v>6813</v>
      </c>
      <c r="G55" t="s">
        <v>7899</v>
      </c>
      <c r="H55" t="s">
        <v>9399</v>
      </c>
      <c r="I55" t="s">
        <v>1520</v>
      </c>
      <c r="J55" t="s">
        <v>1641</v>
      </c>
      <c r="K55">
        <v>10461</v>
      </c>
      <c r="L55" t="s">
        <v>1670</v>
      </c>
      <c r="M55" t="s">
        <v>1670</v>
      </c>
      <c r="N55" t="s">
        <v>11840</v>
      </c>
      <c r="O55" t="s">
        <v>1936</v>
      </c>
      <c r="P55" t="s">
        <v>1958</v>
      </c>
      <c r="Q55" t="s">
        <v>1965</v>
      </c>
      <c r="R55" t="s">
        <v>50</v>
      </c>
      <c r="S55" t="s">
        <v>1671</v>
      </c>
      <c r="U55" t="s">
        <v>1972</v>
      </c>
      <c r="V55" t="s">
        <v>1984</v>
      </c>
      <c r="W55" t="s">
        <v>176</v>
      </c>
      <c r="X55">
        <v>1600</v>
      </c>
      <c r="Y55" t="s">
        <v>2006</v>
      </c>
      <c r="Z55" t="s">
        <v>2014</v>
      </c>
      <c r="AA55" t="s">
        <v>2029</v>
      </c>
      <c r="AB55" t="s">
        <v>13107</v>
      </c>
      <c r="AC55" t="s">
        <v>15073</v>
      </c>
      <c r="AD55" t="s">
        <v>15730</v>
      </c>
      <c r="AE55">
        <v>13</v>
      </c>
      <c r="AF55" t="s">
        <v>2902</v>
      </c>
      <c r="AG55" t="s">
        <v>1754</v>
      </c>
      <c r="AH55">
        <v>1</v>
      </c>
      <c r="AI55">
        <v>2</v>
      </c>
      <c r="AJ55">
        <v>1</v>
      </c>
      <c r="AK55">
        <v>202.12</v>
      </c>
      <c r="AN55" t="s">
        <v>2926</v>
      </c>
      <c r="AO55">
        <v>42000</v>
      </c>
      <c r="AP55" t="s">
        <v>18056</v>
      </c>
      <c r="AR55" t="s">
        <v>2982</v>
      </c>
      <c r="AT55" t="s">
        <v>18495</v>
      </c>
      <c r="AU55">
        <v>1.2</v>
      </c>
      <c r="AV55" t="s">
        <v>176</v>
      </c>
      <c r="AW55" t="s">
        <v>3047</v>
      </c>
    </row>
    <row r="56" spans="1:50">
      <c r="A56" s="1" t="s">
        <v>74</v>
      </c>
      <c r="B56" t="s">
        <v>163</v>
      </c>
      <c r="C56" t="s">
        <v>3266</v>
      </c>
      <c r="D56" t="s">
        <v>375</v>
      </c>
      <c r="F56" t="s">
        <v>6814</v>
      </c>
      <c r="G56" t="s">
        <v>7900</v>
      </c>
      <c r="H56" t="s">
        <v>1131</v>
      </c>
      <c r="I56" t="s">
        <v>1486</v>
      </c>
      <c r="J56" t="s">
        <v>1641</v>
      </c>
      <c r="K56">
        <v>10460</v>
      </c>
      <c r="L56" t="s">
        <v>1670</v>
      </c>
      <c r="M56" t="s">
        <v>1672</v>
      </c>
      <c r="N56" t="s">
        <v>1692</v>
      </c>
      <c r="O56" t="s">
        <v>1939</v>
      </c>
      <c r="P56" t="s">
        <v>1960</v>
      </c>
      <c r="R56" t="s">
        <v>50</v>
      </c>
      <c r="S56" t="s">
        <v>1670</v>
      </c>
      <c r="U56" t="s">
        <v>1972</v>
      </c>
      <c r="W56" t="s">
        <v>283</v>
      </c>
      <c r="X56">
        <v>582</v>
      </c>
      <c r="Y56" t="s">
        <v>2006</v>
      </c>
      <c r="Z56" t="s">
        <v>2015</v>
      </c>
      <c r="AB56" t="s">
        <v>13108</v>
      </c>
      <c r="AE56">
        <v>168</v>
      </c>
      <c r="AG56" t="s">
        <v>2915</v>
      </c>
      <c r="AH56">
        <v>3</v>
      </c>
      <c r="AI56">
        <v>1</v>
      </c>
      <c r="AJ56">
        <v>0</v>
      </c>
      <c r="AK56">
        <v>202.44</v>
      </c>
      <c r="AN56" t="s">
        <v>2926</v>
      </c>
      <c r="AO56">
        <v>24576</v>
      </c>
      <c r="AU56" t="s">
        <v>13051</v>
      </c>
      <c r="AW56" t="s">
        <v>3047</v>
      </c>
    </row>
    <row r="57" spans="1:50">
      <c r="A57" s="1" t="s">
        <v>54</v>
      </c>
      <c r="B57" t="s">
        <v>164</v>
      </c>
      <c r="C57" t="s">
        <v>3267</v>
      </c>
      <c r="D57" t="s">
        <v>2002</v>
      </c>
      <c r="E57" t="s">
        <v>6191</v>
      </c>
      <c r="F57" t="s">
        <v>547</v>
      </c>
      <c r="G57" t="s">
        <v>7901</v>
      </c>
      <c r="H57" t="s">
        <v>9400</v>
      </c>
      <c r="I57" t="s">
        <v>1587</v>
      </c>
      <c r="J57" t="s">
        <v>1643</v>
      </c>
      <c r="K57">
        <v>10040</v>
      </c>
      <c r="L57" t="s">
        <v>1670</v>
      </c>
      <c r="M57" t="s">
        <v>1670</v>
      </c>
      <c r="N57" t="s">
        <v>11841</v>
      </c>
      <c r="O57" t="s">
        <v>1936</v>
      </c>
      <c r="P57" t="s">
        <v>1960</v>
      </c>
      <c r="Q57" t="s">
        <v>1969</v>
      </c>
      <c r="R57" t="s">
        <v>50</v>
      </c>
      <c r="S57" t="s">
        <v>1671</v>
      </c>
      <c r="U57" t="s">
        <v>1972</v>
      </c>
      <c r="W57" t="s">
        <v>2002</v>
      </c>
      <c r="X57">
        <v>874.96</v>
      </c>
      <c r="Y57" t="s">
        <v>2008</v>
      </c>
      <c r="Z57" t="s">
        <v>2013</v>
      </c>
      <c r="AA57" t="s">
        <v>2032</v>
      </c>
      <c r="AB57" t="s">
        <v>13109</v>
      </c>
      <c r="AD57" t="s">
        <v>15731</v>
      </c>
      <c r="AE57">
        <v>116</v>
      </c>
      <c r="AF57" t="s">
        <v>2902</v>
      </c>
      <c r="AG57" t="s">
        <v>2919</v>
      </c>
      <c r="AH57">
        <v>47</v>
      </c>
      <c r="AI57">
        <v>1</v>
      </c>
      <c r="AJ57">
        <v>0</v>
      </c>
      <c r="AK57">
        <v>202.64</v>
      </c>
      <c r="AL57" t="s">
        <v>340</v>
      </c>
      <c r="AM57" t="s">
        <v>18031</v>
      </c>
      <c r="AN57" t="s">
        <v>2926</v>
      </c>
      <c r="AO57">
        <v>24600</v>
      </c>
      <c r="AU57">
        <v>33</v>
      </c>
      <c r="AV57" t="s">
        <v>303</v>
      </c>
      <c r="AW57" t="s">
        <v>3042</v>
      </c>
      <c r="AX57" t="s">
        <v>18685</v>
      </c>
    </row>
    <row r="58" spans="1:50">
      <c r="A58" s="1" t="s">
        <v>82</v>
      </c>
      <c r="B58" t="s">
        <v>163</v>
      </c>
      <c r="C58" t="s">
        <v>3268</v>
      </c>
      <c r="D58" t="s">
        <v>362</v>
      </c>
      <c r="F58" t="s">
        <v>492</v>
      </c>
      <c r="G58" t="s">
        <v>7902</v>
      </c>
      <c r="H58" t="s">
        <v>9401</v>
      </c>
      <c r="I58">
        <v>24</v>
      </c>
      <c r="J58" t="s">
        <v>1644</v>
      </c>
      <c r="K58">
        <v>11213</v>
      </c>
      <c r="L58" t="s">
        <v>1670</v>
      </c>
      <c r="M58" t="s">
        <v>1670</v>
      </c>
      <c r="N58" t="s">
        <v>1865</v>
      </c>
      <c r="O58" t="s">
        <v>1939</v>
      </c>
      <c r="P58" t="s">
        <v>1960</v>
      </c>
      <c r="R58" t="s">
        <v>50</v>
      </c>
      <c r="S58" t="s">
        <v>1670</v>
      </c>
      <c r="U58" t="s">
        <v>1972</v>
      </c>
      <c r="W58" t="s">
        <v>232</v>
      </c>
      <c r="X58">
        <v>917</v>
      </c>
      <c r="Y58" t="s">
        <v>2009</v>
      </c>
      <c r="Z58" t="s">
        <v>2015</v>
      </c>
      <c r="AB58" t="s">
        <v>13110</v>
      </c>
      <c r="AD58" t="s">
        <v>15732</v>
      </c>
      <c r="AE58">
        <v>31</v>
      </c>
      <c r="AF58" t="s">
        <v>2902</v>
      </c>
      <c r="AG58" t="s">
        <v>1754</v>
      </c>
      <c r="AH58">
        <v>18</v>
      </c>
      <c r="AI58">
        <v>3</v>
      </c>
      <c r="AJ58">
        <v>0</v>
      </c>
      <c r="AK58">
        <v>203.08</v>
      </c>
      <c r="AL58" t="s">
        <v>190</v>
      </c>
      <c r="AM58" t="s">
        <v>18031</v>
      </c>
      <c r="AN58" t="s">
        <v>2926</v>
      </c>
      <c r="AO58">
        <v>42200</v>
      </c>
      <c r="AU58">
        <v>427.6</v>
      </c>
      <c r="AV58" t="s">
        <v>325</v>
      </c>
      <c r="AW58" t="s">
        <v>3060</v>
      </c>
    </row>
    <row r="59" spans="1:50">
      <c r="A59" s="1" t="s">
        <v>108</v>
      </c>
      <c r="B59" t="s">
        <v>164</v>
      </c>
      <c r="C59" t="s">
        <v>3269</v>
      </c>
      <c r="D59" t="s">
        <v>6127</v>
      </c>
      <c r="E59" t="s">
        <v>306</v>
      </c>
      <c r="F59" t="s">
        <v>668</v>
      </c>
      <c r="G59" t="s">
        <v>7903</v>
      </c>
      <c r="H59" t="s">
        <v>9402</v>
      </c>
      <c r="I59" t="s">
        <v>10948</v>
      </c>
      <c r="J59" t="s">
        <v>11739</v>
      </c>
      <c r="K59">
        <v>11372</v>
      </c>
      <c r="L59" t="s">
        <v>1670</v>
      </c>
      <c r="M59" t="s">
        <v>1670</v>
      </c>
      <c r="N59" t="s">
        <v>1693</v>
      </c>
      <c r="O59" t="s">
        <v>1937</v>
      </c>
      <c r="P59" t="s">
        <v>1959</v>
      </c>
      <c r="Q59" t="s">
        <v>1968</v>
      </c>
      <c r="R59" t="s">
        <v>50</v>
      </c>
      <c r="S59" t="s">
        <v>1670</v>
      </c>
      <c r="U59" t="s">
        <v>1980</v>
      </c>
      <c r="V59" t="s">
        <v>1984</v>
      </c>
      <c r="W59" t="s">
        <v>250</v>
      </c>
      <c r="X59">
        <v>2350</v>
      </c>
      <c r="Y59" t="s">
        <v>2007</v>
      </c>
      <c r="Z59" t="s">
        <v>2028</v>
      </c>
      <c r="AA59" t="s">
        <v>2034</v>
      </c>
      <c r="AB59" t="s">
        <v>13111</v>
      </c>
      <c r="AC59" t="s">
        <v>1691</v>
      </c>
      <c r="AD59" t="s">
        <v>15733</v>
      </c>
      <c r="AE59">
        <v>60</v>
      </c>
      <c r="AF59" t="s">
        <v>2904</v>
      </c>
      <c r="AG59" t="s">
        <v>1754</v>
      </c>
      <c r="AH59">
        <v>11</v>
      </c>
      <c r="AI59">
        <v>2</v>
      </c>
      <c r="AJ59">
        <v>3</v>
      </c>
      <c r="AK59">
        <v>203.94</v>
      </c>
      <c r="AL59" t="s">
        <v>6776</v>
      </c>
      <c r="AM59" t="s">
        <v>18031</v>
      </c>
      <c r="AN59" t="s">
        <v>2926</v>
      </c>
      <c r="AO59">
        <v>60000</v>
      </c>
      <c r="AQ59" t="s">
        <v>2976</v>
      </c>
      <c r="AR59" t="s">
        <v>2982</v>
      </c>
      <c r="AS59" t="s">
        <v>2992</v>
      </c>
      <c r="AT59" t="s">
        <v>3005</v>
      </c>
      <c r="AU59">
        <v>28.25</v>
      </c>
      <c r="AV59" t="s">
        <v>244</v>
      </c>
      <c r="AW59" t="s">
        <v>3044</v>
      </c>
    </row>
    <row r="60" spans="1:50">
      <c r="A60" s="1" t="s">
        <v>108</v>
      </c>
      <c r="B60" t="s">
        <v>163</v>
      </c>
      <c r="C60" t="s">
        <v>3270</v>
      </c>
      <c r="D60" t="s">
        <v>2005</v>
      </c>
      <c r="F60" t="s">
        <v>668</v>
      </c>
      <c r="G60" t="s">
        <v>7903</v>
      </c>
      <c r="H60" t="s">
        <v>9402</v>
      </c>
      <c r="I60" t="s">
        <v>10948</v>
      </c>
      <c r="J60" t="s">
        <v>11739</v>
      </c>
      <c r="K60">
        <v>11372</v>
      </c>
      <c r="L60" t="s">
        <v>1670</v>
      </c>
      <c r="M60" t="s">
        <v>1670</v>
      </c>
      <c r="N60" t="s">
        <v>11842</v>
      </c>
      <c r="O60" t="s">
        <v>1936</v>
      </c>
      <c r="P60" t="s">
        <v>1960</v>
      </c>
      <c r="R60" t="s">
        <v>50</v>
      </c>
      <c r="S60" t="s">
        <v>1671</v>
      </c>
      <c r="U60" t="s">
        <v>1972</v>
      </c>
      <c r="V60" t="s">
        <v>1984</v>
      </c>
      <c r="W60" t="s">
        <v>247</v>
      </c>
      <c r="X60">
        <v>2350</v>
      </c>
      <c r="Y60" t="s">
        <v>2007</v>
      </c>
      <c r="Z60" t="s">
        <v>2020</v>
      </c>
      <c r="AB60" t="s">
        <v>13111</v>
      </c>
      <c r="AD60" t="s">
        <v>15733</v>
      </c>
      <c r="AE60">
        <v>60</v>
      </c>
      <c r="AF60" t="s">
        <v>18014</v>
      </c>
      <c r="AG60" t="s">
        <v>1754</v>
      </c>
      <c r="AH60">
        <v>11</v>
      </c>
      <c r="AI60">
        <v>2</v>
      </c>
      <c r="AJ60">
        <v>3</v>
      </c>
      <c r="AK60">
        <v>203.94</v>
      </c>
      <c r="AL60" t="s">
        <v>271</v>
      </c>
      <c r="AM60" t="s">
        <v>18031</v>
      </c>
      <c r="AN60" t="s">
        <v>2926</v>
      </c>
      <c r="AO60">
        <v>60000</v>
      </c>
      <c r="AQ60" t="s">
        <v>2976</v>
      </c>
      <c r="AR60" t="s">
        <v>2982</v>
      </c>
      <c r="AS60" t="s">
        <v>2992</v>
      </c>
      <c r="AT60" t="s">
        <v>3005</v>
      </c>
      <c r="AU60">
        <v>19.9</v>
      </c>
      <c r="AV60" t="s">
        <v>283</v>
      </c>
      <c r="AW60" t="s">
        <v>3044</v>
      </c>
    </row>
    <row r="61" spans="1:50">
      <c r="A61" s="1" t="s">
        <v>69</v>
      </c>
      <c r="B61" t="s">
        <v>163</v>
      </c>
      <c r="C61" t="s">
        <v>3271</v>
      </c>
      <c r="D61" t="s">
        <v>219</v>
      </c>
      <c r="F61" t="s">
        <v>6815</v>
      </c>
      <c r="G61" t="s">
        <v>7904</v>
      </c>
      <c r="H61" t="s">
        <v>9403</v>
      </c>
      <c r="I61" t="s">
        <v>1488</v>
      </c>
      <c r="J61" t="s">
        <v>1644</v>
      </c>
      <c r="K61">
        <v>11226</v>
      </c>
      <c r="L61" t="s">
        <v>1670</v>
      </c>
      <c r="M61" t="s">
        <v>1672</v>
      </c>
      <c r="P61" t="s">
        <v>1959</v>
      </c>
      <c r="R61" t="s">
        <v>50</v>
      </c>
      <c r="U61" t="s">
        <v>1972</v>
      </c>
      <c r="W61" t="s">
        <v>219</v>
      </c>
      <c r="X61" t="s">
        <v>13051</v>
      </c>
      <c r="Y61" t="s">
        <v>2009</v>
      </c>
      <c r="AB61" t="s">
        <v>13112</v>
      </c>
      <c r="AE61" t="s">
        <v>13051</v>
      </c>
      <c r="AH61" t="s">
        <v>13051</v>
      </c>
      <c r="AI61">
        <v>2</v>
      </c>
      <c r="AJ61">
        <v>0</v>
      </c>
      <c r="AK61">
        <v>204.8</v>
      </c>
      <c r="AN61" t="s">
        <v>2926</v>
      </c>
      <c r="AO61">
        <v>34632</v>
      </c>
      <c r="AU61">
        <v>3.7</v>
      </c>
      <c r="AV61" t="s">
        <v>171</v>
      </c>
      <c r="AW61" t="s">
        <v>69</v>
      </c>
    </row>
    <row r="62" spans="1:50">
      <c r="A62" s="1" t="s">
        <v>59</v>
      </c>
      <c r="B62" t="s">
        <v>163</v>
      </c>
      <c r="C62" t="s">
        <v>3272</v>
      </c>
      <c r="D62" t="s">
        <v>282</v>
      </c>
      <c r="F62" t="s">
        <v>6816</v>
      </c>
      <c r="G62" t="s">
        <v>7905</v>
      </c>
      <c r="H62" t="s">
        <v>1234</v>
      </c>
      <c r="I62" t="s">
        <v>10949</v>
      </c>
      <c r="J62" t="s">
        <v>1641</v>
      </c>
      <c r="K62">
        <v>10452</v>
      </c>
      <c r="L62" t="s">
        <v>1670</v>
      </c>
      <c r="M62" t="s">
        <v>1670</v>
      </c>
      <c r="N62" t="s">
        <v>1769</v>
      </c>
      <c r="O62" t="s">
        <v>1949</v>
      </c>
      <c r="P62" t="s">
        <v>1961</v>
      </c>
      <c r="R62" t="s">
        <v>50</v>
      </c>
      <c r="S62" t="s">
        <v>1670</v>
      </c>
      <c r="U62" t="s">
        <v>1972</v>
      </c>
      <c r="W62" t="s">
        <v>1992</v>
      </c>
      <c r="X62">
        <v>766.61</v>
      </c>
      <c r="Y62" t="s">
        <v>2006</v>
      </c>
      <c r="Z62" t="s">
        <v>2015</v>
      </c>
      <c r="AB62" t="s">
        <v>13113</v>
      </c>
      <c r="AD62" t="s">
        <v>15734</v>
      </c>
      <c r="AE62">
        <v>122</v>
      </c>
      <c r="AF62" t="s">
        <v>2902</v>
      </c>
      <c r="AG62" t="s">
        <v>1754</v>
      </c>
      <c r="AH62">
        <v>24</v>
      </c>
      <c r="AI62">
        <v>2</v>
      </c>
      <c r="AJ62">
        <v>5</v>
      </c>
      <c r="AK62">
        <v>204.94</v>
      </c>
      <c r="AN62" t="s">
        <v>2926</v>
      </c>
      <c r="AO62">
        <v>78000</v>
      </c>
      <c r="AP62" t="s">
        <v>18057</v>
      </c>
      <c r="AU62">
        <v>0.25</v>
      </c>
      <c r="AV62" t="s">
        <v>6192</v>
      </c>
      <c r="AW62" t="s">
        <v>3054</v>
      </c>
    </row>
    <row r="63" spans="1:50">
      <c r="A63" s="1" t="s">
        <v>3141</v>
      </c>
      <c r="B63" t="s">
        <v>163</v>
      </c>
      <c r="C63" t="s">
        <v>3273</v>
      </c>
      <c r="D63" t="s">
        <v>194</v>
      </c>
      <c r="F63" t="s">
        <v>1085</v>
      </c>
      <c r="G63" t="s">
        <v>7906</v>
      </c>
      <c r="H63" t="s">
        <v>9404</v>
      </c>
      <c r="I63" t="s">
        <v>1562</v>
      </c>
      <c r="J63" t="s">
        <v>1641</v>
      </c>
      <c r="K63">
        <v>10452</v>
      </c>
      <c r="L63" t="s">
        <v>1670</v>
      </c>
      <c r="M63" t="s">
        <v>1670</v>
      </c>
      <c r="N63" t="s">
        <v>11843</v>
      </c>
      <c r="O63" t="s">
        <v>1936</v>
      </c>
      <c r="P63" t="s">
        <v>1960</v>
      </c>
      <c r="R63" t="s">
        <v>50</v>
      </c>
      <c r="S63" t="s">
        <v>1671</v>
      </c>
      <c r="U63" t="s">
        <v>1972</v>
      </c>
      <c r="V63" t="s">
        <v>1983</v>
      </c>
      <c r="W63" t="s">
        <v>194</v>
      </c>
      <c r="X63">
        <v>1405.42</v>
      </c>
      <c r="Y63" t="s">
        <v>2006</v>
      </c>
      <c r="Z63" t="s">
        <v>2011</v>
      </c>
      <c r="AB63" t="s">
        <v>13114</v>
      </c>
      <c r="AD63" t="s">
        <v>15735</v>
      </c>
      <c r="AE63">
        <v>129</v>
      </c>
      <c r="AF63" t="s">
        <v>2902</v>
      </c>
      <c r="AG63" t="s">
        <v>1754</v>
      </c>
      <c r="AH63">
        <v>7</v>
      </c>
      <c r="AI63">
        <v>4</v>
      </c>
      <c r="AJ63">
        <v>1</v>
      </c>
      <c r="AK63">
        <v>205.3</v>
      </c>
      <c r="AL63" t="s">
        <v>340</v>
      </c>
      <c r="AM63" t="s">
        <v>18031</v>
      </c>
      <c r="AN63" t="s">
        <v>2926</v>
      </c>
      <c r="AO63">
        <v>60400</v>
      </c>
      <c r="AP63" t="s">
        <v>18058</v>
      </c>
      <c r="AQ63" t="s">
        <v>18422</v>
      </c>
      <c r="AR63" t="s">
        <v>18446</v>
      </c>
      <c r="AS63" t="s">
        <v>2992</v>
      </c>
      <c r="AT63" t="s">
        <v>18496</v>
      </c>
      <c r="AU63">
        <v>43.7</v>
      </c>
      <c r="AV63" t="s">
        <v>220</v>
      </c>
      <c r="AW63" t="s">
        <v>3082</v>
      </c>
    </row>
    <row r="64" spans="1:50">
      <c r="A64" s="1" t="s">
        <v>82</v>
      </c>
      <c r="B64" t="s">
        <v>164</v>
      </c>
      <c r="C64" t="s">
        <v>3274</v>
      </c>
      <c r="D64" t="s">
        <v>225</v>
      </c>
      <c r="E64" t="s">
        <v>266</v>
      </c>
      <c r="F64" t="s">
        <v>723</v>
      </c>
      <c r="G64" t="s">
        <v>835</v>
      </c>
      <c r="H64" t="s">
        <v>9405</v>
      </c>
      <c r="I64" t="s">
        <v>1493</v>
      </c>
      <c r="J64" t="s">
        <v>1644</v>
      </c>
      <c r="K64">
        <v>11212</v>
      </c>
      <c r="L64" t="s">
        <v>1670</v>
      </c>
      <c r="M64" t="s">
        <v>1670</v>
      </c>
      <c r="N64" t="s">
        <v>11844</v>
      </c>
      <c r="O64" t="s">
        <v>1940</v>
      </c>
      <c r="P64" t="s">
        <v>1960</v>
      </c>
      <c r="Q64" t="s">
        <v>1969</v>
      </c>
      <c r="R64" t="s">
        <v>50</v>
      </c>
      <c r="S64" t="s">
        <v>1671</v>
      </c>
      <c r="U64" t="s">
        <v>1972</v>
      </c>
      <c r="W64" t="s">
        <v>225</v>
      </c>
      <c r="X64">
        <v>1116.59</v>
      </c>
      <c r="Y64" t="s">
        <v>2009</v>
      </c>
      <c r="Z64" t="s">
        <v>2017</v>
      </c>
      <c r="AA64" t="s">
        <v>2032</v>
      </c>
      <c r="AB64" t="s">
        <v>13115</v>
      </c>
      <c r="AD64" t="s">
        <v>15736</v>
      </c>
      <c r="AE64" t="s">
        <v>13051</v>
      </c>
      <c r="AF64" t="s">
        <v>2902</v>
      </c>
      <c r="AH64">
        <v>25</v>
      </c>
      <c r="AI64">
        <v>4</v>
      </c>
      <c r="AJ64">
        <v>0</v>
      </c>
      <c r="AK64">
        <v>205.34</v>
      </c>
      <c r="AL64" t="s">
        <v>340</v>
      </c>
      <c r="AM64" t="s">
        <v>18031</v>
      </c>
      <c r="AN64" t="s">
        <v>2926</v>
      </c>
      <c r="AO64">
        <v>51540</v>
      </c>
      <c r="AU64">
        <v>17.2</v>
      </c>
      <c r="AV64" t="s">
        <v>182</v>
      </c>
      <c r="AW64" t="s">
        <v>82</v>
      </c>
    </row>
    <row r="65" spans="1:50">
      <c r="A65" s="1" t="s">
        <v>61</v>
      </c>
      <c r="B65" t="s">
        <v>164</v>
      </c>
      <c r="C65" t="s">
        <v>3275</v>
      </c>
      <c r="D65" t="s">
        <v>367</v>
      </c>
      <c r="E65" t="s">
        <v>404</v>
      </c>
      <c r="F65" t="s">
        <v>6817</v>
      </c>
      <c r="G65" t="s">
        <v>1020</v>
      </c>
      <c r="H65" t="s">
        <v>9406</v>
      </c>
      <c r="I65">
        <v>2</v>
      </c>
      <c r="J65" t="s">
        <v>1644</v>
      </c>
      <c r="K65">
        <v>11226</v>
      </c>
      <c r="L65" t="s">
        <v>1670</v>
      </c>
      <c r="M65" t="s">
        <v>1670</v>
      </c>
      <c r="N65" t="s">
        <v>11845</v>
      </c>
      <c r="O65" t="s">
        <v>1936</v>
      </c>
      <c r="P65" t="s">
        <v>1960</v>
      </c>
      <c r="Q65" t="s">
        <v>1969</v>
      </c>
      <c r="R65" t="s">
        <v>50</v>
      </c>
      <c r="S65" t="s">
        <v>1671</v>
      </c>
      <c r="U65" t="s">
        <v>1972</v>
      </c>
      <c r="V65" t="s">
        <v>1986</v>
      </c>
      <c r="W65" t="s">
        <v>332</v>
      </c>
      <c r="X65">
        <v>1287.2</v>
      </c>
      <c r="Y65" t="s">
        <v>2009</v>
      </c>
      <c r="AA65" t="s">
        <v>2032</v>
      </c>
      <c r="AE65">
        <v>16</v>
      </c>
      <c r="AF65" t="s">
        <v>2902</v>
      </c>
      <c r="AG65" t="s">
        <v>1754</v>
      </c>
      <c r="AH65" t="s">
        <v>13051</v>
      </c>
      <c r="AI65">
        <v>2</v>
      </c>
      <c r="AJ65">
        <v>0</v>
      </c>
      <c r="AK65">
        <v>205.35</v>
      </c>
      <c r="AN65" t="s">
        <v>2927</v>
      </c>
      <c r="AO65">
        <v>33800</v>
      </c>
      <c r="AQ65" t="s">
        <v>2976</v>
      </c>
      <c r="AR65" t="s">
        <v>2017</v>
      </c>
      <c r="AS65" t="s">
        <v>2992</v>
      </c>
      <c r="AT65" t="s">
        <v>3002</v>
      </c>
      <c r="AU65">
        <v>12.6</v>
      </c>
      <c r="AV65" t="s">
        <v>404</v>
      </c>
      <c r="AW65" t="s">
        <v>158</v>
      </c>
      <c r="AX65" t="s">
        <v>18685</v>
      </c>
    </row>
    <row r="66" spans="1:50">
      <c r="A66" s="1" t="s">
        <v>94</v>
      </c>
      <c r="B66" t="s">
        <v>163</v>
      </c>
      <c r="C66" t="s">
        <v>3276</v>
      </c>
      <c r="D66" t="s">
        <v>167</v>
      </c>
      <c r="F66" t="s">
        <v>724</v>
      </c>
      <c r="G66" t="s">
        <v>921</v>
      </c>
      <c r="H66" t="s">
        <v>9407</v>
      </c>
      <c r="I66" t="s">
        <v>1622</v>
      </c>
      <c r="J66" t="s">
        <v>1643</v>
      </c>
      <c r="K66">
        <v>10040</v>
      </c>
      <c r="L66" t="s">
        <v>1670</v>
      </c>
      <c r="M66" t="s">
        <v>1670</v>
      </c>
      <c r="O66" t="s">
        <v>1938</v>
      </c>
      <c r="P66" t="s">
        <v>1960</v>
      </c>
      <c r="R66" t="s">
        <v>50</v>
      </c>
      <c r="S66" t="s">
        <v>1670</v>
      </c>
      <c r="U66" t="s">
        <v>1972</v>
      </c>
      <c r="W66" t="s">
        <v>167</v>
      </c>
      <c r="X66">
        <v>1269.44</v>
      </c>
      <c r="Y66" t="s">
        <v>2008</v>
      </c>
      <c r="Z66" t="s">
        <v>2020</v>
      </c>
      <c r="AB66" t="s">
        <v>13116</v>
      </c>
      <c r="AD66" t="s">
        <v>15737</v>
      </c>
      <c r="AE66">
        <v>88</v>
      </c>
      <c r="AF66" t="s">
        <v>2902</v>
      </c>
      <c r="AG66" t="s">
        <v>1754</v>
      </c>
      <c r="AH66">
        <v>24</v>
      </c>
      <c r="AI66">
        <v>2</v>
      </c>
      <c r="AJ66">
        <v>0</v>
      </c>
      <c r="AK66">
        <v>205.35</v>
      </c>
      <c r="AN66" t="s">
        <v>2927</v>
      </c>
      <c r="AO66">
        <v>33800</v>
      </c>
      <c r="AU66" t="s">
        <v>13051</v>
      </c>
      <c r="AW66" t="s">
        <v>3042</v>
      </c>
    </row>
    <row r="67" spans="1:50">
      <c r="A67" s="1" t="s">
        <v>113</v>
      </c>
      <c r="B67" t="s">
        <v>164</v>
      </c>
      <c r="C67" t="s">
        <v>3277</v>
      </c>
      <c r="D67" t="s">
        <v>244</v>
      </c>
      <c r="E67" t="s">
        <v>243</v>
      </c>
      <c r="F67" t="s">
        <v>6818</v>
      </c>
      <c r="G67" t="s">
        <v>7114</v>
      </c>
      <c r="H67" t="s">
        <v>9408</v>
      </c>
      <c r="I67" t="s">
        <v>1540</v>
      </c>
      <c r="J67" t="s">
        <v>1643</v>
      </c>
      <c r="K67">
        <v>10039</v>
      </c>
      <c r="L67" t="s">
        <v>1670</v>
      </c>
      <c r="M67" t="s">
        <v>1670</v>
      </c>
      <c r="N67" t="s">
        <v>11846</v>
      </c>
      <c r="O67" t="s">
        <v>1936</v>
      </c>
      <c r="P67" t="s">
        <v>1958</v>
      </c>
      <c r="Q67" t="s">
        <v>1965</v>
      </c>
      <c r="R67" t="s">
        <v>50</v>
      </c>
      <c r="S67" t="s">
        <v>1671</v>
      </c>
      <c r="U67" t="s">
        <v>1972</v>
      </c>
      <c r="W67" t="s">
        <v>1992</v>
      </c>
      <c r="X67">
        <v>700</v>
      </c>
      <c r="Y67" t="s">
        <v>2008</v>
      </c>
      <c r="Z67" t="s">
        <v>2013</v>
      </c>
      <c r="AA67" t="s">
        <v>2029</v>
      </c>
      <c r="AB67" t="s">
        <v>13117</v>
      </c>
      <c r="AD67" t="s">
        <v>15738</v>
      </c>
      <c r="AE67" t="s">
        <v>13051</v>
      </c>
      <c r="AF67" t="s">
        <v>2902</v>
      </c>
      <c r="AG67" t="s">
        <v>1754</v>
      </c>
      <c r="AH67">
        <v>12</v>
      </c>
      <c r="AI67">
        <v>1</v>
      </c>
      <c r="AJ67">
        <v>0</v>
      </c>
      <c r="AK67">
        <v>205.93</v>
      </c>
      <c r="AL67" t="s">
        <v>172</v>
      </c>
      <c r="AM67" t="s">
        <v>18031</v>
      </c>
      <c r="AN67" t="s">
        <v>2926</v>
      </c>
      <c r="AO67">
        <v>25000</v>
      </c>
      <c r="AU67">
        <v>1</v>
      </c>
      <c r="AV67" t="s">
        <v>244</v>
      </c>
      <c r="AW67" t="s">
        <v>3048</v>
      </c>
    </row>
    <row r="68" spans="1:50">
      <c r="A68" s="1" t="s">
        <v>119</v>
      </c>
      <c r="B68" t="s">
        <v>164</v>
      </c>
      <c r="C68" t="s">
        <v>3278</v>
      </c>
      <c r="D68" t="s">
        <v>224</v>
      </c>
      <c r="E68" t="s">
        <v>306</v>
      </c>
      <c r="F68" t="s">
        <v>6819</v>
      </c>
      <c r="G68" t="s">
        <v>7907</v>
      </c>
      <c r="H68" t="s">
        <v>9409</v>
      </c>
      <c r="I68" t="s">
        <v>10950</v>
      </c>
      <c r="J68" t="s">
        <v>1644</v>
      </c>
      <c r="K68">
        <v>11208</v>
      </c>
      <c r="L68" t="s">
        <v>1670</v>
      </c>
      <c r="M68" t="s">
        <v>1670</v>
      </c>
      <c r="N68" t="s">
        <v>11847</v>
      </c>
      <c r="O68" t="s">
        <v>1936</v>
      </c>
      <c r="P68" t="s">
        <v>1962</v>
      </c>
      <c r="Q68" t="s">
        <v>1965</v>
      </c>
      <c r="R68" t="s">
        <v>50</v>
      </c>
      <c r="U68" t="s">
        <v>1972</v>
      </c>
      <c r="W68" t="s">
        <v>224</v>
      </c>
      <c r="X68">
        <v>1400</v>
      </c>
      <c r="Y68" t="s">
        <v>2009</v>
      </c>
      <c r="Z68" t="s">
        <v>2017</v>
      </c>
      <c r="AA68" t="s">
        <v>2029</v>
      </c>
      <c r="AB68" t="s">
        <v>13118</v>
      </c>
      <c r="AD68" t="s">
        <v>15739</v>
      </c>
      <c r="AE68">
        <v>2</v>
      </c>
      <c r="AF68" t="s">
        <v>2902</v>
      </c>
      <c r="AH68">
        <v>4</v>
      </c>
      <c r="AI68">
        <v>1</v>
      </c>
      <c r="AJ68">
        <v>0</v>
      </c>
      <c r="AK68">
        <v>205.93</v>
      </c>
      <c r="AN68" t="s">
        <v>2926</v>
      </c>
      <c r="AO68">
        <v>25000</v>
      </c>
      <c r="AP68" t="s">
        <v>18059</v>
      </c>
      <c r="AU68">
        <v>1.7</v>
      </c>
      <c r="AV68" t="s">
        <v>192</v>
      </c>
      <c r="AW68" t="s">
        <v>3049</v>
      </c>
    </row>
    <row r="69" spans="1:50">
      <c r="A69" s="1" t="s">
        <v>3142</v>
      </c>
      <c r="B69" t="s">
        <v>164</v>
      </c>
      <c r="C69" t="s">
        <v>3279</v>
      </c>
      <c r="D69" t="s">
        <v>185</v>
      </c>
      <c r="E69" t="s">
        <v>2003</v>
      </c>
      <c r="F69" t="s">
        <v>6820</v>
      </c>
      <c r="G69" t="s">
        <v>7908</v>
      </c>
      <c r="H69" t="s">
        <v>9410</v>
      </c>
      <c r="I69" t="s">
        <v>1595</v>
      </c>
      <c r="J69" t="s">
        <v>1641</v>
      </c>
      <c r="K69">
        <v>10473</v>
      </c>
      <c r="L69" t="s">
        <v>1670</v>
      </c>
      <c r="M69" t="s">
        <v>1670</v>
      </c>
      <c r="N69" t="s">
        <v>11848</v>
      </c>
      <c r="O69" t="s">
        <v>1936</v>
      </c>
      <c r="P69" t="s">
        <v>1962</v>
      </c>
      <c r="Q69" t="s">
        <v>1965</v>
      </c>
      <c r="R69" t="s">
        <v>50</v>
      </c>
      <c r="S69" t="s">
        <v>1671</v>
      </c>
      <c r="U69" t="s">
        <v>1972</v>
      </c>
      <c r="V69" t="s">
        <v>1983</v>
      </c>
      <c r="W69" t="s">
        <v>185</v>
      </c>
      <c r="X69">
        <v>640</v>
      </c>
      <c r="Y69" t="s">
        <v>2006</v>
      </c>
      <c r="Z69" t="s">
        <v>2023</v>
      </c>
      <c r="AA69" t="s">
        <v>2029</v>
      </c>
      <c r="AB69" t="s">
        <v>13119</v>
      </c>
      <c r="AC69" t="s">
        <v>15074</v>
      </c>
      <c r="AD69" t="s">
        <v>15740</v>
      </c>
      <c r="AE69">
        <v>5</v>
      </c>
      <c r="AF69" t="s">
        <v>2903</v>
      </c>
      <c r="AG69" t="s">
        <v>1754</v>
      </c>
      <c r="AH69">
        <v>5</v>
      </c>
      <c r="AI69">
        <v>1</v>
      </c>
      <c r="AJ69">
        <v>0</v>
      </c>
      <c r="AK69">
        <v>205.93</v>
      </c>
      <c r="AL69" t="s">
        <v>340</v>
      </c>
      <c r="AM69" t="s">
        <v>18031</v>
      </c>
      <c r="AN69" t="s">
        <v>2926</v>
      </c>
      <c r="AO69">
        <v>25000</v>
      </c>
      <c r="AP69" t="s">
        <v>18060</v>
      </c>
      <c r="AU69">
        <v>4.9</v>
      </c>
      <c r="AV69" t="s">
        <v>2003</v>
      </c>
      <c r="AW69" t="s">
        <v>18653</v>
      </c>
    </row>
    <row r="70" spans="1:50">
      <c r="A70" s="1" t="s">
        <v>67</v>
      </c>
      <c r="B70" t="s">
        <v>164</v>
      </c>
      <c r="C70" t="s">
        <v>3280</v>
      </c>
      <c r="D70" t="s">
        <v>6128</v>
      </c>
      <c r="E70" t="s">
        <v>297</v>
      </c>
      <c r="F70" t="s">
        <v>6821</v>
      </c>
      <c r="G70" t="s">
        <v>7909</v>
      </c>
      <c r="H70" t="s">
        <v>9411</v>
      </c>
      <c r="I70" t="s">
        <v>1540</v>
      </c>
      <c r="J70" t="s">
        <v>1643</v>
      </c>
      <c r="K70">
        <v>10009</v>
      </c>
      <c r="L70" t="s">
        <v>1670</v>
      </c>
      <c r="M70" t="s">
        <v>1670</v>
      </c>
      <c r="N70" t="s">
        <v>11849</v>
      </c>
      <c r="O70" t="s">
        <v>1936</v>
      </c>
      <c r="P70" t="s">
        <v>1960</v>
      </c>
      <c r="Q70" t="s">
        <v>1969</v>
      </c>
      <c r="R70" t="s">
        <v>50</v>
      </c>
      <c r="S70" t="s">
        <v>1671</v>
      </c>
      <c r="U70" t="s">
        <v>1972</v>
      </c>
      <c r="W70" t="s">
        <v>1989</v>
      </c>
      <c r="X70">
        <v>481</v>
      </c>
      <c r="Y70" t="s">
        <v>2008</v>
      </c>
      <c r="Z70" t="s">
        <v>2026</v>
      </c>
      <c r="AA70" t="s">
        <v>2032</v>
      </c>
      <c r="AB70" t="s">
        <v>13120</v>
      </c>
      <c r="AE70">
        <v>12</v>
      </c>
      <c r="AF70" t="s">
        <v>2909</v>
      </c>
      <c r="AG70" t="s">
        <v>1754</v>
      </c>
      <c r="AH70">
        <v>8</v>
      </c>
      <c r="AI70">
        <v>1</v>
      </c>
      <c r="AJ70">
        <v>0</v>
      </c>
      <c r="AK70">
        <v>205.93</v>
      </c>
      <c r="AN70" t="s">
        <v>2926</v>
      </c>
      <c r="AO70">
        <v>25000</v>
      </c>
      <c r="AU70">
        <v>1.25</v>
      </c>
      <c r="AV70" t="s">
        <v>184</v>
      </c>
      <c r="AW70" t="s">
        <v>3048</v>
      </c>
      <c r="AX70" t="s">
        <v>18685</v>
      </c>
    </row>
    <row r="71" spans="1:50">
      <c r="A71" s="1" t="s">
        <v>126</v>
      </c>
      <c r="B71" t="s">
        <v>163</v>
      </c>
      <c r="C71" t="s">
        <v>3281</v>
      </c>
      <c r="D71" t="s">
        <v>250</v>
      </c>
      <c r="F71" t="s">
        <v>660</v>
      </c>
      <c r="G71" t="s">
        <v>914</v>
      </c>
      <c r="H71" t="s">
        <v>9412</v>
      </c>
      <c r="I71">
        <v>1</v>
      </c>
      <c r="J71" t="s">
        <v>1641</v>
      </c>
      <c r="K71">
        <v>10475</v>
      </c>
      <c r="L71" t="s">
        <v>1670</v>
      </c>
      <c r="M71" t="s">
        <v>1670</v>
      </c>
      <c r="N71" t="s">
        <v>11850</v>
      </c>
      <c r="O71" t="s">
        <v>1948</v>
      </c>
      <c r="P71" t="s">
        <v>1960</v>
      </c>
      <c r="R71" t="s">
        <v>50</v>
      </c>
      <c r="S71" t="s">
        <v>1671</v>
      </c>
      <c r="U71" t="s">
        <v>1972</v>
      </c>
      <c r="W71" t="s">
        <v>250</v>
      </c>
      <c r="X71">
        <v>1513</v>
      </c>
      <c r="Y71" t="s">
        <v>2006</v>
      </c>
      <c r="AB71" t="s">
        <v>13121</v>
      </c>
      <c r="AE71">
        <v>10914</v>
      </c>
      <c r="AF71" t="s">
        <v>2906</v>
      </c>
      <c r="AH71">
        <v>12</v>
      </c>
      <c r="AI71">
        <v>1</v>
      </c>
      <c r="AJ71">
        <v>2</v>
      </c>
      <c r="AK71">
        <v>206.74</v>
      </c>
      <c r="AL71" t="s">
        <v>271</v>
      </c>
      <c r="AM71" t="s">
        <v>18031</v>
      </c>
      <c r="AN71" t="s">
        <v>2926</v>
      </c>
      <c r="AO71">
        <v>42960</v>
      </c>
      <c r="AU71">
        <v>42</v>
      </c>
      <c r="AV71" t="s">
        <v>268</v>
      </c>
      <c r="AW71" t="s">
        <v>126</v>
      </c>
    </row>
    <row r="72" spans="1:50">
      <c r="A72" s="1" t="s">
        <v>120</v>
      </c>
      <c r="B72" t="s">
        <v>164</v>
      </c>
      <c r="C72" t="s">
        <v>3282</v>
      </c>
      <c r="D72" t="s">
        <v>291</v>
      </c>
      <c r="E72" t="s">
        <v>401</v>
      </c>
      <c r="F72" t="s">
        <v>6822</v>
      </c>
      <c r="G72" t="s">
        <v>7910</v>
      </c>
      <c r="H72" t="s">
        <v>9413</v>
      </c>
      <c r="I72" t="s">
        <v>1491</v>
      </c>
      <c r="J72" t="s">
        <v>1644</v>
      </c>
      <c r="K72">
        <v>11233</v>
      </c>
      <c r="L72" t="s">
        <v>1670</v>
      </c>
      <c r="M72" t="s">
        <v>1672</v>
      </c>
      <c r="N72" t="s">
        <v>1691</v>
      </c>
      <c r="O72" t="s">
        <v>1675</v>
      </c>
      <c r="P72" t="s">
        <v>1958</v>
      </c>
      <c r="Q72" t="s">
        <v>1965</v>
      </c>
      <c r="R72" t="s">
        <v>50</v>
      </c>
      <c r="S72" t="s">
        <v>1671</v>
      </c>
      <c r="U72" t="s">
        <v>1972</v>
      </c>
      <c r="V72" t="s">
        <v>1984</v>
      </c>
      <c r="W72" t="s">
        <v>188</v>
      </c>
      <c r="X72">
        <v>2150</v>
      </c>
      <c r="Y72" t="s">
        <v>2009</v>
      </c>
      <c r="Z72" t="s">
        <v>2025</v>
      </c>
      <c r="AA72" t="s">
        <v>2029</v>
      </c>
      <c r="AB72" t="s">
        <v>13122</v>
      </c>
      <c r="AC72" t="s">
        <v>1691</v>
      </c>
      <c r="AD72" t="s">
        <v>15741</v>
      </c>
      <c r="AE72">
        <v>2</v>
      </c>
      <c r="AF72" t="s">
        <v>2903</v>
      </c>
      <c r="AG72" t="s">
        <v>1754</v>
      </c>
      <c r="AH72">
        <v>1</v>
      </c>
      <c r="AI72">
        <v>2</v>
      </c>
      <c r="AJ72">
        <v>0</v>
      </c>
      <c r="AK72">
        <v>206.98</v>
      </c>
      <c r="AN72" t="s">
        <v>2926</v>
      </c>
      <c r="AO72">
        <v>35000</v>
      </c>
      <c r="AU72">
        <v>3.5</v>
      </c>
      <c r="AV72" t="s">
        <v>401</v>
      </c>
      <c r="AW72" t="s">
        <v>18654</v>
      </c>
      <c r="AX72" t="s">
        <v>18685</v>
      </c>
    </row>
    <row r="73" spans="1:50">
      <c r="A73" s="1" t="s">
        <v>3045</v>
      </c>
      <c r="B73" t="s">
        <v>163</v>
      </c>
      <c r="C73" t="s">
        <v>3283</v>
      </c>
      <c r="D73" t="s">
        <v>230</v>
      </c>
      <c r="F73" t="s">
        <v>6823</v>
      </c>
      <c r="G73" t="s">
        <v>7911</v>
      </c>
      <c r="H73" t="s">
        <v>1131</v>
      </c>
      <c r="I73" t="s">
        <v>10951</v>
      </c>
      <c r="J73" t="s">
        <v>1641</v>
      </c>
      <c r="K73">
        <v>10460</v>
      </c>
      <c r="L73" t="s">
        <v>1670</v>
      </c>
      <c r="M73" t="s">
        <v>1672</v>
      </c>
      <c r="O73" t="s">
        <v>1675</v>
      </c>
      <c r="P73" t="s">
        <v>1959</v>
      </c>
      <c r="R73" t="s">
        <v>50</v>
      </c>
      <c r="S73" t="s">
        <v>1670</v>
      </c>
      <c r="U73" t="s">
        <v>1972</v>
      </c>
      <c r="W73" t="s">
        <v>1991</v>
      </c>
      <c r="X73">
        <v>1169</v>
      </c>
      <c r="Y73" t="s">
        <v>2006</v>
      </c>
      <c r="Z73" t="s">
        <v>2015</v>
      </c>
      <c r="AB73" t="s">
        <v>13123</v>
      </c>
      <c r="AE73">
        <v>168</v>
      </c>
      <c r="AF73" t="s">
        <v>2902</v>
      </c>
      <c r="AG73" t="s">
        <v>2915</v>
      </c>
      <c r="AH73">
        <v>-1</v>
      </c>
      <c r="AI73">
        <v>2</v>
      </c>
      <c r="AJ73">
        <v>0</v>
      </c>
      <c r="AK73">
        <v>206.98</v>
      </c>
      <c r="AN73" t="s">
        <v>2926</v>
      </c>
      <c r="AO73">
        <v>35000</v>
      </c>
      <c r="AU73" t="s">
        <v>13051</v>
      </c>
      <c r="AW73" t="s">
        <v>3045</v>
      </c>
      <c r="AX73" t="s">
        <v>18685</v>
      </c>
    </row>
    <row r="74" spans="1:50">
      <c r="A74" s="1" t="s">
        <v>74</v>
      </c>
      <c r="B74" t="s">
        <v>163</v>
      </c>
      <c r="C74" t="s">
        <v>3284</v>
      </c>
      <c r="D74" t="s">
        <v>230</v>
      </c>
      <c r="F74" t="s">
        <v>6824</v>
      </c>
      <c r="G74" t="s">
        <v>7912</v>
      </c>
      <c r="H74" t="s">
        <v>1131</v>
      </c>
      <c r="I74" t="s">
        <v>10952</v>
      </c>
      <c r="J74" t="s">
        <v>1641</v>
      </c>
      <c r="K74">
        <v>10460</v>
      </c>
      <c r="L74" t="s">
        <v>1670</v>
      </c>
      <c r="M74" t="s">
        <v>1672</v>
      </c>
      <c r="O74" t="s">
        <v>1675</v>
      </c>
      <c r="P74" t="s">
        <v>1959</v>
      </c>
      <c r="R74" t="s">
        <v>50</v>
      </c>
      <c r="S74" t="s">
        <v>1670</v>
      </c>
      <c r="U74" t="s">
        <v>1972</v>
      </c>
      <c r="W74" t="s">
        <v>1991</v>
      </c>
      <c r="X74">
        <v>1960</v>
      </c>
      <c r="Y74" t="s">
        <v>2006</v>
      </c>
      <c r="Z74" t="s">
        <v>2015</v>
      </c>
      <c r="AB74" t="s">
        <v>13124</v>
      </c>
      <c r="AD74" t="s">
        <v>15742</v>
      </c>
      <c r="AE74">
        <v>168</v>
      </c>
      <c r="AF74" t="s">
        <v>2909</v>
      </c>
      <c r="AG74" t="s">
        <v>2915</v>
      </c>
      <c r="AH74">
        <v>11</v>
      </c>
      <c r="AI74">
        <v>1</v>
      </c>
      <c r="AJ74">
        <v>1</v>
      </c>
      <c r="AK74">
        <v>206.98</v>
      </c>
      <c r="AN74" t="s">
        <v>2926</v>
      </c>
      <c r="AO74">
        <v>35000</v>
      </c>
      <c r="AU74" t="s">
        <v>13051</v>
      </c>
      <c r="AW74" t="s">
        <v>3045</v>
      </c>
      <c r="AX74" t="s">
        <v>18685</v>
      </c>
    </row>
    <row r="75" spans="1:50">
      <c r="A75" s="1" t="s">
        <v>61</v>
      </c>
      <c r="B75" t="s">
        <v>163</v>
      </c>
      <c r="C75" t="s">
        <v>3285</v>
      </c>
      <c r="D75" t="s">
        <v>6129</v>
      </c>
      <c r="F75" t="s">
        <v>6825</v>
      </c>
      <c r="G75" t="s">
        <v>7913</v>
      </c>
      <c r="H75" t="s">
        <v>9414</v>
      </c>
      <c r="I75" t="s">
        <v>10953</v>
      </c>
      <c r="J75" t="s">
        <v>1644</v>
      </c>
      <c r="K75">
        <v>11230</v>
      </c>
      <c r="L75" t="s">
        <v>1670</v>
      </c>
      <c r="M75" t="s">
        <v>1672</v>
      </c>
      <c r="O75" t="s">
        <v>1675</v>
      </c>
      <c r="P75" t="s">
        <v>1959</v>
      </c>
      <c r="R75" t="s">
        <v>50</v>
      </c>
      <c r="S75" t="s">
        <v>1670</v>
      </c>
      <c r="U75" t="s">
        <v>1972</v>
      </c>
      <c r="W75" t="s">
        <v>167</v>
      </c>
      <c r="X75">
        <v>615.9400000000001</v>
      </c>
      <c r="Y75" t="s">
        <v>2009</v>
      </c>
      <c r="Z75" t="s">
        <v>2015</v>
      </c>
      <c r="AB75" t="s">
        <v>13125</v>
      </c>
      <c r="AE75">
        <v>40</v>
      </c>
      <c r="AF75" t="s">
        <v>2902</v>
      </c>
      <c r="AG75" t="s">
        <v>1754</v>
      </c>
      <c r="AH75">
        <v>37</v>
      </c>
      <c r="AI75">
        <v>4</v>
      </c>
      <c r="AJ75">
        <v>0</v>
      </c>
      <c r="AK75">
        <v>207.17</v>
      </c>
      <c r="AN75" t="s">
        <v>2926</v>
      </c>
      <c r="AO75">
        <v>52000</v>
      </c>
      <c r="AU75">
        <v>3.7</v>
      </c>
      <c r="AV75" t="s">
        <v>210</v>
      </c>
      <c r="AW75" t="s">
        <v>3079</v>
      </c>
    </row>
    <row r="76" spans="1:50">
      <c r="A76" s="1" t="s">
        <v>3143</v>
      </c>
      <c r="B76" t="s">
        <v>163</v>
      </c>
      <c r="C76" t="s">
        <v>3286</v>
      </c>
      <c r="D76" t="s">
        <v>342</v>
      </c>
      <c r="F76" t="s">
        <v>6826</v>
      </c>
      <c r="G76" t="s">
        <v>870</v>
      </c>
      <c r="H76" t="s">
        <v>9415</v>
      </c>
      <c r="I76" t="s">
        <v>1590</v>
      </c>
      <c r="J76" t="s">
        <v>1641</v>
      </c>
      <c r="K76">
        <v>10456</v>
      </c>
      <c r="L76" t="s">
        <v>1670</v>
      </c>
      <c r="M76" t="s">
        <v>1670</v>
      </c>
      <c r="O76" t="s">
        <v>1940</v>
      </c>
      <c r="P76" t="s">
        <v>1959</v>
      </c>
      <c r="R76" t="s">
        <v>50</v>
      </c>
      <c r="S76" t="s">
        <v>1671</v>
      </c>
      <c r="U76" t="s">
        <v>1972</v>
      </c>
      <c r="W76" t="s">
        <v>252</v>
      </c>
      <c r="X76">
        <v>971</v>
      </c>
      <c r="Y76" t="s">
        <v>2006</v>
      </c>
      <c r="Z76" t="s">
        <v>2020</v>
      </c>
      <c r="AB76" t="s">
        <v>13126</v>
      </c>
      <c r="AD76" t="s">
        <v>15743</v>
      </c>
      <c r="AE76" t="s">
        <v>13051</v>
      </c>
      <c r="AF76" t="s">
        <v>2902</v>
      </c>
      <c r="AG76" t="s">
        <v>2919</v>
      </c>
      <c r="AH76">
        <v>60</v>
      </c>
      <c r="AI76">
        <v>2</v>
      </c>
      <c r="AJ76">
        <v>0</v>
      </c>
      <c r="AK76">
        <v>207.48</v>
      </c>
      <c r="AN76" t="s">
        <v>2927</v>
      </c>
      <c r="AO76">
        <v>34152</v>
      </c>
      <c r="AU76">
        <v>4.9</v>
      </c>
      <c r="AV76" t="s">
        <v>316</v>
      </c>
      <c r="AW76" t="s">
        <v>18655</v>
      </c>
    </row>
    <row r="77" spans="1:50">
      <c r="A77" s="1" t="s">
        <v>3144</v>
      </c>
      <c r="B77" t="s">
        <v>163</v>
      </c>
      <c r="C77" t="s">
        <v>3287</v>
      </c>
      <c r="D77" t="s">
        <v>192</v>
      </c>
      <c r="F77" t="s">
        <v>741</v>
      </c>
      <c r="G77" t="s">
        <v>7914</v>
      </c>
      <c r="H77" t="s">
        <v>9416</v>
      </c>
      <c r="I77">
        <v>15</v>
      </c>
      <c r="J77" t="s">
        <v>1641</v>
      </c>
      <c r="K77">
        <v>10451</v>
      </c>
      <c r="L77" t="s">
        <v>1670</v>
      </c>
      <c r="M77" t="s">
        <v>1670</v>
      </c>
      <c r="N77" t="s">
        <v>1691</v>
      </c>
      <c r="O77" t="s">
        <v>12743</v>
      </c>
      <c r="P77" t="s">
        <v>1959</v>
      </c>
      <c r="R77" t="s">
        <v>50</v>
      </c>
      <c r="S77" t="s">
        <v>1671</v>
      </c>
      <c r="U77" t="s">
        <v>1973</v>
      </c>
      <c r="W77" t="s">
        <v>214</v>
      </c>
      <c r="X77">
        <v>964</v>
      </c>
      <c r="Y77" t="s">
        <v>2006</v>
      </c>
      <c r="Z77" t="s">
        <v>2020</v>
      </c>
      <c r="AB77" t="s">
        <v>13127</v>
      </c>
      <c r="AD77" t="s">
        <v>15744</v>
      </c>
      <c r="AE77">
        <v>17</v>
      </c>
      <c r="AF77" t="s">
        <v>2902</v>
      </c>
      <c r="AG77" t="s">
        <v>2915</v>
      </c>
      <c r="AH77">
        <v>7</v>
      </c>
      <c r="AI77">
        <v>1</v>
      </c>
      <c r="AJ77">
        <v>0</v>
      </c>
      <c r="AK77">
        <v>207.58</v>
      </c>
      <c r="AN77" t="s">
        <v>2927</v>
      </c>
      <c r="AO77">
        <v>25200</v>
      </c>
      <c r="AP77" t="s">
        <v>18061</v>
      </c>
      <c r="AU77">
        <v>4.7</v>
      </c>
      <c r="AV77" t="s">
        <v>203</v>
      </c>
      <c r="AW77" t="s">
        <v>3070</v>
      </c>
    </row>
    <row r="78" spans="1:50">
      <c r="A78" s="1" t="s">
        <v>90</v>
      </c>
      <c r="B78" t="s">
        <v>163</v>
      </c>
      <c r="C78" t="s">
        <v>3288</v>
      </c>
      <c r="D78" t="s">
        <v>253</v>
      </c>
      <c r="F78" t="s">
        <v>507</v>
      </c>
      <c r="G78" t="s">
        <v>7915</v>
      </c>
      <c r="H78" t="s">
        <v>9417</v>
      </c>
      <c r="I78" t="s">
        <v>10954</v>
      </c>
      <c r="J78" t="s">
        <v>1646</v>
      </c>
      <c r="K78">
        <v>10304</v>
      </c>
      <c r="L78" t="s">
        <v>1672</v>
      </c>
      <c r="M78" t="s">
        <v>1672</v>
      </c>
      <c r="O78" t="s">
        <v>1936</v>
      </c>
      <c r="P78" t="s">
        <v>1960</v>
      </c>
      <c r="R78" t="s">
        <v>50</v>
      </c>
      <c r="S78" t="s">
        <v>1671</v>
      </c>
      <c r="U78" t="s">
        <v>1972</v>
      </c>
      <c r="W78" t="s">
        <v>253</v>
      </c>
      <c r="X78" t="s">
        <v>13051</v>
      </c>
      <c r="Y78" t="s">
        <v>2010</v>
      </c>
      <c r="AB78" t="s">
        <v>13128</v>
      </c>
      <c r="AD78" t="s">
        <v>15745</v>
      </c>
      <c r="AE78" t="s">
        <v>13051</v>
      </c>
      <c r="AH78" t="s">
        <v>13051</v>
      </c>
      <c r="AI78">
        <v>1</v>
      </c>
      <c r="AJ78">
        <v>0</v>
      </c>
      <c r="AK78">
        <v>207.62</v>
      </c>
      <c r="AM78" t="s">
        <v>18031</v>
      </c>
      <c r="AN78" t="s">
        <v>2926</v>
      </c>
      <c r="AO78">
        <v>25932</v>
      </c>
      <c r="AU78">
        <v>16.55</v>
      </c>
      <c r="AV78" t="s">
        <v>397</v>
      </c>
      <c r="AW78" t="s">
        <v>3056</v>
      </c>
    </row>
    <row r="79" spans="1:50">
      <c r="A79" s="1" t="s">
        <v>3145</v>
      </c>
      <c r="B79" t="s">
        <v>163</v>
      </c>
      <c r="C79" t="s">
        <v>3289</v>
      </c>
      <c r="D79" t="s">
        <v>2004</v>
      </c>
      <c r="F79" t="s">
        <v>6827</v>
      </c>
      <c r="G79" t="s">
        <v>7916</v>
      </c>
      <c r="H79" t="s">
        <v>9418</v>
      </c>
      <c r="I79" t="s">
        <v>1507</v>
      </c>
      <c r="J79" t="s">
        <v>1643</v>
      </c>
      <c r="K79">
        <v>10031</v>
      </c>
      <c r="L79" t="s">
        <v>1670</v>
      </c>
      <c r="M79" t="s">
        <v>1670</v>
      </c>
      <c r="N79" t="s">
        <v>11851</v>
      </c>
      <c r="O79" t="s">
        <v>1940</v>
      </c>
      <c r="P79" t="s">
        <v>1960</v>
      </c>
      <c r="R79" t="s">
        <v>50</v>
      </c>
      <c r="S79" t="s">
        <v>1671</v>
      </c>
      <c r="U79" t="s">
        <v>1972</v>
      </c>
      <c r="V79" t="s">
        <v>1984</v>
      </c>
      <c r="W79" t="s">
        <v>2004</v>
      </c>
      <c r="X79">
        <v>186.57</v>
      </c>
      <c r="Y79" t="s">
        <v>2008</v>
      </c>
      <c r="Z79" t="s">
        <v>2013</v>
      </c>
      <c r="AB79" t="s">
        <v>13129</v>
      </c>
      <c r="AD79" t="s">
        <v>15746</v>
      </c>
      <c r="AE79" t="s">
        <v>13051</v>
      </c>
      <c r="AF79" t="s">
        <v>2902</v>
      </c>
      <c r="AG79" t="s">
        <v>1754</v>
      </c>
      <c r="AH79">
        <v>48</v>
      </c>
      <c r="AI79">
        <v>2</v>
      </c>
      <c r="AJ79">
        <v>0</v>
      </c>
      <c r="AK79">
        <v>207.87</v>
      </c>
      <c r="AN79" t="s">
        <v>2926</v>
      </c>
      <c r="AO79">
        <v>34216</v>
      </c>
      <c r="AU79">
        <v>95.59999999999999</v>
      </c>
      <c r="AV79" t="s">
        <v>333</v>
      </c>
      <c r="AW79" t="s">
        <v>3048</v>
      </c>
    </row>
    <row r="80" spans="1:50">
      <c r="A80" s="1" t="s">
        <v>3146</v>
      </c>
      <c r="B80" t="s">
        <v>163</v>
      </c>
      <c r="C80" t="s">
        <v>3290</v>
      </c>
      <c r="D80" t="s">
        <v>6130</v>
      </c>
      <c r="F80" t="s">
        <v>6828</v>
      </c>
      <c r="G80" t="s">
        <v>7917</v>
      </c>
      <c r="H80" t="s">
        <v>9419</v>
      </c>
      <c r="I80" t="s">
        <v>10955</v>
      </c>
      <c r="J80" t="s">
        <v>1641</v>
      </c>
      <c r="K80">
        <v>10471</v>
      </c>
      <c r="L80" t="s">
        <v>1670</v>
      </c>
      <c r="M80" t="s">
        <v>1670</v>
      </c>
      <c r="N80" t="s">
        <v>11852</v>
      </c>
      <c r="O80" t="s">
        <v>1936</v>
      </c>
      <c r="P80" t="s">
        <v>1960</v>
      </c>
      <c r="R80" t="s">
        <v>50</v>
      </c>
      <c r="S80" t="s">
        <v>1671</v>
      </c>
      <c r="U80" t="s">
        <v>1972</v>
      </c>
      <c r="V80" t="s">
        <v>1984</v>
      </c>
      <c r="W80" t="s">
        <v>214</v>
      </c>
      <c r="X80">
        <v>2000</v>
      </c>
      <c r="Y80" t="s">
        <v>2006</v>
      </c>
      <c r="Z80" t="s">
        <v>2023</v>
      </c>
      <c r="AB80" t="s">
        <v>13130</v>
      </c>
      <c r="AD80" t="s">
        <v>15747</v>
      </c>
      <c r="AE80">
        <v>69</v>
      </c>
      <c r="AF80" t="s">
        <v>2904</v>
      </c>
      <c r="AG80" t="s">
        <v>1754</v>
      </c>
      <c r="AH80">
        <v>2</v>
      </c>
      <c r="AI80">
        <v>2</v>
      </c>
      <c r="AJ80">
        <v>0</v>
      </c>
      <c r="AK80">
        <v>208.11</v>
      </c>
      <c r="AL80" t="s">
        <v>390</v>
      </c>
      <c r="AM80" t="s">
        <v>18031</v>
      </c>
      <c r="AN80" t="s">
        <v>2927</v>
      </c>
      <c r="AO80">
        <v>33339.54</v>
      </c>
      <c r="AP80" t="s">
        <v>18062</v>
      </c>
      <c r="AU80">
        <v>151.2</v>
      </c>
      <c r="AV80" t="s">
        <v>393</v>
      </c>
      <c r="AW80" t="s">
        <v>18656</v>
      </c>
    </row>
    <row r="81" spans="1:50">
      <c r="A81" s="1" t="s">
        <v>63</v>
      </c>
      <c r="B81" t="s">
        <v>163</v>
      </c>
      <c r="C81" t="s">
        <v>3291</v>
      </c>
      <c r="D81" t="s">
        <v>401</v>
      </c>
      <c r="F81" t="s">
        <v>6829</v>
      </c>
      <c r="G81" t="s">
        <v>803</v>
      </c>
      <c r="H81" t="s">
        <v>1227</v>
      </c>
      <c r="I81" t="s">
        <v>1519</v>
      </c>
      <c r="J81" t="s">
        <v>1641</v>
      </c>
      <c r="K81">
        <v>10463</v>
      </c>
      <c r="L81" t="s">
        <v>1670</v>
      </c>
      <c r="M81" t="s">
        <v>1672</v>
      </c>
      <c r="N81" t="s">
        <v>11853</v>
      </c>
      <c r="O81" t="s">
        <v>1936</v>
      </c>
      <c r="P81" t="s">
        <v>1960</v>
      </c>
      <c r="R81" t="s">
        <v>50</v>
      </c>
      <c r="S81" t="s">
        <v>1671</v>
      </c>
      <c r="U81" t="s">
        <v>1972</v>
      </c>
      <c r="W81" t="s">
        <v>401</v>
      </c>
      <c r="X81">
        <v>948</v>
      </c>
      <c r="Y81" t="s">
        <v>2006</v>
      </c>
      <c r="Z81" t="s">
        <v>2015</v>
      </c>
      <c r="AB81" t="s">
        <v>13131</v>
      </c>
      <c r="AD81" t="s">
        <v>15748</v>
      </c>
      <c r="AE81">
        <v>55</v>
      </c>
      <c r="AF81" t="s">
        <v>2902</v>
      </c>
      <c r="AG81" t="s">
        <v>1754</v>
      </c>
      <c r="AH81">
        <v>10</v>
      </c>
      <c r="AI81">
        <v>1</v>
      </c>
      <c r="AJ81">
        <v>0</v>
      </c>
      <c r="AK81">
        <v>208.17</v>
      </c>
      <c r="AN81" t="s">
        <v>2927</v>
      </c>
      <c r="AO81">
        <v>26000</v>
      </c>
      <c r="AP81" t="s">
        <v>18063</v>
      </c>
      <c r="AU81">
        <v>5.1</v>
      </c>
      <c r="AV81" t="s">
        <v>3034</v>
      </c>
      <c r="AW81" t="s">
        <v>3045</v>
      </c>
      <c r="AX81" t="s">
        <v>18685</v>
      </c>
    </row>
    <row r="82" spans="1:50">
      <c r="A82" s="1" t="s">
        <v>82</v>
      </c>
      <c r="B82" t="s">
        <v>163</v>
      </c>
      <c r="C82" t="s">
        <v>3292</v>
      </c>
      <c r="D82" t="s">
        <v>294</v>
      </c>
      <c r="F82" t="s">
        <v>6830</v>
      </c>
      <c r="G82" t="s">
        <v>7918</v>
      </c>
      <c r="H82" t="s">
        <v>9420</v>
      </c>
      <c r="I82" t="s">
        <v>10956</v>
      </c>
      <c r="J82" t="s">
        <v>1644</v>
      </c>
      <c r="K82">
        <v>11233</v>
      </c>
      <c r="L82" t="s">
        <v>1670</v>
      </c>
      <c r="M82" t="s">
        <v>1671</v>
      </c>
      <c r="O82" t="s">
        <v>1937</v>
      </c>
      <c r="P82" t="s">
        <v>1962</v>
      </c>
      <c r="R82" t="s">
        <v>50</v>
      </c>
      <c r="S82" t="s">
        <v>1670</v>
      </c>
      <c r="U82" t="s">
        <v>1972</v>
      </c>
      <c r="V82" t="s">
        <v>1984</v>
      </c>
      <c r="W82" t="s">
        <v>221</v>
      </c>
      <c r="X82">
        <v>1121</v>
      </c>
      <c r="Y82" t="s">
        <v>2009</v>
      </c>
      <c r="Z82" t="s">
        <v>2017</v>
      </c>
      <c r="AB82" t="s">
        <v>13132</v>
      </c>
      <c r="AE82">
        <v>359</v>
      </c>
      <c r="AF82" t="s">
        <v>2902</v>
      </c>
      <c r="AG82" t="s">
        <v>1754</v>
      </c>
      <c r="AH82">
        <v>4</v>
      </c>
      <c r="AI82">
        <v>3</v>
      </c>
      <c r="AJ82">
        <v>0</v>
      </c>
      <c r="AK82">
        <v>209.07</v>
      </c>
      <c r="AL82" t="s">
        <v>365</v>
      </c>
      <c r="AM82" t="s">
        <v>18031</v>
      </c>
      <c r="AN82" t="s">
        <v>2926</v>
      </c>
      <c r="AO82">
        <v>44595</v>
      </c>
      <c r="AP82" t="s">
        <v>18064</v>
      </c>
      <c r="AU82" t="s">
        <v>13051</v>
      </c>
      <c r="AW82" t="s">
        <v>3059</v>
      </c>
    </row>
    <row r="83" spans="1:50">
      <c r="A83" s="1" t="s">
        <v>82</v>
      </c>
      <c r="B83" t="s">
        <v>163</v>
      </c>
      <c r="C83" t="s">
        <v>3293</v>
      </c>
      <c r="D83" t="s">
        <v>210</v>
      </c>
      <c r="F83" t="s">
        <v>6830</v>
      </c>
      <c r="G83" t="s">
        <v>7918</v>
      </c>
      <c r="H83" t="s">
        <v>9420</v>
      </c>
      <c r="I83" t="s">
        <v>10956</v>
      </c>
      <c r="J83" t="s">
        <v>1644</v>
      </c>
      <c r="K83">
        <v>11233</v>
      </c>
      <c r="L83" t="s">
        <v>1670</v>
      </c>
      <c r="M83" t="s">
        <v>1671</v>
      </c>
      <c r="N83" t="s">
        <v>1675</v>
      </c>
      <c r="O83" t="s">
        <v>1938</v>
      </c>
      <c r="P83" t="s">
        <v>1961</v>
      </c>
      <c r="R83" t="s">
        <v>50</v>
      </c>
      <c r="S83" t="s">
        <v>1670</v>
      </c>
      <c r="U83" t="s">
        <v>1972</v>
      </c>
      <c r="V83" t="s">
        <v>1984</v>
      </c>
      <c r="W83" t="s">
        <v>248</v>
      </c>
      <c r="X83">
        <v>1121</v>
      </c>
      <c r="Y83" t="s">
        <v>2009</v>
      </c>
      <c r="Z83" t="s">
        <v>2017</v>
      </c>
      <c r="AB83" t="s">
        <v>13132</v>
      </c>
      <c r="AC83" t="s">
        <v>1754</v>
      </c>
      <c r="AE83">
        <v>359</v>
      </c>
      <c r="AF83" t="s">
        <v>2902</v>
      </c>
      <c r="AG83" t="s">
        <v>1754</v>
      </c>
      <c r="AH83">
        <v>4</v>
      </c>
      <c r="AI83">
        <v>3</v>
      </c>
      <c r="AJ83">
        <v>0</v>
      </c>
      <c r="AK83">
        <v>209.07</v>
      </c>
      <c r="AL83" t="s">
        <v>365</v>
      </c>
      <c r="AM83" t="s">
        <v>18031</v>
      </c>
      <c r="AN83" t="s">
        <v>2926</v>
      </c>
      <c r="AO83">
        <v>44595</v>
      </c>
      <c r="AP83" t="s">
        <v>18065</v>
      </c>
      <c r="AU83" t="s">
        <v>13051</v>
      </c>
      <c r="AW83" t="s">
        <v>3060</v>
      </c>
      <c r="AX83" t="s">
        <v>1754</v>
      </c>
    </row>
    <row r="84" spans="1:50">
      <c r="A84" s="1" t="s">
        <v>61</v>
      </c>
      <c r="B84" t="s">
        <v>163</v>
      </c>
      <c r="C84" t="s">
        <v>3294</v>
      </c>
      <c r="D84" t="s">
        <v>193</v>
      </c>
      <c r="F84" t="s">
        <v>6831</v>
      </c>
      <c r="G84" t="s">
        <v>943</v>
      </c>
      <c r="H84" t="s">
        <v>9421</v>
      </c>
      <c r="I84" t="s">
        <v>10957</v>
      </c>
      <c r="J84" t="s">
        <v>1644</v>
      </c>
      <c r="K84">
        <v>11237</v>
      </c>
      <c r="L84" t="s">
        <v>1670</v>
      </c>
      <c r="M84" t="s">
        <v>1670</v>
      </c>
      <c r="O84" t="s">
        <v>1940</v>
      </c>
      <c r="P84" t="s">
        <v>1958</v>
      </c>
      <c r="R84" t="s">
        <v>50</v>
      </c>
      <c r="S84" t="s">
        <v>1671</v>
      </c>
      <c r="U84" t="s">
        <v>1972</v>
      </c>
      <c r="W84" t="s">
        <v>385</v>
      </c>
      <c r="X84" t="s">
        <v>13051</v>
      </c>
      <c r="Y84" t="s">
        <v>2009</v>
      </c>
      <c r="Z84" t="s">
        <v>2013</v>
      </c>
      <c r="AB84" t="s">
        <v>13133</v>
      </c>
      <c r="AD84" t="s">
        <v>15749</v>
      </c>
      <c r="AE84">
        <v>4</v>
      </c>
      <c r="AF84" t="s">
        <v>2903</v>
      </c>
      <c r="AH84">
        <v>8</v>
      </c>
      <c r="AI84">
        <v>1</v>
      </c>
      <c r="AJ84">
        <v>0</v>
      </c>
      <c r="AK84">
        <v>210.01</v>
      </c>
      <c r="AN84" t="s">
        <v>2927</v>
      </c>
      <c r="AO84">
        <v>26230</v>
      </c>
      <c r="AU84">
        <v>1</v>
      </c>
      <c r="AV84" t="s">
        <v>357</v>
      </c>
      <c r="AW84" t="s">
        <v>158</v>
      </c>
      <c r="AX84" t="s">
        <v>18685</v>
      </c>
    </row>
    <row r="85" spans="1:50">
      <c r="A85" s="1" t="s">
        <v>96</v>
      </c>
      <c r="B85" t="s">
        <v>163</v>
      </c>
      <c r="C85" t="s">
        <v>3295</v>
      </c>
      <c r="D85" t="s">
        <v>3035</v>
      </c>
      <c r="F85" t="s">
        <v>6806</v>
      </c>
      <c r="G85" t="s">
        <v>7894</v>
      </c>
      <c r="H85" t="s">
        <v>9395</v>
      </c>
      <c r="I85" t="s">
        <v>10946</v>
      </c>
      <c r="J85" t="s">
        <v>1644</v>
      </c>
      <c r="K85">
        <v>11238</v>
      </c>
      <c r="L85" t="s">
        <v>1670</v>
      </c>
      <c r="M85" t="s">
        <v>1672</v>
      </c>
      <c r="O85" t="s">
        <v>1675</v>
      </c>
      <c r="P85" t="s">
        <v>1959</v>
      </c>
      <c r="R85" t="s">
        <v>50</v>
      </c>
      <c r="S85" t="s">
        <v>1671</v>
      </c>
      <c r="U85" t="s">
        <v>1972</v>
      </c>
      <c r="V85" t="s">
        <v>1984</v>
      </c>
      <c r="W85" t="s">
        <v>3035</v>
      </c>
      <c r="X85">
        <v>993.77</v>
      </c>
      <c r="Y85" t="s">
        <v>2009</v>
      </c>
      <c r="Z85" t="s">
        <v>2020</v>
      </c>
      <c r="AB85" t="s">
        <v>13099</v>
      </c>
      <c r="AD85" t="s">
        <v>15724</v>
      </c>
      <c r="AE85">
        <v>20</v>
      </c>
      <c r="AF85" t="s">
        <v>2902</v>
      </c>
      <c r="AG85" t="s">
        <v>1754</v>
      </c>
      <c r="AH85">
        <v>35</v>
      </c>
      <c r="AI85">
        <v>2</v>
      </c>
      <c r="AJ85">
        <v>0</v>
      </c>
      <c r="AK85">
        <v>210.48</v>
      </c>
      <c r="AL85" t="s">
        <v>390</v>
      </c>
      <c r="AM85" t="s">
        <v>18031</v>
      </c>
      <c r="AN85" t="s">
        <v>2926</v>
      </c>
      <c r="AO85">
        <v>35592</v>
      </c>
      <c r="AU85">
        <v>2.8</v>
      </c>
      <c r="AV85" t="s">
        <v>3039</v>
      </c>
      <c r="AW85" t="s">
        <v>96</v>
      </c>
      <c r="AX85" t="s">
        <v>18685</v>
      </c>
    </row>
    <row r="86" spans="1:50">
      <c r="A86" s="1" t="s">
        <v>94</v>
      </c>
      <c r="B86" t="s">
        <v>163</v>
      </c>
      <c r="C86" t="s">
        <v>3296</v>
      </c>
      <c r="D86" t="s">
        <v>348</v>
      </c>
      <c r="F86" t="s">
        <v>465</v>
      </c>
      <c r="G86" t="s">
        <v>1048</v>
      </c>
      <c r="H86" t="s">
        <v>9407</v>
      </c>
      <c r="I86" t="s">
        <v>10946</v>
      </c>
      <c r="J86" t="s">
        <v>1643</v>
      </c>
      <c r="K86">
        <v>10040</v>
      </c>
      <c r="L86" t="s">
        <v>1670</v>
      </c>
      <c r="M86" t="s">
        <v>1670</v>
      </c>
      <c r="O86" t="s">
        <v>1938</v>
      </c>
      <c r="P86" t="s">
        <v>1960</v>
      </c>
      <c r="R86" t="s">
        <v>50</v>
      </c>
      <c r="S86" t="s">
        <v>1670</v>
      </c>
      <c r="U86" t="s">
        <v>1972</v>
      </c>
      <c r="W86" t="s">
        <v>348</v>
      </c>
      <c r="X86">
        <v>913.34</v>
      </c>
      <c r="Y86" t="s">
        <v>2008</v>
      </c>
      <c r="Z86" t="s">
        <v>2016</v>
      </c>
      <c r="AB86" t="s">
        <v>13134</v>
      </c>
      <c r="AD86" t="s">
        <v>15750</v>
      </c>
      <c r="AE86">
        <v>88</v>
      </c>
      <c r="AF86" t="s">
        <v>2902</v>
      </c>
      <c r="AG86" t="s">
        <v>1754</v>
      </c>
      <c r="AH86">
        <v>29</v>
      </c>
      <c r="AI86">
        <v>1</v>
      </c>
      <c r="AJ86">
        <v>1</v>
      </c>
      <c r="AK86">
        <v>210.58</v>
      </c>
      <c r="AN86" t="s">
        <v>2927</v>
      </c>
      <c r="AO86">
        <v>34661.76</v>
      </c>
      <c r="AU86" t="s">
        <v>13051</v>
      </c>
      <c r="AW86" t="s">
        <v>3042</v>
      </c>
    </row>
    <row r="87" spans="1:50">
      <c r="A87" s="1" t="s">
        <v>64</v>
      </c>
      <c r="B87" t="s">
        <v>164</v>
      </c>
      <c r="C87" t="s">
        <v>3297</v>
      </c>
      <c r="D87" t="s">
        <v>248</v>
      </c>
      <c r="E87" t="s">
        <v>190</v>
      </c>
      <c r="F87" t="s">
        <v>741</v>
      </c>
      <c r="G87" t="s">
        <v>7919</v>
      </c>
      <c r="H87" t="s">
        <v>9422</v>
      </c>
      <c r="I87">
        <v>26</v>
      </c>
      <c r="J87" t="s">
        <v>1643</v>
      </c>
      <c r="K87">
        <v>10033</v>
      </c>
      <c r="L87" t="s">
        <v>1670</v>
      </c>
      <c r="M87" t="s">
        <v>1670</v>
      </c>
      <c r="O87" t="s">
        <v>1941</v>
      </c>
      <c r="P87" t="s">
        <v>1958</v>
      </c>
      <c r="Q87" t="s">
        <v>1965</v>
      </c>
      <c r="R87" t="s">
        <v>50</v>
      </c>
      <c r="S87" t="s">
        <v>1671</v>
      </c>
      <c r="U87" t="s">
        <v>1972</v>
      </c>
      <c r="W87" t="s">
        <v>248</v>
      </c>
      <c r="X87">
        <v>819</v>
      </c>
      <c r="Y87" t="s">
        <v>2008</v>
      </c>
      <c r="Z87" t="s">
        <v>2013</v>
      </c>
      <c r="AA87" t="s">
        <v>2029</v>
      </c>
      <c r="AB87" t="s">
        <v>13135</v>
      </c>
      <c r="AD87" t="s">
        <v>15751</v>
      </c>
      <c r="AE87">
        <v>42</v>
      </c>
      <c r="AF87" t="s">
        <v>2902</v>
      </c>
      <c r="AG87" t="s">
        <v>1754</v>
      </c>
      <c r="AH87">
        <v>31</v>
      </c>
      <c r="AI87">
        <v>3</v>
      </c>
      <c r="AJ87">
        <v>0</v>
      </c>
      <c r="AK87">
        <v>210.97</v>
      </c>
      <c r="AN87" t="s">
        <v>2927</v>
      </c>
      <c r="AO87">
        <v>45000</v>
      </c>
      <c r="AU87">
        <v>2.9</v>
      </c>
      <c r="AV87" t="s">
        <v>324</v>
      </c>
      <c r="AW87" t="s">
        <v>3042</v>
      </c>
      <c r="AX87" t="s">
        <v>18685</v>
      </c>
    </row>
    <row r="88" spans="1:50">
      <c r="A88" s="1" t="s">
        <v>119</v>
      </c>
      <c r="B88" t="s">
        <v>164</v>
      </c>
      <c r="C88" t="s">
        <v>3298</v>
      </c>
      <c r="D88" t="s">
        <v>205</v>
      </c>
      <c r="E88" t="s">
        <v>170</v>
      </c>
      <c r="F88" t="s">
        <v>6832</v>
      </c>
      <c r="G88" t="s">
        <v>877</v>
      </c>
      <c r="H88" t="s">
        <v>9423</v>
      </c>
      <c r="I88" t="s">
        <v>1544</v>
      </c>
      <c r="J88" t="s">
        <v>1644</v>
      </c>
      <c r="K88">
        <v>11212</v>
      </c>
      <c r="L88" t="s">
        <v>1670</v>
      </c>
      <c r="M88" t="s">
        <v>1670</v>
      </c>
      <c r="N88" t="s">
        <v>11854</v>
      </c>
      <c r="O88" t="s">
        <v>1936</v>
      </c>
      <c r="P88" t="s">
        <v>1958</v>
      </c>
      <c r="Q88" t="s">
        <v>1965</v>
      </c>
      <c r="R88" t="s">
        <v>50</v>
      </c>
      <c r="S88" t="s">
        <v>1671</v>
      </c>
      <c r="U88" t="s">
        <v>1972</v>
      </c>
      <c r="W88" t="s">
        <v>205</v>
      </c>
      <c r="X88">
        <v>1001</v>
      </c>
      <c r="Y88" t="s">
        <v>2009</v>
      </c>
      <c r="Z88" t="s">
        <v>2017</v>
      </c>
      <c r="AA88" t="s">
        <v>2029</v>
      </c>
      <c r="AB88" t="s">
        <v>13136</v>
      </c>
      <c r="AD88" t="s">
        <v>15752</v>
      </c>
      <c r="AE88">
        <v>172</v>
      </c>
      <c r="AF88" t="s">
        <v>2902</v>
      </c>
      <c r="AG88" t="s">
        <v>1754</v>
      </c>
      <c r="AH88">
        <v>20</v>
      </c>
      <c r="AI88">
        <v>3</v>
      </c>
      <c r="AJ88">
        <v>1</v>
      </c>
      <c r="AK88">
        <v>211.16</v>
      </c>
      <c r="AN88" t="s">
        <v>2926</v>
      </c>
      <c r="AO88">
        <v>53000</v>
      </c>
      <c r="AP88" t="s">
        <v>18066</v>
      </c>
      <c r="AU88">
        <v>2.7</v>
      </c>
      <c r="AV88" t="s">
        <v>182</v>
      </c>
      <c r="AW88" t="s">
        <v>3059</v>
      </c>
    </row>
    <row r="89" spans="1:50">
      <c r="A89" s="1" t="s">
        <v>82</v>
      </c>
      <c r="B89" t="s">
        <v>163</v>
      </c>
      <c r="C89" t="s">
        <v>3299</v>
      </c>
      <c r="D89" t="s">
        <v>190</v>
      </c>
      <c r="F89" t="s">
        <v>6833</v>
      </c>
      <c r="G89" t="s">
        <v>7920</v>
      </c>
      <c r="H89" t="s">
        <v>1144</v>
      </c>
      <c r="I89" t="s">
        <v>10958</v>
      </c>
      <c r="J89" t="s">
        <v>1644</v>
      </c>
      <c r="K89">
        <v>11233</v>
      </c>
      <c r="L89" t="s">
        <v>1670</v>
      </c>
      <c r="M89" t="s">
        <v>1671</v>
      </c>
      <c r="O89" t="s">
        <v>1937</v>
      </c>
      <c r="P89" t="s">
        <v>1962</v>
      </c>
      <c r="R89" t="s">
        <v>50</v>
      </c>
      <c r="S89" t="s">
        <v>1670</v>
      </c>
      <c r="U89" t="s">
        <v>1972</v>
      </c>
      <c r="V89" t="s">
        <v>1984</v>
      </c>
      <c r="W89" t="s">
        <v>221</v>
      </c>
      <c r="X89">
        <v>1047</v>
      </c>
      <c r="Y89" t="s">
        <v>2009</v>
      </c>
      <c r="Z89" t="s">
        <v>2017</v>
      </c>
      <c r="AB89" t="s">
        <v>13137</v>
      </c>
      <c r="AE89">
        <v>359</v>
      </c>
      <c r="AF89" t="s">
        <v>2902</v>
      </c>
      <c r="AG89" t="s">
        <v>1754</v>
      </c>
      <c r="AH89">
        <v>8</v>
      </c>
      <c r="AI89">
        <v>3</v>
      </c>
      <c r="AJ89">
        <v>3</v>
      </c>
      <c r="AK89">
        <v>211.54</v>
      </c>
      <c r="AN89" t="s">
        <v>2926</v>
      </c>
      <c r="AO89">
        <v>73170</v>
      </c>
      <c r="AP89" t="s">
        <v>18067</v>
      </c>
      <c r="AU89" t="s">
        <v>13051</v>
      </c>
      <c r="AW89" t="s">
        <v>3059</v>
      </c>
    </row>
    <row r="90" spans="1:50">
      <c r="A90" s="1" t="s">
        <v>82</v>
      </c>
      <c r="B90" t="s">
        <v>163</v>
      </c>
      <c r="C90" t="s">
        <v>3300</v>
      </c>
      <c r="D90" t="s">
        <v>190</v>
      </c>
      <c r="F90" t="s">
        <v>6833</v>
      </c>
      <c r="G90" t="s">
        <v>7920</v>
      </c>
      <c r="H90" t="s">
        <v>1144</v>
      </c>
      <c r="I90" t="s">
        <v>10958</v>
      </c>
      <c r="J90" t="s">
        <v>1644</v>
      </c>
      <c r="K90">
        <v>11233</v>
      </c>
      <c r="L90" t="s">
        <v>1670</v>
      </c>
      <c r="M90" t="s">
        <v>1671</v>
      </c>
      <c r="O90" t="s">
        <v>1938</v>
      </c>
      <c r="P90" t="s">
        <v>1961</v>
      </c>
      <c r="R90" t="s">
        <v>50</v>
      </c>
      <c r="S90" t="s">
        <v>1670</v>
      </c>
      <c r="U90" t="s">
        <v>1972</v>
      </c>
      <c r="V90" t="s">
        <v>1984</v>
      </c>
      <c r="W90" t="s">
        <v>248</v>
      </c>
      <c r="X90">
        <v>1047</v>
      </c>
      <c r="Y90" t="s">
        <v>2009</v>
      </c>
      <c r="Z90" t="s">
        <v>2017</v>
      </c>
      <c r="AB90" t="s">
        <v>13137</v>
      </c>
      <c r="AE90">
        <v>359</v>
      </c>
      <c r="AF90" t="s">
        <v>2902</v>
      </c>
      <c r="AG90" t="s">
        <v>1754</v>
      </c>
      <c r="AH90">
        <v>8</v>
      </c>
      <c r="AI90">
        <v>3</v>
      </c>
      <c r="AJ90">
        <v>3</v>
      </c>
      <c r="AK90">
        <v>211.54</v>
      </c>
      <c r="AN90" t="s">
        <v>2926</v>
      </c>
      <c r="AO90">
        <v>73170</v>
      </c>
      <c r="AP90" t="s">
        <v>18068</v>
      </c>
      <c r="AU90" t="s">
        <v>13051</v>
      </c>
      <c r="AW90" t="s">
        <v>3059</v>
      </c>
    </row>
    <row r="91" spans="1:50">
      <c r="A91" s="1" t="s">
        <v>3147</v>
      </c>
      <c r="B91" t="s">
        <v>163</v>
      </c>
      <c r="C91" t="s">
        <v>3301</v>
      </c>
      <c r="D91" t="s">
        <v>380</v>
      </c>
      <c r="F91" t="s">
        <v>6834</v>
      </c>
      <c r="G91" t="s">
        <v>6912</v>
      </c>
      <c r="H91" t="s">
        <v>9424</v>
      </c>
      <c r="I91" t="s">
        <v>1504</v>
      </c>
      <c r="J91" t="s">
        <v>1668</v>
      </c>
      <c r="K91">
        <v>11354</v>
      </c>
      <c r="L91" t="s">
        <v>1670</v>
      </c>
      <c r="M91" t="s">
        <v>1670</v>
      </c>
      <c r="N91" t="s">
        <v>1691</v>
      </c>
      <c r="O91" t="s">
        <v>1945</v>
      </c>
      <c r="P91" t="s">
        <v>1959</v>
      </c>
      <c r="R91" t="s">
        <v>50</v>
      </c>
      <c r="S91" t="s">
        <v>1671</v>
      </c>
      <c r="U91" t="s">
        <v>1972</v>
      </c>
      <c r="V91" t="s">
        <v>1984</v>
      </c>
      <c r="W91" t="s">
        <v>380</v>
      </c>
      <c r="X91">
        <v>1590.83</v>
      </c>
      <c r="Y91" t="s">
        <v>2007</v>
      </c>
      <c r="Z91" t="s">
        <v>2028</v>
      </c>
      <c r="AB91" t="s">
        <v>13138</v>
      </c>
      <c r="AC91" t="s">
        <v>1754</v>
      </c>
      <c r="AD91" t="s">
        <v>15753</v>
      </c>
      <c r="AE91">
        <v>90</v>
      </c>
      <c r="AF91" t="s">
        <v>2902</v>
      </c>
      <c r="AG91" t="s">
        <v>1754</v>
      </c>
      <c r="AH91">
        <v>8</v>
      </c>
      <c r="AI91">
        <v>3</v>
      </c>
      <c r="AJ91">
        <v>0</v>
      </c>
      <c r="AK91">
        <v>211.74</v>
      </c>
      <c r="AN91" t="s">
        <v>18035</v>
      </c>
      <c r="AO91">
        <v>44000</v>
      </c>
      <c r="AU91">
        <v>1.8</v>
      </c>
      <c r="AV91" t="s">
        <v>316</v>
      </c>
      <c r="AW91" t="s">
        <v>56</v>
      </c>
    </row>
    <row r="92" spans="1:50">
      <c r="A92" s="1" t="s">
        <v>135</v>
      </c>
      <c r="B92" t="s">
        <v>163</v>
      </c>
      <c r="C92" t="s">
        <v>3302</v>
      </c>
      <c r="D92" t="s">
        <v>173</v>
      </c>
      <c r="F92" t="s">
        <v>420</v>
      </c>
      <c r="G92" t="s">
        <v>1088</v>
      </c>
      <c r="H92" t="s">
        <v>9425</v>
      </c>
      <c r="I92" t="s">
        <v>1548</v>
      </c>
      <c r="J92" t="s">
        <v>1644</v>
      </c>
      <c r="K92">
        <v>11216</v>
      </c>
      <c r="L92" t="s">
        <v>1670</v>
      </c>
      <c r="M92" t="s">
        <v>1670</v>
      </c>
      <c r="N92" t="s">
        <v>1675</v>
      </c>
      <c r="P92" t="s">
        <v>1962</v>
      </c>
      <c r="R92" t="s">
        <v>50</v>
      </c>
      <c r="S92" t="s">
        <v>1670</v>
      </c>
      <c r="U92" t="s">
        <v>1972</v>
      </c>
      <c r="W92" t="s">
        <v>197</v>
      </c>
      <c r="X92">
        <v>2300</v>
      </c>
      <c r="Y92" t="s">
        <v>2009</v>
      </c>
      <c r="Z92" t="s">
        <v>2016</v>
      </c>
      <c r="AB92" t="s">
        <v>13139</v>
      </c>
      <c r="AD92" t="s">
        <v>15754</v>
      </c>
      <c r="AE92">
        <v>8</v>
      </c>
      <c r="AF92" t="s">
        <v>2902</v>
      </c>
      <c r="AG92" t="s">
        <v>1754</v>
      </c>
      <c r="AH92">
        <v>2</v>
      </c>
      <c r="AI92">
        <v>2</v>
      </c>
      <c r="AJ92">
        <v>0</v>
      </c>
      <c r="AK92">
        <v>212.64</v>
      </c>
      <c r="AL92" t="s">
        <v>218</v>
      </c>
      <c r="AM92" t="s">
        <v>18031</v>
      </c>
      <c r="AN92" t="s">
        <v>2926</v>
      </c>
      <c r="AO92">
        <v>35000</v>
      </c>
      <c r="AP92" t="s">
        <v>18069</v>
      </c>
      <c r="AU92" t="s">
        <v>13051</v>
      </c>
      <c r="AW92" t="s">
        <v>3060</v>
      </c>
    </row>
    <row r="93" spans="1:50">
      <c r="A93" s="1" t="s">
        <v>135</v>
      </c>
      <c r="B93" t="s">
        <v>163</v>
      </c>
      <c r="C93" t="s">
        <v>3303</v>
      </c>
      <c r="D93" t="s">
        <v>173</v>
      </c>
      <c r="F93" t="s">
        <v>420</v>
      </c>
      <c r="G93" t="s">
        <v>1088</v>
      </c>
      <c r="H93" t="s">
        <v>9425</v>
      </c>
      <c r="I93" t="s">
        <v>1548</v>
      </c>
      <c r="J93" t="s">
        <v>1644</v>
      </c>
      <c r="K93">
        <v>11216</v>
      </c>
      <c r="L93" t="s">
        <v>1670</v>
      </c>
      <c r="M93" t="s">
        <v>1670</v>
      </c>
      <c r="O93" t="s">
        <v>1952</v>
      </c>
      <c r="P93" t="s">
        <v>1960</v>
      </c>
      <c r="R93" t="s">
        <v>50</v>
      </c>
      <c r="S93" t="s">
        <v>1670</v>
      </c>
      <c r="U93" t="s">
        <v>1972</v>
      </c>
      <c r="W93" t="s">
        <v>197</v>
      </c>
      <c r="X93">
        <v>2300</v>
      </c>
      <c r="Y93" t="s">
        <v>2009</v>
      </c>
      <c r="Z93" t="s">
        <v>2016</v>
      </c>
      <c r="AB93" t="s">
        <v>13139</v>
      </c>
      <c r="AD93" t="s">
        <v>15754</v>
      </c>
      <c r="AE93">
        <v>8</v>
      </c>
      <c r="AF93" t="s">
        <v>2902</v>
      </c>
      <c r="AG93" t="s">
        <v>1754</v>
      </c>
      <c r="AH93">
        <v>2</v>
      </c>
      <c r="AI93">
        <v>2</v>
      </c>
      <c r="AJ93">
        <v>0</v>
      </c>
      <c r="AK93">
        <v>212.64</v>
      </c>
      <c r="AL93" t="s">
        <v>218</v>
      </c>
      <c r="AM93" t="s">
        <v>18031</v>
      </c>
      <c r="AN93" t="s">
        <v>2926</v>
      </c>
      <c r="AO93">
        <v>35000</v>
      </c>
      <c r="AP93" t="s">
        <v>18069</v>
      </c>
      <c r="AU93" t="s">
        <v>13051</v>
      </c>
      <c r="AW93" t="s">
        <v>3060</v>
      </c>
    </row>
    <row r="94" spans="1:50">
      <c r="A94" s="1" t="s">
        <v>74</v>
      </c>
      <c r="B94" t="s">
        <v>163</v>
      </c>
      <c r="C94" t="s">
        <v>3304</v>
      </c>
      <c r="D94" t="s">
        <v>281</v>
      </c>
      <c r="F94" t="s">
        <v>6823</v>
      </c>
      <c r="G94" t="s">
        <v>7911</v>
      </c>
      <c r="H94" t="s">
        <v>1131</v>
      </c>
      <c r="I94" t="s">
        <v>10951</v>
      </c>
      <c r="J94" t="s">
        <v>1641</v>
      </c>
      <c r="K94">
        <v>10460</v>
      </c>
      <c r="L94" t="s">
        <v>1670</v>
      </c>
      <c r="M94" t="s">
        <v>1670</v>
      </c>
      <c r="N94" t="s">
        <v>1692</v>
      </c>
      <c r="O94" t="s">
        <v>1939</v>
      </c>
      <c r="P94" t="s">
        <v>1960</v>
      </c>
      <c r="R94" t="s">
        <v>50</v>
      </c>
      <c r="S94" t="s">
        <v>1670</v>
      </c>
      <c r="U94" t="s">
        <v>1972</v>
      </c>
      <c r="W94" t="s">
        <v>283</v>
      </c>
      <c r="X94">
        <v>1169</v>
      </c>
      <c r="Y94" t="s">
        <v>2006</v>
      </c>
      <c r="Z94" t="s">
        <v>2015</v>
      </c>
      <c r="AB94" t="s">
        <v>13123</v>
      </c>
      <c r="AE94">
        <v>169</v>
      </c>
      <c r="AF94" t="s">
        <v>2902</v>
      </c>
      <c r="AG94" t="s">
        <v>2915</v>
      </c>
      <c r="AH94" t="s">
        <v>13051</v>
      </c>
      <c r="AI94">
        <v>2</v>
      </c>
      <c r="AJ94">
        <v>0</v>
      </c>
      <c r="AK94">
        <v>212.64</v>
      </c>
      <c r="AN94" t="s">
        <v>2926</v>
      </c>
      <c r="AO94">
        <v>35000</v>
      </c>
      <c r="AU94" t="s">
        <v>13051</v>
      </c>
      <c r="AW94" t="s">
        <v>76</v>
      </c>
    </row>
    <row r="95" spans="1:50">
      <c r="A95" s="1" t="s">
        <v>57</v>
      </c>
      <c r="B95" t="s">
        <v>163</v>
      </c>
      <c r="C95" t="s">
        <v>3305</v>
      </c>
      <c r="D95" t="s">
        <v>232</v>
      </c>
      <c r="F95" t="s">
        <v>6835</v>
      </c>
      <c r="G95" t="s">
        <v>7921</v>
      </c>
      <c r="H95" t="s">
        <v>1193</v>
      </c>
      <c r="I95" t="s">
        <v>1589</v>
      </c>
      <c r="J95" t="s">
        <v>1641</v>
      </c>
      <c r="K95">
        <v>10456</v>
      </c>
      <c r="L95" t="s">
        <v>1670</v>
      </c>
      <c r="M95" t="s">
        <v>1670</v>
      </c>
      <c r="N95" t="s">
        <v>1735</v>
      </c>
      <c r="O95" t="s">
        <v>1938</v>
      </c>
      <c r="P95" t="s">
        <v>1961</v>
      </c>
      <c r="R95" t="s">
        <v>50</v>
      </c>
      <c r="S95" t="s">
        <v>1670</v>
      </c>
      <c r="U95" t="s">
        <v>1972</v>
      </c>
      <c r="W95" t="s">
        <v>1992</v>
      </c>
      <c r="X95">
        <v>1245</v>
      </c>
      <c r="Y95" t="s">
        <v>2006</v>
      </c>
      <c r="Z95" t="s">
        <v>2015</v>
      </c>
      <c r="AB95" t="s">
        <v>13140</v>
      </c>
      <c r="AD95" t="s">
        <v>15755</v>
      </c>
      <c r="AE95">
        <v>61</v>
      </c>
      <c r="AF95" t="s">
        <v>2902</v>
      </c>
      <c r="AG95" t="s">
        <v>2918</v>
      </c>
      <c r="AH95">
        <v>21</v>
      </c>
      <c r="AI95">
        <v>1</v>
      </c>
      <c r="AJ95">
        <v>1</v>
      </c>
      <c r="AK95">
        <v>212.64</v>
      </c>
      <c r="AN95" t="s">
        <v>2926</v>
      </c>
      <c r="AO95">
        <v>35000</v>
      </c>
      <c r="AU95" t="s">
        <v>13051</v>
      </c>
      <c r="AW95" t="s">
        <v>3047</v>
      </c>
    </row>
    <row r="96" spans="1:50">
      <c r="A96" s="1" t="s">
        <v>57</v>
      </c>
      <c r="B96" t="s">
        <v>163</v>
      </c>
      <c r="C96" t="s">
        <v>3306</v>
      </c>
      <c r="D96" t="s">
        <v>245</v>
      </c>
      <c r="F96" t="s">
        <v>6835</v>
      </c>
      <c r="G96" t="s">
        <v>7921</v>
      </c>
      <c r="H96" t="s">
        <v>1193</v>
      </c>
      <c r="I96" t="s">
        <v>1589</v>
      </c>
      <c r="J96" t="s">
        <v>1641</v>
      </c>
      <c r="K96">
        <v>10456</v>
      </c>
      <c r="L96" t="s">
        <v>1670</v>
      </c>
      <c r="M96" t="s">
        <v>1670</v>
      </c>
      <c r="N96" t="s">
        <v>1736</v>
      </c>
      <c r="O96" t="s">
        <v>1938</v>
      </c>
      <c r="P96" t="s">
        <v>1961</v>
      </c>
      <c r="R96" t="s">
        <v>50</v>
      </c>
      <c r="S96" t="s">
        <v>1670</v>
      </c>
      <c r="U96" t="s">
        <v>1972</v>
      </c>
      <c r="W96" t="s">
        <v>293</v>
      </c>
      <c r="X96">
        <v>1245</v>
      </c>
      <c r="Y96" t="s">
        <v>2006</v>
      </c>
      <c r="Z96" t="s">
        <v>2015</v>
      </c>
      <c r="AB96" t="s">
        <v>13140</v>
      </c>
      <c r="AD96" t="s">
        <v>15755</v>
      </c>
      <c r="AE96">
        <v>61</v>
      </c>
      <c r="AF96" t="s">
        <v>2902</v>
      </c>
      <c r="AG96" t="s">
        <v>2918</v>
      </c>
      <c r="AH96">
        <v>21</v>
      </c>
      <c r="AI96">
        <v>1</v>
      </c>
      <c r="AJ96">
        <v>1</v>
      </c>
      <c r="AK96">
        <v>212.64</v>
      </c>
      <c r="AN96" t="s">
        <v>2926</v>
      </c>
      <c r="AO96">
        <v>35000</v>
      </c>
      <c r="AU96" t="s">
        <v>13051</v>
      </c>
      <c r="AW96" t="s">
        <v>3046</v>
      </c>
    </row>
    <row r="97" spans="1:50">
      <c r="A97" s="1" t="s">
        <v>74</v>
      </c>
      <c r="B97" t="s">
        <v>163</v>
      </c>
      <c r="C97" t="s">
        <v>3307</v>
      </c>
      <c r="D97" t="s">
        <v>192</v>
      </c>
      <c r="F97" t="s">
        <v>6824</v>
      </c>
      <c r="G97" t="s">
        <v>7912</v>
      </c>
      <c r="H97" t="s">
        <v>1131</v>
      </c>
      <c r="I97" t="s">
        <v>10952</v>
      </c>
      <c r="J97" t="s">
        <v>1641</v>
      </c>
      <c r="K97">
        <v>10460</v>
      </c>
      <c r="L97" t="s">
        <v>1670</v>
      </c>
      <c r="M97" t="s">
        <v>1670</v>
      </c>
      <c r="N97" t="s">
        <v>1692</v>
      </c>
      <c r="O97" t="s">
        <v>1939</v>
      </c>
      <c r="P97" t="s">
        <v>1960</v>
      </c>
      <c r="R97" t="s">
        <v>50</v>
      </c>
      <c r="S97" t="s">
        <v>1670</v>
      </c>
      <c r="U97" t="s">
        <v>1972</v>
      </c>
      <c r="W97" t="s">
        <v>283</v>
      </c>
      <c r="X97">
        <v>1960</v>
      </c>
      <c r="Y97" t="s">
        <v>2006</v>
      </c>
      <c r="Z97" t="s">
        <v>2015</v>
      </c>
      <c r="AB97" t="s">
        <v>13124</v>
      </c>
      <c r="AD97" t="s">
        <v>15742</v>
      </c>
      <c r="AE97">
        <v>169</v>
      </c>
      <c r="AF97" t="s">
        <v>2909</v>
      </c>
      <c r="AG97" t="s">
        <v>2915</v>
      </c>
      <c r="AH97">
        <v>11</v>
      </c>
      <c r="AI97">
        <v>1</v>
      </c>
      <c r="AJ97">
        <v>1</v>
      </c>
      <c r="AK97">
        <v>212.64</v>
      </c>
      <c r="AN97" t="s">
        <v>2926</v>
      </c>
      <c r="AO97">
        <v>35000</v>
      </c>
      <c r="AU97" t="s">
        <v>13051</v>
      </c>
      <c r="AW97" t="s">
        <v>76</v>
      </c>
    </row>
    <row r="98" spans="1:50">
      <c r="A98" s="1" t="s">
        <v>54</v>
      </c>
      <c r="B98" t="s">
        <v>164</v>
      </c>
      <c r="C98" t="s">
        <v>3308</v>
      </c>
      <c r="D98" t="s">
        <v>227</v>
      </c>
      <c r="E98" t="s">
        <v>192</v>
      </c>
      <c r="F98" t="s">
        <v>649</v>
      </c>
      <c r="G98" t="s">
        <v>7922</v>
      </c>
      <c r="H98" t="s">
        <v>9426</v>
      </c>
      <c r="I98" t="s">
        <v>1520</v>
      </c>
      <c r="J98" t="s">
        <v>1643</v>
      </c>
      <c r="K98">
        <v>10032</v>
      </c>
      <c r="L98" t="s">
        <v>1670</v>
      </c>
      <c r="M98" t="s">
        <v>1670</v>
      </c>
      <c r="O98" t="s">
        <v>1936</v>
      </c>
      <c r="P98" t="s">
        <v>1962</v>
      </c>
      <c r="Q98" t="s">
        <v>1968</v>
      </c>
      <c r="R98" t="s">
        <v>50</v>
      </c>
      <c r="U98" t="s">
        <v>1972</v>
      </c>
      <c r="W98" t="s">
        <v>227</v>
      </c>
      <c r="X98">
        <v>2850</v>
      </c>
      <c r="Y98" t="s">
        <v>2008</v>
      </c>
      <c r="AA98" t="s">
        <v>2030</v>
      </c>
      <c r="AB98" t="s">
        <v>13141</v>
      </c>
      <c r="AD98" t="s">
        <v>15756</v>
      </c>
      <c r="AE98" t="s">
        <v>13051</v>
      </c>
      <c r="AH98">
        <v>3</v>
      </c>
      <c r="AI98">
        <v>2</v>
      </c>
      <c r="AJ98">
        <v>1</v>
      </c>
      <c r="AK98">
        <v>212.7</v>
      </c>
      <c r="AN98" t="s">
        <v>2926</v>
      </c>
      <c r="AO98">
        <v>44200</v>
      </c>
      <c r="AU98">
        <v>1.7</v>
      </c>
      <c r="AV98" t="s">
        <v>342</v>
      </c>
      <c r="AW98" t="s">
        <v>3065</v>
      </c>
    </row>
    <row r="99" spans="1:50">
      <c r="A99" s="1" t="s">
        <v>90</v>
      </c>
      <c r="B99" t="s">
        <v>164</v>
      </c>
      <c r="C99" t="s">
        <v>3309</v>
      </c>
      <c r="D99" t="s">
        <v>349</v>
      </c>
      <c r="E99" t="s">
        <v>407</v>
      </c>
      <c r="F99" t="s">
        <v>6836</v>
      </c>
      <c r="G99" t="s">
        <v>7923</v>
      </c>
      <c r="H99" t="s">
        <v>1183</v>
      </c>
      <c r="I99" t="s">
        <v>10943</v>
      </c>
      <c r="J99" t="s">
        <v>1646</v>
      </c>
      <c r="K99">
        <v>10301</v>
      </c>
      <c r="L99" t="s">
        <v>1670</v>
      </c>
      <c r="M99" t="s">
        <v>1670</v>
      </c>
      <c r="N99" t="s">
        <v>11855</v>
      </c>
      <c r="O99" t="s">
        <v>1936</v>
      </c>
      <c r="P99" t="s">
        <v>1960</v>
      </c>
      <c r="Q99" t="s">
        <v>1969</v>
      </c>
      <c r="R99" t="s">
        <v>50</v>
      </c>
      <c r="S99" t="s">
        <v>1671</v>
      </c>
      <c r="U99" t="s">
        <v>1972</v>
      </c>
      <c r="W99" t="s">
        <v>349</v>
      </c>
      <c r="X99">
        <v>1554</v>
      </c>
      <c r="Y99" t="s">
        <v>2010</v>
      </c>
      <c r="Z99" t="s">
        <v>2013</v>
      </c>
      <c r="AA99" t="s">
        <v>2032</v>
      </c>
      <c r="AE99">
        <v>227</v>
      </c>
      <c r="AF99" t="s">
        <v>2902</v>
      </c>
      <c r="AG99" t="s">
        <v>1754</v>
      </c>
      <c r="AH99">
        <v>1</v>
      </c>
      <c r="AI99">
        <v>1</v>
      </c>
      <c r="AJ99">
        <v>2</v>
      </c>
      <c r="AK99">
        <v>212.7</v>
      </c>
      <c r="AL99" t="s">
        <v>271</v>
      </c>
      <c r="AM99" t="s">
        <v>18031</v>
      </c>
      <c r="AO99">
        <v>44200</v>
      </c>
      <c r="AQ99" t="s">
        <v>18423</v>
      </c>
      <c r="AS99" t="s">
        <v>2992</v>
      </c>
      <c r="AT99" t="s">
        <v>18497</v>
      </c>
      <c r="AU99">
        <v>6.7</v>
      </c>
      <c r="AV99" t="s">
        <v>344</v>
      </c>
      <c r="AW99" t="s">
        <v>3062</v>
      </c>
    </row>
    <row r="100" spans="1:50">
      <c r="A100" s="1" t="s">
        <v>82</v>
      </c>
      <c r="B100" t="s">
        <v>163</v>
      </c>
      <c r="C100" t="s">
        <v>3310</v>
      </c>
      <c r="D100" t="s">
        <v>293</v>
      </c>
      <c r="F100" t="s">
        <v>6837</v>
      </c>
      <c r="G100" t="s">
        <v>7924</v>
      </c>
      <c r="H100" t="s">
        <v>1144</v>
      </c>
      <c r="I100" t="s">
        <v>10959</v>
      </c>
      <c r="J100" t="s">
        <v>1644</v>
      </c>
      <c r="K100">
        <v>11233</v>
      </c>
      <c r="L100" t="s">
        <v>1670</v>
      </c>
      <c r="M100" t="s">
        <v>1671</v>
      </c>
      <c r="O100" t="s">
        <v>1937</v>
      </c>
      <c r="P100" t="s">
        <v>1962</v>
      </c>
      <c r="R100" t="s">
        <v>50</v>
      </c>
      <c r="S100" t="s">
        <v>1670</v>
      </c>
      <c r="U100" t="s">
        <v>1972</v>
      </c>
      <c r="V100" t="s">
        <v>1984</v>
      </c>
      <c r="W100" t="s">
        <v>221</v>
      </c>
      <c r="X100">
        <v>1082.69</v>
      </c>
      <c r="Y100" t="s">
        <v>2009</v>
      </c>
      <c r="Z100" t="s">
        <v>2017</v>
      </c>
      <c r="AB100" t="s">
        <v>13142</v>
      </c>
      <c r="AE100">
        <v>359</v>
      </c>
      <c r="AF100" t="s">
        <v>2902</v>
      </c>
      <c r="AH100">
        <v>39</v>
      </c>
      <c r="AI100">
        <v>2</v>
      </c>
      <c r="AJ100">
        <v>0</v>
      </c>
      <c r="AK100">
        <v>212.89</v>
      </c>
      <c r="AN100" t="s">
        <v>2926</v>
      </c>
      <c r="AO100">
        <v>36000</v>
      </c>
      <c r="AP100" t="s">
        <v>18070</v>
      </c>
      <c r="AU100" t="s">
        <v>13051</v>
      </c>
      <c r="AW100" t="s">
        <v>3059</v>
      </c>
    </row>
    <row r="101" spans="1:50">
      <c r="A101" s="1" t="s">
        <v>3148</v>
      </c>
      <c r="B101" t="s">
        <v>163</v>
      </c>
      <c r="C101" t="s">
        <v>3311</v>
      </c>
      <c r="D101" t="s">
        <v>256</v>
      </c>
      <c r="F101" t="s">
        <v>427</v>
      </c>
      <c r="G101" t="s">
        <v>1076</v>
      </c>
      <c r="H101" t="s">
        <v>9427</v>
      </c>
      <c r="I101" t="s">
        <v>1622</v>
      </c>
      <c r="J101" t="s">
        <v>1641</v>
      </c>
      <c r="K101">
        <v>10468</v>
      </c>
      <c r="L101" t="s">
        <v>1670</v>
      </c>
      <c r="M101" t="s">
        <v>1670</v>
      </c>
      <c r="O101" t="s">
        <v>1955</v>
      </c>
      <c r="P101" t="s">
        <v>1962</v>
      </c>
      <c r="R101" t="s">
        <v>50</v>
      </c>
      <c r="U101" t="s">
        <v>1973</v>
      </c>
      <c r="W101" t="s">
        <v>256</v>
      </c>
      <c r="X101">
        <v>1500</v>
      </c>
      <c r="Y101" t="s">
        <v>2006</v>
      </c>
      <c r="Z101" t="s">
        <v>2014</v>
      </c>
      <c r="AB101" t="s">
        <v>13143</v>
      </c>
      <c r="AD101" t="s">
        <v>15757</v>
      </c>
      <c r="AE101" t="s">
        <v>13051</v>
      </c>
      <c r="AF101" t="s">
        <v>2902</v>
      </c>
      <c r="AG101" t="s">
        <v>2915</v>
      </c>
      <c r="AH101">
        <v>9</v>
      </c>
      <c r="AI101">
        <v>2</v>
      </c>
      <c r="AJ101">
        <v>0</v>
      </c>
      <c r="AK101">
        <v>212.89</v>
      </c>
      <c r="AN101" t="s">
        <v>2926</v>
      </c>
      <c r="AO101">
        <v>36000</v>
      </c>
      <c r="AU101">
        <v>1.5</v>
      </c>
      <c r="AV101" t="s">
        <v>286</v>
      </c>
      <c r="AW101" t="s">
        <v>3070</v>
      </c>
    </row>
    <row r="102" spans="1:50">
      <c r="A102" s="1" t="s">
        <v>82</v>
      </c>
      <c r="B102" t="s">
        <v>163</v>
      </c>
      <c r="C102" t="s">
        <v>3312</v>
      </c>
      <c r="D102" t="s">
        <v>293</v>
      </c>
      <c r="F102" t="s">
        <v>6837</v>
      </c>
      <c r="G102" t="s">
        <v>7924</v>
      </c>
      <c r="H102" t="s">
        <v>1144</v>
      </c>
      <c r="I102" t="s">
        <v>10959</v>
      </c>
      <c r="J102" t="s">
        <v>1644</v>
      </c>
      <c r="K102">
        <v>11233</v>
      </c>
      <c r="L102" t="s">
        <v>1670</v>
      </c>
      <c r="M102" t="s">
        <v>1671</v>
      </c>
      <c r="O102" t="s">
        <v>1938</v>
      </c>
      <c r="P102" t="s">
        <v>1961</v>
      </c>
      <c r="R102" t="s">
        <v>50</v>
      </c>
      <c r="S102" t="s">
        <v>1670</v>
      </c>
      <c r="U102" t="s">
        <v>1972</v>
      </c>
      <c r="V102" t="s">
        <v>1984</v>
      </c>
      <c r="W102" t="s">
        <v>248</v>
      </c>
      <c r="X102">
        <v>1082.69</v>
      </c>
      <c r="Y102" t="s">
        <v>2009</v>
      </c>
      <c r="Z102" t="s">
        <v>2017</v>
      </c>
      <c r="AB102" t="s">
        <v>13142</v>
      </c>
      <c r="AE102">
        <v>359</v>
      </c>
      <c r="AF102" t="s">
        <v>2902</v>
      </c>
      <c r="AH102">
        <v>39</v>
      </c>
      <c r="AI102">
        <v>2</v>
      </c>
      <c r="AJ102">
        <v>0</v>
      </c>
      <c r="AK102">
        <v>212.89</v>
      </c>
      <c r="AN102" t="s">
        <v>2926</v>
      </c>
      <c r="AO102">
        <v>36000</v>
      </c>
      <c r="AP102" t="s">
        <v>18071</v>
      </c>
      <c r="AU102" t="s">
        <v>13051</v>
      </c>
      <c r="AW102" t="s">
        <v>3059</v>
      </c>
    </row>
    <row r="103" spans="1:50">
      <c r="A103" s="1" t="s">
        <v>125</v>
      </c>
      <c r="B103" t="s">
        <v>163</v>
      </c>
      <c r="C103" t="s">
        <v>3313</v>
      </c>
      <c r="D103" t="s">
        <v>277</v>
      </c>
      <c r="F103" t="s">
        <v>6838</v>
      </c>
      <c r="G103" t="s">
        <v>7925</v>
      </c>
      <c r="H103" t="s">
        <v>9428</v>
      </c>
      <c r="I103" t="s">
        <v>1600</v>
      </c>
      <c r="J103" t="s">
        <v>1644</v>
      </c>
      <c r="K103">
        <v>11226</v>
      </c>
      <c r="L103" t="s">
        <v>1671</v>
      </c>
      <c r="M103" t="s">
        <v>1670</v>
      </c>
      <c r="O103" t="s">
        <v>1938</v>
      </c>
      <c r="P103" t="s">
        <v>1959</v>
      </c>
      <c r="R103" t="s">
        <v>50</v>
      </c>
      <c r="S103" t="s">
        <v>1670</v>
      </c>
      <c r="U103" t="s">
        <v>1972</v>
      </c>
      <c r="W103" t="s">
        <v>307</v>
      </c>
      <c r="X103">
        <v>1107</v>
      </c>
      <c r="Y103" t="s">
        <v>2009</v>
      </c>
      <c r="AB103" t="s">
        <v>13144</v>
      </c>
      <c r="AE103" t="s">
        <v>13051</v>
      </c>
      <c r="AH103">
        <v>13</v>
      </c>
      <c r="AI103">
        <v>1</v>
      </c>
      <c r="AJ103">
        <v>1</v>
      </c>
      <c r="AK103">
        <v>212.89</v>
      </c>
      <c r="AN103" t="s">
        <v>2926</v>
      </c>
      <c r="AO103">
        <v>36000</v>
      </c>
      <c r="AU103" t="s">
        <v>13051</v>
      </c>
      <c r="AW103" t="s">
        <v>158</v>
      </c>
    </row>
    <row r="104" spans="1:50">
      <c r="A104" s="1" t="s">
        <v>96</v>
      </c>
      <c r="B104" t="s">
        <v>163</v>
      </c>
      <c r="C104" t="s">
        <v>3314</v>
      </c>
      <c r="D104" t="s">
        <v>236</v>
      </c>
      <c r="F104" t="s">
        <v>6838</v>
      </c>
      <c r="G104" t="s">
        <v>7925</v>
      </c>
      <c r="H104" t="s">
        <v>9428</v>
      </c>
      <c r="I104" t="s">
        <v>1600</v>
      </c>
      <c r="J104" t="s">
        <v>1644</v>
      </c>
      <c r="K104">
        <v>11226</v>
      </c>
      <c r="L104" t="s">
        <v>1671</v>
      </c>
      <c r="M104" t="s">
        <v>1670</v>
      </c>
      <c r="O104" t="s">
        <v>1938</v>
      </c>
      <c r="P104" t="s">
        <v>1961</v>
      </c>
      <c r="R104" t="s">
        <v>50</v>
      </c>
      <c r="S104" t="s">
        <v>1670</v>
      </c>
      <c r="U104" t="s">
        <v>1972</v>
      </c>
      <c r="V104" t="s">
        <v>1984</v>
      </c>
      <c r="W104" t="s">
        <v>13037</v>
      </c>
      <c r="X104">
        <v>1107</v>
      </c>
      <c r="Y104" t="s">
        <v>2009</v>
      </c>
      <c r="AB104" t="s">
        <v>13144</v>
      </c>
      <c r="AE104" t="s">
        <v>13051</v>
      </c>
      <c r="AH104">
        <v>13</v>
      </c>
      <c r="AI104">
        <v>1</v>
      </c>
      <c r="AJ104">
        <v>1</v>
      </c>
      <c r="AK104">
        <v>212.89</v>
      </c>
      <c r="AN104" t="s">
        <v>2926</v>
      </c>
      <c r="AO104">
        <v>36000</v>
      </c>
      <c r="AU104">
        <v>0.1</v>
      </c>
      <c r="AV104" t="s">
        <v>239</v>
      </c>
      <c r="AW104" t="s">
        <v>158</v>
      </c>
    </row>
    <row r="105" spans="1:50">
      <c r="A105" s="1" t="s">
        <v>116</v>
      </c>
      <c r="B105" t="s">
        <v>164</v>
      </c>
      <c r="C105" t="s">
        <v>3315</v>
      </c>
      <c r="D105" t="s">
        <v>319</v>
      </c>
      <c r="E105" t="s">
        <v>253</v>
      </c>
      <c r="F105" t="s">
        <v>6839</v>
      </c>
      <c r="G105" t="s">
        <v>7926</v>
      </c>
      <c r="H105" t="s">
        <v>9429</v>
      </c>
      <c r="I105">
        <v>6</v>
      </c>
      <c r="J105" t="s">
        <v>1643</v>
      </c>
      <c r="K105">
        <v>10009</v>
      </c>
      <c r="L105" t="s">
        <v>1670</v>
      </c>
      <c r="M105" t="s">
        <v>1670</v>
      </c>
      <c r="N105" t="s">
        <v>11856</v>
      </c>
      <c r="O105" t="s">
        <v>1936</v>
      </c>
      <c r="P105" t="s">
        <v>1960</v>
      </c>
      <c r="Q105" t="s">
        <v>1971</v>
      </c>
      <c r="R105" t="s">
        <v>51</v>
      </c>
      <c r="S105" t="s">
        <v>1671</v>
      </c>
      <c r="U105" t="s">
        <v>1972</v>
      </c>
      <c r="V105" t="s">
        <v>1986</v>
      </c>
      <c r="W105" t="s">
        <v>319</v>
      </c>
      <c r="X105">
        <v>687</v>
      </c>
      <c r="Y105" t="s">
        <v>2008</v>
      </c>
      <c r="Z105" t="s">
        <v>2012</v>
      </c>
      <c r="AA105" t="s">
        <v>2036</v>
      </c>
      <c r="AB105" t="s">
        <v>13145</v>
      </c>
      <c r="AD105" t="s">
        <v>15758</v>
      </c>
      <c r="AE105">
        <v>16</v>
      </c>
      <c r="AF105" t="s">
        <v>2911</v>
      </c>
      <c r="AG105" t="s">
        <v>1754</v>
      </c>
      <c r="AH105">
        <v>25</v>
      </c>
      <c r="AI105">
        <v>5</v>
      </c>
      <c r="AJ105">
        <v>1</v>
      </c>
      <c r="AK105">
        <v>213.4</v>
      </c>
      <c r="AL105" t="s">
        <v>2923</v>
      </c>
      <c r="AM105" t="s">
        <v>2924</v>
      </c>
      <c r="AN105" t="s">
        <v>2926</v>
      </c>
      <c r="AO105">
        <v>72000</v>
      </c>
      <c r="AQ105" t="s">
        <v>18423</v>
      </c>
      <c r="AR105" t="s">
        <v>2982</v>
      </c>
      <c r="AS105" t="s">
        <v>2992</v>
      </c>
      <c r="AT105" t="s">
        <v>18498</v>
      </c>
      <c r="AU105">
        <v>31.4</v>
      </c>
      <c r="AV105" t="s">
        <v>1993</v>
      </c>
      <c r="AW105" t="s">
        <v>3051</v>
      </c>
    </row>
    <row r="106" spans="1:50">
      <c r="A106" s="1" t="s">
        <v>116</v>
      </c>
      <c r="B106" t="s">
        <v>164</v>
      </c>
      <c r="C106" t="s">
        <v>3316</v>
      </c>
      <c r="D106" t="s">
        <v>319</v>
      </c>
      <c r="E106" t="s">
        <v>253</v>
      </c>
      <c r="F106" t="s">
        <v>6839</v>
      </c>
      <c r="G106" t="s">
        <v>7926</v>
      </c>
      <c r="H106" t="s">
        <v>9429</v>
      </c>
      <c r="I106">
        <v>6</v>
      </c>
      <c r="J106" t="s">
        <v>1643</v>
      </c>
      <c r="K106">
        <v>10009</v>
      </c>
      <c r="L106" t="s">
        <v>1670</v>
      </c>
      <c r="M106" t="s">
        <v>1670</v>
      </c>
      <c r="O106" t="s">
        <v>1944</v>
      </c>
      <c r="P106" t="s">
        <v>1959</v>
      </c>
      <c r="Q106" t="s">
        <v>1970</v>
      </c>
      <c r="R106" t="s">
        <v>50</v>
      </c>
      <c r="S106" t="s">
        <v>1671</v>
      </c>
      <c r="U106" t="s">
        <v>1976</v>
      </c>
      <c r="V106" t="s">
        <v>1986</v>
      </c>
      <c r="W106" t="s">
        <v>319</v>
      </c>
      <c r="X106">
        <v>687</v>
      </c>
      <c r="Y106" t="s">
        <v>2008</v>
      </c>
      <c r="Z106" t="s">
        <v>2012</v>
      </c>
      <c r="AA106" t="s">
        <v>13059</v>
      </c>
      <c r="AB106" t="s">
        <v>13145</v>
      </c>
      <c r="AD106" t="s">
        <v>15758</v>
      </c>
      <c r="AE106">
        <v>25</v>
      </c>
      <c r="AF106" t="s">
        <v>2911</v>
      </c>
      <c r="AG106" t="s">
        <v>1754</v>
      </c>
      <c r="AH106">
        <v>16</v>
      </c>
      <c r="AI106">
        <v>5</v>
      </c>
      <c r="AJ106">
        <v>1</v>
      </c>
      <c r="AK106">
        <v>213.4</v>
      </c>
      <c r="AL106" t="s">
        <v>2923</v>
      </c>
      <c r="AM106" t="s">
        <v>2924</v>
      </c>
      <c r="AN106" t="s">
        <v>2926</v>
      </c>
      <c r="AO106">
        <v>72000</v>
      </c>
      <c r="AU106">
        <v>0.1</v>
      </c>
      <c r="AV106" t="s">
        <v>253</v>
      </c>
      <c r="AW106" t="s">
        <v>3051</v>
      </c>
    </row>
    <row r="107" spans="1:50">
      <c r="A107" s="1" t="s">
        <v>88</v>
      </c>
      <c r="B107" t="s">
        <v>163</v>
      </c>
      <c r="C107" t="s">
        <v>3317</v>
      </c>
      <c r="D107" t="s">
        <v>235</v>
      </c>
      <c r="F107" t="s">
        <v>6840</v>
      </c>
      <c r="G107" t="s">
        <v>7927</v>
      </c>
      <c r="H107" t="s">
        <v>9430</v>
      </c>
      <c r="I107" t="s">
        <v>1542</v>
      </c>
      <c r="J107" t="s">
        <v>1644</v>
      </c>
      <c r="K107">
        <v>11208</v>
      </c>
      <c r="L107" t="s">
        <v>1670</v>
      </c>
      <c r="M107" t="s">
        <v>1671</v>
      </c>
      <c r="N107" t="s">
        <v>11857</v>
      </c>
      <c r="O107" t="s">
        <v>1936</v>
      </c>
      <c r="P107" t="s">
        <v>1960</v>
      </c>
      <c r="R107" t="s">
        <v>50</v>
      </c>
      <c r="S107" t="s">
        <v>1671</v>
      </c>
      <c r="U107" t="s">
        <v>1972</v>
      </c>
      <c r="W107" t="s">
        <v>1999</v>
      </c>
      <c r="X107">
        <v>951</v>
      </c>
      <c r="Y107" t="s">
        <v>2009</v>
      </c>
      <c r="AB107" t="s">
        <v>13146</v>
      </c>
      <c r="AD107" t="s">
        <v>15759</v>
      </c>
      <c r="AE107">
        <v>3</v>
      </c>
      <c r="AF107" t="s">
        <v>2903</v>
      </c>
      <c r="AG107" t="s">
        <v>1754</v>
      </c>
      <c r="AH107">
        <v>4</v>
      </c>
      <c r="AI107">
        <v>2</v>
      </c>
      <c r="AJ107">
        <v>2</v>
      </c>
      <c r="AK107">
        <v>213.59</v>
      </c>
      <c r="AL107" t="s">
        <v>18018</v>
      </c>
      <c r="AM107" t="s">
        <v>18031</v>
      </c>
      <c r="AN107" t="s">
        <v>2926</v>
      </c>
      <c r="AO107">
        <v>55000</v>
      </c>
      <c r="AU107">
        <v>29.6</v>
      </c>
      <c r="AV107" t="s">
        <v>346</v>
      </c>
      <c r="AW107" t="s">
        <v>3059</v>
      </c>
      <c r="AX107" t="s">
        <v>18685</v>
      </c>
    </row>
    <row r="108" spans="1:50">
      <c r="A108" s="1" t="s">
        <v>57</v>
      </c>
      <c r="B108" t="s">
        <v>164</v>
      </c>
      <c r="C108" t="s">
        <v>3318</v>
      </c>
      <c r="D108" t="s">
        <v>323</v>
      </c>
      <c r="E108" t="s">
        <v>359</v>
      </c>
      <c r="F108" t="s">
        <v>516</v>
      </c>
      <c r="G108" t="s">
        <v>7928</v>
      </c>
      <c r="H108" t="s">
        <v>1214</v>
      </c>
      <c r="J108" t="s">
        <v>1641</v>
      </c>
      <c r="K108">
        <v>10452</v>
      </c>
      <c r="L108" t="s">
        <v>1670</v>
      </c>
      <c r="M108" t="s">
        <v>1670</v>
      </c>
      <c r="O108" t="s">
        <v>1939</v>
      </c>
      <c r="P108" t="s">
        <v>1958</v>
      </c>
      <c r="Q108" t="s">
        <v>1965</v>
      </c>
      <c r="R108" t="s">
        <v>50</v>
      </c>
      <c r="S108" t="s">
        <v>1670</v>
      </c>
      <c r="U108" t="s">
        <v>1972</v>
      </c>
      <c r="W108" t="s">
        <v>1993</v>
      </c>
      <c r="X108">
        <v>1300</v>
      </c>
      <c r="Y108" t="s">
        <v>2006</v>
      </c>
      <c r="Z108" t="s">
        <v>2015</v>
      </c>
      <c r="AA108" t="s">
        <v>2029</v>
      </c>
      <c r="AB108" t="s">
        <v>13147</v>
      </c>
      <c r="AE108">
        <v>53</v>
      </c>
      <c r="AF108" t="s">
        <v>2902</v>
      </c>
      <c r="AG108" t="s">
        <v>2915</v>
      </c>
      <c r="AH108">
        <v>2</v>
      </c>
      <c r="AI108">
        <v>1</v>
      </c>
      <c r="AJ108">
        <v>0</v>
      </c>
      <c r="AK108">
        <v>214.17</v>
      </c>
      <c r="AN108" t="s">
        <v>2926</v>
      </c>
      <c r="AO108">
        <v>26000</v>
      </c>
      <c r="AU108">
        <v>1.1</v>
      </c>
      <c r="AV108" t="s">
        <v>395</v>
      </c>
      <c r="AW108" t="s">
        <v>98</v>
      </c>
    </row>
    <row r="109" spans="1:50">
      <c r="A109" s="1" t="s">
        <v>64</v>
      </c>
      <c r="B109" t="s">
        <v>164</v>
      </c>
      <c r="C109" t="s">
        <v>3319</v>
      </c>
      <c r="D109" t="s">
        <v>185</v>
      </c>
      <c r="E109" t="s">
        <v>262</v>
      </c>
      <c r="F109" t="s">
        <v>508</v>
      </c>
      <c r="G109" t="s">
        <v>7929</v>
      </c>
      <c r="H109" t="s">
        <v>9431</v>
      </c>
      <c r="I109" t="s">
        <v>1522</v>
      </c>
      <c r="J109" t="s">
        <v>1643</v>
      </c>
      <c r="K109">
        <v>10034</v>
      </c>
      <c r="L109" t="s">
        <v>1670</v>
      </c>
      <c r="M109" t="s">
        <v>1670</v>
      </c>
      <c r="O109" t="s">
        <v>1936</v>
      </c>
      <c r="P109" t="s">
        <v>1958</v>
      </c>
      <c r="Q109" t="s">
        <v>1965</v>
      </c>
      <c r="R109" t="s">
        <v>50</v>
      </c>
      <c r="S109" t="s">
        <v>1671</v>
      </c>
      <c r="U109" t="s">
        <v>1972</v>
      </c>
      <c r="W109" t="s">
        <v>185</v>
      </c>
      <c r="X109">
        <v>2193.96</v>
      </c>
      <c r="Y109" t="s">
        <v>2008</v>
      </c>
      <c r="Z109" t="s">
        <v>2013</v>
      </c>
      <c r="AA109" t="s">
        <v>2029</v>
      </c>
      <c r="AB109" t="s">
        <v>13148</v>
      </c>
      <c r="AD109" t="s">
        <v>15760</v>
      </c>
      <c r="AE109">
        <v>69</v>
      </c>
      <c r="AF109" t="s">
        <v>2902</v>
      </c>
      <c r="AG109" t="s">
        <v>1754</v>
      </c>
      <c r="AH109">
        <v>30</v>
      </c>
      <c r="AI109">
        <v>1</v>
      </c>
      <c r="AJ109">
        <v>0</v>
      </c>
      <c r="AK109">
        <v>214.17</v>
      </c>
      <c r="AL109" t="s">
        <v>340</v>
      </c>
      <c r="AM109" t="s">
        <v>18031</v>
      </c>
      <c r="AN109" t="s">
        <v>2926</v>
      </c>
      <c r="AO109">
        <v>26000</v>
      </c>
      <c r="AU109">
        <v>1.4</v>
      </c>
      <c r="AV109" t="s">
        <v>209</v>
      </c>
      <c r="AW109" t="s">
        <v>3042</v>
      </c>
    </row>
    <row r="110" spans="1:50">
      <c r="A110" s="1" t="s">
        <v>3149</v>
      </c>
      <c r="B110" t="s">
        <v>164</v>
      </c>
      <c r="C110" t="s">
        <v>3320</v>
      </c>
      <c r="D110" t="s">
        <v>215</v>
      </c>
      <c r="E110" t="s">
        <v>204</v>
      </c>
      <c r="F110" t="s">
        <v>6841</v>
      </c>
      <c r="G110" t="s">
        <v>945</v>
      </c>
      <c r="H110" t="s">
        <v>9432</v>
      </c>
      <c r="I110" t="s">
        <v>10960</v>
      </c>
      <c r="J110" t="s">
        <v>1643</v>
      </c>
      <c r="K110">
        <v>10030</v>
      </c>
      <c r="L110" t="s">
        <v>1670</v>
      </c>
      <c r="M110" t="s">
        <v>1670</v>
      </c>
      <c r="N110" t="s">
        <v>11858</v>
      </c>
      <c r="O110" t="s">
        <v>1936</v>
      </c>
      <c r="P110" t="s">
        <v>1958</v>
      </c>
      <c r="Q110" t="s">
        <v>1965</v>
      </c>
      <c r="R110" t="s">
        <v>50</v>
      </c>
      <c r="S110" t="s">
        <v>1671</v>
      </c>
      <c r="U110" t="s">
        <v>1972</v>
      </c>
      <c r="W110" t="s">
        <v>215</v>
      </c>
      <c r="X110">
        <v>939</v>
      </c>
      <c r="Y110" t="s">
        <v>2008</v>
      </c>
      <c r="Z110" t="s">
        <v>2013</v>
      </c>
      <c r="AA110" t="s">
        <v>2029</v>
      </c>
      <c r="AB110" t="s">
        <v>13149</v>
      </c>
      <c r="AD110" t="s">
        <v>15761</v>
      </c>
      <c r="AE110" t="s">
        <v>13051</v>
      </c>
      <c r="AF110" t="s">
        <v>2904</v>
      </c>
      <c r="AG110" t="s">
        <v>1754</v>
      </c>
      <c r="AH110">
        <v>2</v>
      </c>
      <c r="AI110">
        <v>1</v>
      </c>
      <c r="AJ110">
        <v>0</v>
      </c>
      <c r="AK110">
        <v>214.17</v>
      </c>
      <c r="AL110" t="s">
        <v>340</v>
      </c>
      <c r="AM110" t="s">
        <v>18031</v>
      </c>
      <c r="AN110" t="s">
        <v>2926</v>
      </c>
      <c r="AO110">
        <v>26000</v>
      </c>
      <c r="AU110">
        <v>0.1</v>
      </c>
      <c r="AV110" t="s">
        <v>204</v>
      </c>
      <c r="AW110" t="s">
        <v>3048</v>
      </c>
    </row>
    <row r="111" spans="1:50">
      <c r="A111" s="1" t="s">
        <v>3150</v>
      </c>
      <c r="B111" t="s">
        <v>163</v>
      </c>
      <c r="C111" t="s">
        <v>3321</v>
      </c>
      <c r="D111" t="s">
        <v>279</v>
      </c>
      <c r="F111" t="s">
        <v>6842</v>
      </c>
      <c r="G111" t="s">
        <v>873</v>
      </c>
      <c r="H111" t="s">
        <v>9433</v>
      </c>
      <c r="I111">
        <v>54</v>
      </c>
      <c r="J111" t="s">
        <v>1643</v>
      </c>
      <c r="K111">
        <v>10031</v>
      </c>
      <c r="L111" t="s">
        <v>1670</v>
      </c>
      <c r="M111" t="s">
        <v>1670</v>
      </c>
      <c r="N111" t="s">
        <v>11859</v>
      </c>
      <c r="O111" t="s">
        <v>1936</v>
      </c>
      <c r="P111" t="s">
        <v>1958</v>
      </c>
      <c r="R111" t="s">
        <v>50</v>
      </c>
      <c r="S111" t="s">
        <v>1671</v>
      </c>
      <c r="U111" t="s">
        <v>1972</v>
      </c>
      <c r="V111" t="s">
        <v>1984</v>
      </c>
      <c r="W111" t="s">
        <v>252</v>
      </c>
      <c r="X111">
        <v>787.74</v>
      </c>
      <c r="Y111" t="s">
        <v>2008</v>
      </c>
      <c r="Z111" t="s">
        <v>2020</v>
      </c>
      <c r="AB111" t="s">
        <v>13150</v>
      </c>
      <c r="AD111" t="s">
        <v>15762</v>
      </c>
      <c r="AE111" t="s">
        <v>13051</v>
      </c>
      <c r="AF111" t="s">
        <v>2902</v>
      </c>
      <c r="AG111" t="s">
        <v>1754</v>
      </c>
      <c r="AH111">
        <v>33</v>
      </c>
      <c r="AI111">
        <v>1</v>
      </c>
      <c r="AJ111">
        <v>0</v>
      </c>
      <c r="AK111">
        <v>214.17</v>
      </c>
      <c r="AN111" t="s">
        <v>2927</v>
      </c>
      <c r="AO111">
        <v>26000</v>
      </c>
      <c r="AU111">
        <v>0.6</v>
      </c>
      <c r="AV111" t="s">
        <v>309</v>
      </c>
      <c r="AW111" t="s">
        <v>3048</v>
      </c>
    </row>
    <row r="112" spans="1:50">
      <c r="A112" s="1" t="s">
        <v>57</v>
      </c>
      <c r="B112" t="s">
        <v>163</v>
      </c>
      <c r="C112" t="s">
        <v>3322</v>
      </c>
      <c r="D112" t="s">
        <v>197</v>
      </c>
      <c r="F112" t="s">
        <v>516</v>
      </c>
      <c r="G112" t="s">
        <v>7928</v>
      </c>
      <c r="H112" t="s">
        <v>1214</v>
      </c>
      <c r="I112" t="s">
        <v>1486</v>
      </c>
      <c r="J112" t="s">
        <v>1641</v>
      </c>
      <c r="K112">
        <v>10452</v>
      </c>
      <c r="L112" t="s">
        <v>1670</v>
      </c>
      <c r="M112" t="s">
        <v>1670</v>
      </c>
      <c r="O112" t="s">
        <v>1938</v>
      </c>
      <c r="P112" t="s">
        <v>1961</v>
      </c>
      <c r="R112" t="s">
        <v>50</v>
      </c>
      <c r="S112" t="s">
        <v>1670</v>
      </c>
      <c r="U112" t="s">
        <v>1972</v>
      </c>
      <c r="W112" t="s">
        <v>359</v>
      </c>
      <c r="X112">
        <v>1300</v>
      </c>
      <c r="Y112" t="s">
        <v>2006</v>
      </c>
      <c r="Z112" t="s">
        <v>2015</v>
      </c>
      <c r="AB112" t="s">
        <v>13147</v>
      </c>
      <c r="AD112" t="s">
        <v>15763</v>
      </c>
      <c r="AE112">
        <v>53</v>
      </c>
      <c r="AF112" t="s">
        <v>2902</v>
      </c>
      <c r="AG112" t="s">
        <v>2915</v>
      </c>
      <c r="AH112">
        <v>2</v>
      </c>
      <c r="AI112">
        <v>1</v>
      </c>
      <c r="AJ112">
        <v>0</v>
      </c>
      <c r="AK112">
        <v>214.17</v>
      </c>
      <c r="AN112" t="s">
        <v>2926</v>
      </c>
      <c r="AO112">
        <v>26000</v>
      </c>
      <c r="AP112" t="s">
        <v>18072</v>
      </c>
      <c r="AU112">
        <v>8.5</v>
      </c>
      <c r="AV112" t="s">
        <v>226</v>
      </c>
      <c r="AW112" t="s">
        <v>57</v>
      </c>
    </row>
    <row r="113" spans="1:50">
      <c r="A113" s="1" t="s">
        <v>63</v>
      </c>
      <c r="B113" t="s">
        <v>163</v>
      </c>
      <c r="C113" t="s">
        <v>3323</v>
      </c>
      <c r="D113" t="s">
        <v>6131</v>
      </c>
      <c r="F113" t="s">
        <v>6829</v>
      </c>
      <c r="G113" t="s">
        <v>803</v>
      </c>
      <c r="H113" t="s">
        <v>1227</v>
      </c>
      <c r="I113" t="s">
        <v>1519</v>
      </c>
      <c r="J113" t="s">
        <v>1641</v>
      </c>
      <c r="K113">
        <v>10463</v>
      </c>
      <c r="L113" t="s">
        <v>1670</v>
      </c>
      <c r="M113" t="s">
        <v>1670</v>
      </c>
      <c r="N113" t="s">
        <v>1763</v>
      </c>
      <c r="O113" t="s">
        <v>1941</v>
      </c>
      <c r="P113" t="s">
        <v>1960</v>
      </c>
      <c r="R113" t="s">
        <v>50</v>
      </c>
      <c r="S113" t="s">
        <v>1671</v>
      </c>
      <c r="U113" t="s">
        <v>1972</v>
      </c>
      <c r="W113" t="s">
        <v>216</v>
      </c>
      <c r="X113">
        <v>948</v>
      </c>
      <c r="Y113" t="s">
        <v>2006</v>
      </c>
      <c r="Z113" t="s">
        <v>2015</v>
      </c>
      <c r="AB113" t="s">
        <v>13131</v>
      </c>
      <c r="AD113" t="s">
        <v>15748</v>
      </c>
      <c r="AE113">
        <v>55</v>
      </c>
      <c r="AF113" t="s">
        <v>2902</v>
      </c>
      <c r="AG113" t="s">
        <v>1754</v>
      </c>
      <c r="AH113">
        <v>10</v>
      </c>
      <c r="AI113">
        <v>1</v>
      </c>
      <c r="AJ113">
        <v>0</v>
      </c>
      <c r="AK113">
        <v>214.17</v>
      </c>
      <c r="AL113" t="s">
        <v>340</v>
      </c>
      <c r="AN113" t="s">
        <v>2927</v>
      </c>
      <c r="AO113">
        <v>26000</v>
      </c>
      <c r="AP113" t="s">
        <v>18073</v>
      </c>
      <c r="AU113">
        <v>128.1</v>
      </c>
      <c r="AV113" t="s">
        <v>396</v>
      </c>
      <c r="AW113" t="s">
        <v>3054</v>
      </c>
    </row>
    <row r="114" spans="1:50">
      <c r="A114" s="1" t="s">
        <v>78</v>
      </c>
      <c r="B114" t="s">
        <v>163</v>
      </c>
      <c r="C114" t="s">
        <v>3324</v>
      </c>
      <c r="D114" t="s">
        <v>209</v>
      </c>
      <c r="F114" t="s">
        <v>6843</v>
      </c>
      <c r="G114" t="s">
        <v>7930</v>
      </c>
      <c r="H114" t="s">
        <v>9434</v>
      </c>
      <c r="I114" t="s">
        <v>1544</v>
      </c>
      <c r="J114" t="s">
        <v>1646</v>
      </c>
      <c r="K114">
        <v>10304</v>
      </c>
      <c r="L114" t="s">
        <v>1670</v>
      </c>
      <c r="M114" t="s">
        <v>1670</v>
      </c>
      <c r="N114" t="s">
        <v>11860</v>
      </c>
      <c r="O114" t="s">
        <v>1936</v>
      </c>
      <c r="P114" t="s">
        <v>1960</v>
      </c>
      <c r="R114" t="s">
        <v>50</v>
      </c>
      <c r="S114" t="s">
        <v>1671</v>
      </c>
      <c r="U114" t="s">
        <v>1972</v>
      </c>
      <c r="V114" t="s">
        <v>1984</v>
      </c>
      <c r="W114" t="s">
        <v>209</v>
      </c>
      <c r="X114">
        <v>1100</v>
      </c>
      <c r="Y114" t="s">
        <v>2010</v>
      </c>
      <c r="Z114" t="s">
        <v>2013</v>
      </c>
      <c r="AB114" t="s">
        <v>13151</v>
      </c>
      <c r="AC114" t="s">
        <v>15075</v>
      </c>
      <c r="AD114" t="s">
        <v>15764</v>
      </c>
      <c r="AE114">
        <v>3</v>
      </c>
      <c r="AF114" t="s">
        <v>2903</v>
      </c>
      <c r="AG114" t="s">
        <v>1754</v>
      </c>
      <c r="AH114">
        <v>20</v>
      </c>
      <c r="AI114">
        <v>1</v>
      </c>
      <c r="AJ114">
        <v>0</v>
      </c>
      <c r="AK114">
        <v>214.17</v>
      </c>
      <c r="AL114" t="s">
        <v>340</v>
      </c>
      <c r="AM114" t="s">
        <v>18031</v>
      </c>
      <c r="AN114" t="s">
        <v>2926</v>
      </c>
      <c r="AO114">
        <v>26000</v>
      </c>
      <c r="AQ114" t="s">
        <v>2978</v>
      </c>
      <c r="AR114" t="s">
        <v>2982</v>
      </c>
      <c r="AS114" t="s">
        <v>2992</v>
      </c>
      <c r="AT114" t="s">
        <v>18499</v>
      </c>
      <c r="AU114">
        <v>8.25</v>
      </c>
      <c r="AV114" t="s">
        <v>273</v>
      </c>
      <c r="AW114" t="s">
        <v>3062</v>
      </c>
    </row>
    <row r="115" spans="1:50">
      <c r="A115" s="1" t="s">
        <v>121</v>
      </c>
      <c r="B115" t="s">
        <v>164</v>
      </c>
      <c r="C115" t="s">
        <v>3325</v>
      </c>
      <c r="D115" t="s">
        <v>6132</v>
      </c>
      <c r="E115" t="s">
        <v>316</v>
      </c>
      <c r="F115" t="s">
        <v>608</v>
      </c>
      <c r="G115" t="s">
        <v>852</v>
      </c>
      <c r="H115" t="s">
        <v>9435</v>
      </c>
      <c r="I115" t="s">
        <v>1575</v>
      </c>
      <c r="J115" t="s">
        <v>1644</v>
      </c>
      <c r="K115">
        <v>11233</v>
      </c>
      <c r="L115" t="s">
        <v>1670</v>
      </c>
      <c r="M115" t="s">
        <v>1670</v>
      </c>
      <c r="N115" t="s">
        <v>11861</v>
      </c>
      <c r="O115" t="s">
        <v>1936</v>
      </c>
      <c r="P115" t="s">
        <v>1960</v>
      </c>
      <c r="Q115" t="s">
        <v>1969</v>
      </c>
      <c r="R115" t="s">
        <v>50</v>
      </c>
      <c r="S115" t="s">
        <v>1671</v>
      </c>
      <c r="U115" t="s">
        <v>1972</v>
      </c>
      <c r="W115" t="s">
        <v>1989</v>
      </c>
      <c r="X115">
        <v>608.63</v>
      </c>
      <c r="Y115" t="s">
        <v>2009</v>
      </c>
      <c r="Z115" t="s">
        <v>2025</v>
      </c>
      <c r="AA115" t="s">
        <v>2032</v>
      </c>
      <c r="AB115" t="s">
        <v>13152</v>
      </c>
      <c r="AD115" t="s">
        <v>15765</v>
      </c>
      <c r="AE115">
        <v>8</v>
      </c>
      <c r="AF115" t="s">
        <v>2902</v>
      </c>
      <c r="AG115" t="s">
        <v>1754</v>
      </c>
      <c r="AH115">
        <v>4</v>
      </c>
      <c r="AI115">
        <v>1</v>
      </c>
      <c r="AJ115">
        <v>1</v>
      </c>
      <c r="AK115">
        <v>214.57</v>
      </c>
      <c r="AL115" t="s">
        <v>1998</v>
      </c>
      <c r="AM115" t="s">
        <v>18031</v>
      </c>
      <c r="AN115" t="s">
        <v>2926</v>
      </c>
      <c r="AO115">
        <v>35318</v>
      </c>
      <c r="AQ115" t="s">
        <v>2979</v>
      </c>
      <c r="AR115" t="s">
        <v>18447</v>
      </c>
      <c r="AS115" t="s">
        <v>2992</v>
      </c>
      <c r="AT115" t="s">
        <v>3003</v>
      </c>
      <c r="AU115">
        <v>1.5</v>
      </c>
      <c r="AV115" t="s">
        <v>237</v>
      </c>
      <c r="AW115" t="s">
        <v>55</v>
      </c>
    </row>
    <row r="116" spans="1:50">
      <c r="A116" s="1" t="s">
        <v>96</v>
      </c>
      <c r="B116" t="s">
        <v>163</v>
      </c>
      <c r="C116" t="s">
        <v>3326</v>
      </c>
      <c r="D116" t="s">
        <v>389</v>
      </c>
      <c r="F116" t="s">
        <v>6844</v>
      </c>
      <c r="G116" t="s">
        <v>7931</v>
      </c>
      <c r="H116" t="s">
        <v>9436</v>
      </c>
      <c r="I116" t="s">
        <v>10961</v>
      </c>
      <c r="J116" t="s">
        <v>1644</v>
      </c>
      <c r="K116">
        <v>11225</v>
      </c>
      <c r="L116" t="s">
        <v>1670</v>
      </c>
      <c r="M116" t="s">
        <v>1672</v>
      </c>
      <c r="O116" t="s">
        <v>1945</v>
      </c>
      <c r="P116" t="s">
        <v>1959</v>
      </c>
      <c r="R116" t="s">
        <v>50</v>
      </c>
      <c r="U116" t="s">
        <v>1972</v>
      </c>
      <c r="W116" t="s">
        <v>389</v>
      </c>
      <c r="X116" t="s">
        <v>13051</v>
      </c>
      <c r="Y116" t="s">
        <v>2009</v>
      </c>
      <c r="AB116" t="s">
        <v>13153</v>
      </c>
      <c r="AD116" t="s">
        <v>15766</v>
      </c>
      <c r="AE116" t="s">
        <v>13051</v>
      </c>
      <c r="AH116" t="s">
        <v>13051</v>
      </c>
      <c r="AI116">
        <v>2</v>
      </c>
      <c r="AJ116">
        <v>0</v>
      </c>
      <c r="AK116">
        <v>214.67</v>
      </c>
      <c r="AN116" t="s">
        <v>2926</v>
      </c>
      <c r="AO116">
        <v>36300</v>
      </c>
      <c r="AU116">
        <v>3.7</v>
      </c>
      <c r="AV116" t="s">
        <v>392</v>
      </c>
      <c r="AW116" t="s">
        <v>69</v>
      </c>
      <c r="AX116" t="s">
        <v>18685</v>
      </c>
    </row>
    <row r="117" spans="1:50">
      <c r="A117" s="1" t="s">
        <v>96</v>
      </c>
      <c r="B117" t="s">
        <v>163</v>
      </c>
      <c r="C117" t="s">
        <v>3327</v>
      </c>
      <c r="D117" t="s">
        <v>364</v>
      </c>
      <c r="F117" t="s">
        <v>6844</v>
      </c>
      <c r="G117" t="s">
        <v>7931</v>
      </c>
      <c r="H117" t="s">
        <v>9436</v>
      </c>
      <c r="I117" t="s">
        <v>10961</v>
      </c>
      <c r="J117" t="s">
        <v>1644</v>
      </c>
      <c r="K117">
        <v>11225</v>
      </c>
      <c r="L117" t="s">
        <v>1670</v>
      </c>
      <c r="M117" t="s">
        <v>1672</v>
      </c>
      <c r="O117" t="s">
        <v>1939</v>
      </c>
      <c r="P117" t="s">
        <v>1960</v>
      </c>
      <c r="R117" t="s">
        <v>50</v>
      </c>
      <c r="U117" t="s">
        <v>1972</v>
      </c>
      <c r="V117" t="s">
        <v>1984</v>
      </c>
      <c r="W117" t="s">
        <v>290</v>
      </c>
      <c r="X117" t="s">
        <v>13051</v>
      </c>
      <c r="Y117" t="s">
        <v>2009</v>
      </c>
      <c r="AB117" t="s">
        <v>13153</v>
      </c>
      <c r="AD117" t="s">
        <v>15766</v>
      </c>
      <c r="AE117">
        <v>21</v>
      </c>
      <c r="AH117" t="s">
        <v>13051</v>
      </c>
      <c r="AI117">
        <v>2</v>
      </c>
      <c r="AJ117">
        <v>0</v>
      </c>
      <c r="AK117">
        <v>214.67</v>
      </c>
      <c r="AN117" t="s">
        <v>2926</v>
      </c>
      <c r="AO117">
        <v>36300</v>
      </c>
      <c r="AU117">
        <v>4.6</v>
      </c>
      <c r="AV117" t="s">
        <v>249</v>
      </c>
      <c r="AW117" t="s">
        <v>69</v>
      </c>
    </row>
    <row r="118" spans="1:50">
      <c r="A118" s="1" t="s">
        <v>72</v>
      </c>
      <c r="B118" t="s">
        <v>164</v>
      </c>
      <c r="C118" t="s">
        <v>3328</v>
      </c>
      <c r="D118" t="s">
        <v>190</v>
      </c>
      <c r="E118" t="s">
        <v>254</v>
      </c>
      <c r="F118" t="s">
        <v>6845</v>
      </c>
      <c r="G118" t="s">
        <v>1020</v>
      </c>
      <c r="H118" t="s">
        <v>9437</v>
      </c>
      <c r="I118" t="s">
        <v>1515</v>
      </c>
      <c r="J118" t="s">
        <v>1643</v>
      </c>
      <c r="K118">
        <v>10035</v>
      </c>
      <c r="L118" t="s">
        <v>1670</v>
      </c>
      <c r="M118" t="s">
        <v>1670</v>
      </c>
      <c r="O118" t="s">
        <v>1675</v>
      </c>
      <c r="P118" t="s">
        <v>1958</v>
      </c>
      <c r="Q118" t="s">
        <v>1965</v>
      </c>
      <c r="R118" t="s">
        <v>50</v>
      </c>
      <c r="S118" t="s">
        <v>1671</v>
      </c>
      <c r="U118" t="s">
        <v>1972</v>
      </c>
      <c r="V118" t="s">
        <v>1984</v>
      </c>
      <c r="W118" t="s">
        <v>406</v>
      </c>
      <c r="X118">
        <v>1706</v>
      </c>
      <c r="Y118" t="s">
        <v>2008</v>
      </c>
      <c r="Z118" t="s">
        <v>2025</v>
      </c>
      <c r="AA118" t="s">
        <v>2029</v>
      </c>
      <c r="AB118" t="s">
        <v>13154</v>
      </c>
      <c r="AD118" t="s">
        <v>15767</v>
      </c>
      <c r="AE118">
        <v>160</v>
      </c>
      <c r="AF118" t="s">
        <v>2902</v>
      </c>
      <c r="AG118" t="s">
        <v>1754</v>
      </c>
      <c r="AH118">
        <v>1</v>
      </c>
      <c r="AI118">
        <v>1</v>
      </c>
      <c r="AJ118">
        <v>1</v>
      </c>
      <c r="AK118">
        <v>214.72</v>
      </c>
      <c r="AN118" t="s">
        <v>2926</v>
      </c>
      <c r="AO118">
        <v>36309</v>
      </c>
      <c r="AU118">
        <v>2.5</v>
      </c>
      <c r="AV118" t="s">
        <v>406</v>
      </c>
      <c r="AW118" t="s">
        <v>3068</v>
      </c>
    </row>
    <row r="119" spans="1:50">
      <c r="A119" s="1" t="s">
        <v>90</v>
      </c>
      <c r="B119" t="s">
        <v>164</v>
      </c>
      <c r="C119" t="s">
        <v>3329</v>
      </c>
      <c r="D119" t="s">
        <v>6133</v>
      </c>
      <c r="E119" t="s">
        <v>361</v>
      </c>
      <c r="F119" t="s">
        <v>507</v>
      </c>
      <c r="G119" t="s">
        <v>7915</v>
      </c>
      <c r="H119" t="s">
        <v>9417</v>
      </c>
      <c r="I119" t="s">
        <v>10954</v>
      </c>
      <c r="J119" t="s">
        <v>1646</v>
      </c>
      <c r="K119">
        <v>10304</v>
      </c>
      <c r="L119" t="s">
        <v>1670</v>
      </c>
      <c r="M119" t="s">
        <v>1670</v>
      </c>
      <c r="N119" t="s">
        <v>1693</v>
      </c>
      <c r="O119" t="s">
        <v>1956</v>
      </c>
      <c r="P119" t="s">
        <v>1959</v>
      </c>
      <c r="Q119" t="s">
        <v>1969</v>
      </c>
      <c r="R119" t="s">
        <v>50</v>
      </c>
      <c r="S119" t="s">
        <v>1671</v>
      </c>
      <c r="U119" t="s">
        <v>1972</v>
      </c>
      <c r="V119" t="s">
        <v>1984</v>
      </c>
      <c r="W119" t="s">
        <v>181</v>
      </c>
      <c r="X119">
        <v>678.91</v>
      </c>
      <c r="Y119" t="s">
        <v>2010</v>
      </c>
      <c r="Z119" t="s">
        <v>2020</v>
      </c>
      <c r="AA119" t="s">
        <v>2032</v>
      </c>
      <c r="AB119" t="s">
        <v>13128</v>
      </c>
      <c r="AD119" t="s">
        <v>15745</v>
      </c>
      <c r="AE119">
        <v>16</v>
      </c>
      <c r="AF119" t="s">
        <v>2902</v>
      </c>
      <c r="AG119" t="s">
        <v>1754</v>
      </c>
      <c r="AH119">
        <v>18</v>
      </c>
      <c r="AI119">
        <v>1</v>
      </c>
      <c r="AJ119">
        <v>0</v>
      </c>
      <c r="AK119">
        <v>215.02</v>
      </c>
      <c r="AL119" t="s">
        <v>18019</v>
      </c>
      <c r="AM119" t="s">
        <v>18031</v>
      </c>
      <c r="AN119" t="s">
        <v>2926</v>
      </c>
      <c r="AO119">
        <v>25932</v>
      </c>
      <c r="AU119">
        <v>36.15</v>
      </c>
      <c r="AV119" t="s">
        <v>294</v>
      </c>
      <c r="AW119" t="s">
        <v>18657</v>
      </c>
    </row>
    <row r="120" spans="1:50">
      <c r="A120" s="1" t="s">
        <v>79</v>
      </c>
      <c r="B120" t="s">
        <v>163</v>
      </c>
      <c r="C120" t="s">
        <v>3330</v>
      </c>
      <c r="D120" t="s">
        <v>384</v>
      </c>
      <c r="F120" t="s">
        <v>6846</v>
      </c>
      <c r="G120" t="s">
        <v>7932</v>
      </c>
      <c r="H120" t="s">
        <v>9438</v>
      </c>
      <c r="J120" t="s">
        <v>1644</v>
      </c>
      <c r="K120">
        <v>11208</v>
      </c>
      <c r="L120" t="s">
        <v>1670</v>
      </c>
      <c r="M120" t="s">
        <v>1670</v>
      </c>
      <c r="O120" t="s">
        <v>1937</v>
      </c>
      <c r="P120" t="s">
        <v>1962</v>
      </c>
      <c r="R120" t="s">
        <v>50</v>
      </c>
      <c r="S120" t="s">
        <v>1670</v>
      </c>
      <c r="U120" t="s">
        <v>1972</v>
      </c>
      <c r="V120" t="s">
        <v>1984</v>
      </c>
      <c r="W120" t="s">
        <v>196</v>
      </c>
      <c r="X120" t="s">
        <v>13051</v>
      </c>
      <c r="Y120" t="s">
        <v>2009</v>
      </c>
      <c r="AB120" t="s">
        <v>13155</v>
      </c>
      <c r="AD120" t="s">
        <v>15768</v>
      </c>
      <c r="AE120">
        <v>9</v>
      </c>
      <c r="AH120" t="s">
        <v>13051</v>
      </c>
      <c r="AI120">
        <v>2</v>
      </c>
      <c r="AJ120">
        <v>0</v>
      </c>
      <c r="AK120">
        <v>215.26</v>
      </c>
      <c r="AL120" t="s">
        <v>166</v>
      </c>
      <c r="AM120" t="s">
        <v>18031</v>
      </c>
      <c r="AN120" t="s">
        <v>2926</v>
      </c>
      <c r="AO120">
        <v>36400</v>
      </c>
      <c r="AP120" t="s">
        <v>18074</v>
      </c>
      <c r="AU120" t="s">
        <v>13051</v>
      </c>
      <c r="AW120" t="s">
        <v>3060</v>
      </c>
    </row>
    <row r="121" spans="1:50">
      <c r="A121" s="1" t="s">
        <v>100</v>
      </c>
      <c r="B121" t="s">
        <v>164</v>
      </c>
      <c r="C121" t="s">
        <v>3331</v>
      </c>
      <c r="D121" t="s">
        <v>263</v>
      </c>
      <c r="E121" t="s">
        <v>354</v>
      </c>
      <c r="F121" t="s">
        <v>6847</v>
      </c>
      <c r="G121" t="s">
        <v>6802</v>
      </c>
      <c r="H121" t="s">
        <v>9439</v>
      </c>
      <c r="I121" t="s">
        <v>1569</v>
      </c>
      <c r="J121" t="s">
        <v>1643</v>
      </c>
      <c r="K121">
        <v>10034</v>
      </c>
      <c r="L121" t="s">
        <v>1670</v>
      </c>
      <c r="M121" t="s">
        <v>1670</v>
      </c>
      <c r="P121" t="s">
        <v>1958</v>
      </c>
      <c r="Q121" t="s">
        <v>1965</v>
      </c>
      <c r="R121" t="s">
        <v>50</v>
      </c>
      <c r="S121" t="s">
        <v>1671</v>
      </c>
      <c r="U121" t="s">
        <v>1972</v>
      </c>
      <c r="W121" t="s">
        <v>263</v>
      </c>
      <c r="X121">
        <v>2397</v>
      </c>
      <c r="Y121" t="s">
        <v>2008</v>
      </c>
      <c r="Z121" t="s">
        <v>2013</v>
      </c>
      <c r="AA121" t="s">
        <v>2029</v>
      </c>
      <c r="AB121" t="s">
        <v>13156</v>
      </c>
      <c r="AD121" t="s">
        <v>15769</v>
      </c>
      <c r="AE121" t="s">
        <v>13051</v>
      </c>
      <c r="AF121" t="s">
        <v>2902</v>
      </c>
      <c r="AG121" t="s">
        <v>1754</v>
      </c>
      <c r="AH121">
        <v>3</v>
      </c>
      <c r="AI121">
        <v>3</v>
      </c>
      <c r="AJ121">
        <v>2</v>
      </c>
      <c r="AK121">
        <v>215.45</v>
      </c>
      <c r="AN121" t="s">
        <v>2926</v>
      </c>
      <c r="AO121">
        <v>65000</v>
      </c>
      <c r="AU121">
        <v>0.1</v>
      </c>
      <c r="AV121" t="s">
        <v>324</v>
      </c>
      <c r="AW121" t="s">
        <v>3042</v>
      </c>
      <c r="AX121" t="s">
        <v>18685</v>
      </c>
    </row>
    <row r="122" spans="1:50">
      <c r="A122" s="1" t="s">
        <v>82</v>
      </c>
      <c r="B122" t="s">
        <v>163</v>
      </c>
      <c r="C122" t="s">
        <v>3332</v>
      </c>
      <c r="D122" t="s">
        <v>294</v>
      </c>
      <c r="F122" t="s">
        <v>6848</v>
      </c>
      <c r="G122" t="s">
        <v>7933</v>
      </c>
      <c r="H122" t="s">
        <v>9420</v>
      </c>
      <c r="I122" t="s">
        <v>10962</v>
      </c>
      <c r="J122" t="s">
        <v>1644</v>
      </c>
      <c r="K122">
        <v>11233</v>
      </c>
      <c r="L122" t="s">
        <v>1670</v>
      </c>
      <c r="M122" t="s">
        <v>1671</v>
      </c>
      <c r="N122" t="s">
        <v>1754</v>
      </c>
      <c r="O122" t="s">
        <v>1937</v>
      </c>
      <c r="P122" t="s">
        <v>1962</v>
      </c>
      <c r="R122" t="s">
        <v>50</v>
      </c>
      <c r="S122" t="s">
        <v>1670</v>
      </c>
      <c r="U122" t="s">
        <v>1972</v>
      </c>
      <c r="V122" t="s">
        <v>1984</v>
      </c>
      <c r="W122" t="s">
        <v>221</v>
      </c>
      <c r="X122">
        <v>997</v>
      </c>
      <c r="Y122" t="s">
        <v>2009</v>
      </c>
      <c r="AB122" t="s">
        <v>13157</v>
      </c>
      <c r="AE122">
        <v>359</v>
      </c>
      <c r="AF122" t="s">
        <v>2902</v>
      </c>
      <c r="AH122">
        <v>40</v>
      </c>
      <c r="AI122">
        <v>2</v>
      </c>
      <c r="AJ122">
        <v>1</v>
      </c>
      <c r="AK122">
        <v>215.66</v>
      </c>
      <c r="AL122" t="s">
        <v>365</v>
      </c>
      <c r="AM122" t="s">
        <v>18031</v>
      </c>
      <c r="AN122" t="s">
        <v>2926</v>
      </c>
      <c r="AO122">
        <v>46000</v>
      </c>
      <c r="AP122" t="s">
        <v>18075</v>
      </c>
      <c r="AU122" t="s">
        <v>13051</v>
      </c>
      <c r="AW122" t="s">
        <v>3060</v>
      </c>
    </row>
    <row r="123" spans="1:50">
      <c r="A123" s="1" t="s">
        <v>82</v>
      </c>
      <c r="B123" t="s">
        <v>163</v>
      </c>
      <c r="C123" t="s">
        <v>3333</v>
      </c>
      <c r="D123" t="s">
        <v>294</v>
      </c>
      <c r="F123" t="s">
        <v>6848</v>
      </c>
      <c r="G123" t="s">
        <v>7933</v>
      </c>
      <c r="H123" t="s">
        <v>9420</v>
      </c>
      <c r="I123" t="s">
        <v>10962</v>
      </c>
      <c r="J123" t="s">
        <v>1644</v>
      </c>
      <c r="K123">
        <v>11233</v>
      </c>
      <c r="L123" t="s">
        <v>1670</v>
      </c>
      <c r="M123" t="s">
        <v>1671</v>
      </c>
      <c r="N123" t="s">
        <v>1754</v>
      </c>
      <c r="O123" t="s">
        <v>1938</v>
      </c>
      <c r="P123" t="s">
        <v>1961</v>
      </c>
      <c r="R123" t="s">
        <v>50</v>
      </c>
      <c r="S123" t="s">
        <v>1670</v>
      </c>
      <c r="U123" t="s">
        <v>1972</v>
      </c>
      <c r="V123" t="s">
        <v>1984</v>
      </c>
      <c r="W123" t="s">
        <v>248</v>
      </c>
      <c r="X123">
        <v>997</v>
      </c>
      <c r="Y123" t="s">
        <v>2009</v>
      </c>
      <c r="AB123" t="s">
        <v>13157</v>
      </c>
      <c r="AE123">
        <v>359</v>
      </c>
      <c r="AF123" t="s">
        <v>2902</v>
      </c>
      <c r="AH123">
        <v>40</v>
      </c>
      <c r="AI123">
        <v>2</v>
      </c>
      <c r="AJ123">
        <v>1</v>
      </c>
      <c r="AK123">
        <v>215.66</v>
      </c>
      <c r="AL123" t="s">
        <v>365</v>
      </c>
      <c r="AM123" t="s">
        <v>18031</v>
      </c>
      <c r="AN123" t="s">
        <v>2926</v>
      </c>
      <c r="AO123">
        <v>46000</v>
      </c>
      <c r="AP123" t="s">
        <v>18076</v>
      </c>
      <c r="AU123" t="s">
        <v>13051</v>
      </c>
      <c r="AW123" t="s">
        <v>3060</v>
      </c>
    </row>
    <row r="124" spans="1:50">
      <c r="A124" s="1" t="s">
        <v>101</v>
      </c>
      <c r="B124" t="s">
        <v>163</v>
      </c>
      <c r="C124" t="s">
        <v>3334</v>
      </c>
      <c r="D124" t="s">
        <v>354</v>
      </c>
      <c r="F124" t="s">
        <v>530</v>
      </c>
      <c r="G124" t="s">
        <v>7934</v>
      </c>
      <c r="H124" t="s">
        <v>9440</v>
      </c>
      <c r="I124">
        <v>34</v>
      </c>
      <c r="J124" t="s">
        <v>1643</v>
      </c>
      <c r="K124">
        <v>10039</v>
      </c>
      <c r="L124" t="s">
        <v>1670</v>
      </c>
      <c r="M124" t="s">
        <v>1672</v>
      </c>
      <c r="N124" t="s">
        <v>11862</v>
      </c>
      <c r="O124" t="s">
        <v>1952</v>
      </c>
      <c r="P124" t="s">
        <v>1960</v>
      </c>
      <c r="R124" t="s">
        <v>50</v>
      </c>
      <c r="S124" t="s">
        <v>1670</v>
      </c>
      <c r="U124" t="s">
        <v>1972</v>
      </c>
      <c r="V124" t="s">
        <v>1984</v>
      </c>
      <c r="W124" t="s">
        <v>354</v>
      </c>
      <c r="X124">
        <v>1600</v>
      </c>
      <c r="Y124" t="s">
        <v>2008</v>
      </c>
      <c r="Z124" t="s">
        <v>2020</v>
      </c>
      <c r="AB124" t="s">
        <v>13158</v>
      </c>
      <c r="AD124" t="s">
        <v>15770</v>
      </c>
      <c r="AE124">
        <v>34</v>
      </c>
      <c r="AF124" t="s">
        <v>2903</v>
      </c>
      <c r="AG124" t="s">
        <v>1754</v>
      </c>
      <c r="AH124">
        <v>4</v>
      </c>
      <c r="AI124">
        <v>1</v>
      </c>
      <c r="AJ124">
        <v>0</v>
      </c>
      <c r="AK124">
        <v>215.69</v>
      </c>
      <c r="AN124" t="s">
        <v>2926</v>
      </c>
      <c r="AO124">
        <v>26940</v>
      </c>
      <c r="AU124">
        <v>7.5</v>
      </c>
      <c r="AV124" t="s">
        <v>397</v>
      </c>
      <c r="AW124" t="s">
        <v>3051</v>
      </c>
      <c r="AX124" t="s">
        <v>18685</v>
      </c>
    </row>
    <row r="125" spans="1:50">
      <c r="A125" s="1" t="s">
        <v>94</v>
      </c>
      <c r="B125" t="s">
        <v>164</v>
      </c>
      <c r="C125" t="s">
        <v>3335</v>
      </c>
      <c r="D125" t="s">
        <v>256</v>
      </c>
      <c r="E125" t="s">
        <v>212</v>
      </c>
      <c r="F125" t="s">
        <v>6849</v>
      </c>
      <c r="G125" t="s">
        <v>7935</v>
      </c>
      <c r="H125" t="s">
        <v>9441</v>
      </c>
      <c r="I125" t="s">
        <v>10963</v>
      </c>
      <c r="J125" t="s">
        <v>1643</v>
      </c>
      <c r="K125">
        <v>10033</v>
      </c>
      <c r="L125" t="s">
        <v>1670</v>
      </c>
      <c r="M125" t="s">
        <v>1670</v>
      </c>
      <c r="P125" t="s">
        <v>1962</v>
      </c>
      <c r="Q125" t="s">
        <v>1968</v>
      </c>
      <c r="R125" t="s">
        <v>50</v>
      </c>
      <c r="S125" t="s">
        <v>1671</v>
      </c>
      <c r="U125" t="s">
        <v>1972</v>
      </c>
      <c r="W125" t="s">
        <v>256</v>
      </c>
      <c r="X125">
        <v>1428</v>
      </c>
      <c r="Y125" t="s">
        <v>2008</v>
      </c>
      <c r="Z125" t="s">
        <v>2013</v>
      </c>
      <c r="AA125" t="s">
        <v>2034</v>
      </c>
      <c r="AB125" t="s">
        <v>13159</v>
      </c>
      <c r="AD125" t="s">
        <v>15771</v>
      </c>
      <c r="AE125">
        <v>54</v>
      </c>
      <c r="AF125" t="s">
        <v>2902</v>
      </c>
      <c r="AG125" t="s">
        <v>1754</v>
      </c>
      <c r="AH125">
        <v>20</v>
      </c>
      <c r="AI125">
        <v>1</v>
      </c>
      <c r="AJ125">
        <v>0</v>
      </c>
      <c r="AK125">
        <v>216.17</v>
      </c>
      <c r="AN125" t="s">
        <v>2926</v>
      </c>
      <c r="AO125">
        <v>27000</v>
      </c>
      <c r="AU125">
        <v>8.9</v>
      </c>
      <c r="AV125" t="s">
        <v>327</v>
      </c>
      <c r="AW125" t="s">
        <v>3042</v>
      </c>
    </row>
    <row r="126" spans="1:50">
      <c r="A126" s="1" t="s">
        <v>82</v>
      </c>
      <c r="B126" t="s">
        <v>163</v>
      </c>
      <c r="C126" t="s">
        <v>3336</v>
      </c>
      <c r="D126" t="s">
        <v>239</v>
      </c>
      <c r="F126" t="s">
        <v>6850</v>
      </c>
      <c r="G126" t="s">
        <v>7936</v>
      </c>
      <c r="H126" t="s">
        <v>9442</v>
      </c>
      <c r="I126" t="s">
        <v>1478</v>
      </c>
      <c r="J126" t="s">
        <v>1644</v>
      </c>
      <c r="K126">
        <v>11233</v>
      </c>
      <c r="L126" t="s">
        <v>1670</v>
      </c>
      <c r="M126" t="s">
        <v>1671</v>
      </c>
      <c r="O126" t="s">
        <v>1937</v>
      </c>
      <c r="P126" t="s">
        <v>1962</v>
      </c>
      <c r="R126" t="s">
        <v>50</v>
      </c>
      <c r="S126" t="s">
        <v>1670</v>
      </c>
      <c r="U126" t="s">
        <v>1972</v>
      </c>
      <c r="V126" t="s">
        <v>1984</v>
      </c>
      <c r="W126" t="s">
        <v>221</v>
      </c>
      <c r="X126">
        <v>836.36</v>
      </c>
      <c r="Y126" t="s">
        <v>2009</v>
      </c>
      <c r="Z126" t="s">
        <v>2017</v>
      </c>
      <c r="AB126" t="s">
        <v>13160</v>
      </c>
      <c r="AD126" t="s">
        <v>15772</v>
      </c>
      <c r="AE126">
        <v>359</v>
      </c>
      <c r="AF126" t="s">
        <v>2902</v>
      </c>
      <c r="AH126">
        <v>16</v>
      </c>
      <c r="AI126">
        <v>1</v>
      </c>
      <c r="AJ126">
        <v>0</v>
      </c>
      <c r="AK126">
        <v>216.17</v>
      </c>
      <c r="AN126" t="s">
        <v>2926</v>
      </c>
      <c r="AO126">
        <v>27000</v>
      </c>
      <c r="AP126" t="s">
        <v>18077</v>
      </c>
      <c r="AU126" t="s">
        <v>13051</v>
      </c>
      <c r="AW126" t="s">
        <v>3059</v>
      </c>
    </row>
    <row r="127" spans="1:50">
      <c r="A127" s="1" t="s">
        <v>82</v>
      </c>
      <c r="B127" t="s">
        <v>163</v>
      </c>
      <c r="C127" t="s">
        <v>3337</v>
      </c>
      <c r="D127" t="s">
        <v>239</v>
      </c>
      <c r="F127" t="s">
        <v>6850</v>
      </c>
      <c r="G127" t="s">
        <v>7936</v>
      </c>
      <c r="H127" t="s">
        <v>9442</v>
      </c>
      <c r="I127" t="s">
        <v>1478</v>
      </c>
      <c r="J127" t="s">
        <v>1644</v>
      </c>
      <c r="K127">
        <v>11233</v>
      </c>
      <c r="L127" t="s">
        <v>1670</v>
      </c>
      <c r="M127" t="s">
        <v>1671</v>
      </c>
      <c r="O127" t="s">
        <v>1938</v>
      </c>
      <c r="P127" t="s">
        <v>1961</v>
      </c>
      <c r="R127" t="s">
        <v>50</v>
      </c>
      <c r="S127" t="s">
        <v>1670</v>
      </c>
      <c r="U127" t="s">
        <v>1972</v>
      </c>
      <c r="V127" t="s">
        <v>1984</v>
      </c>
      <c r="W127" t="s">
        <v>248</v>
      </c>
      <c r="X127">
        <v>836.36</v>
      </c>
      <c r="Y127" t="s">
        <v>2009</v>
      </c>
      <c r="Z127" t="s">
        <v>2017</v>
      </c>
      <c r="AB127" t="s">
        <v>13160</v>
      </c>
      <c r="AD127" t="s">
        <v>15772</v>
      </c>
      <c r="AE127">
        <v>359</v>
      </c>
      <c r="AF127" t="s">
        <v>2902</v>
      </c>
      <c r="AH127">
        <v>16</v>
      </c>
      <c r="AI127">
        <v>1</v>
      </c>
      <c r="AJ127">
        <v>0</v>
      </c>
      <c r="AK127">
        <v>216.17</v>
      </c>
      <c r="AN127" t="s">
        <v>2926</v>
      </c>
      <c r="AO127">
        <v>27000</v>
      </c>
      <c r="AP127" t="s">
        <v>18078</v>
      </c>
      <c r="AU127" t="s">
        <v>13051</v>
      </c>
      <c r="AW127" t="s">
        <v>3059</v>
      </c>
    </row>
    <row r="128" spans="1:50">
      <c r="A128" s="1" t="s">
        <v>56</v>
      </c>
      <c r="B128" t="s">
        <v>163</v>
      </c>
      <c r="C128" t="s">
        <v>3338</v>
      </c>
      <c r="D128" t="s">
        <v>2002</v>
      </c>
      <c r="F128" t="s">
        <v>567</v>
      </c>
      <c r="G128" t="s">
        <v>7937</v>
      </c>
      <c r="H128" t="s">
        <v>9443</v>
      </c>
      <c r="I128" t="s">
        <v>10964</v>
      </c>
      <c r="J128" t="s">
        <v>1645</v>
      </c>
      <c r="K128">
        <v>11691</v>
      </c>
      <c r="L128" t="s">
        <v>1670</v>
      </c>
      <c r="M128" t="s">
        <v>1670</v>
      </c>
      <c r="N128" t="s">
        <v>11863</v>
      </c>
      <c r="O128" t="s">
        <v>1940</v>
      </c>
      <c r="P128" t="s">
        <v>1958</v>
      </c>
      <c r="R128" t="s">
        <v>50</v>
      </c>
      <c r="S128" t="s">
        <v>1671</v>
      </c>
      <c r="U128" t="s">
        <v>1972</v>
      </c>
      <c r="V128" t="s">
        <v>1984</v>
      </c>
      <c r="W128" t="s">
        <v>3038</v>
      </c>
      <c r="X128">
        <v>1500</v>
      </c>
      <c r="Y128" t="s">
        <v>2007</v>
      </c>
      <c r="Z128" t="s">
        <v>2014</v>
      </c>
      <c r="AB128" t="s">
        <v>13161</v>
      </c>
      <c r="AC128" t="s">
        <v>15076</v>
      </c>
      <c r="AD128" t="s">
        <v>15773</v>
      </c>
      <c r="AE128">
        <v>2</v>
      </c>
      <c r="AF128" t="s">
        <v>2903</v>
      </c>
      <c r="AG128" t="s">
        <v>1754</v>
      </c>
      <c r="AH128">
        <v>3</v>
      </c>
      <c r="AI128">
        <v>1</v>
      </c>
      <c r="AJ128">
        <v>2</v>
      </c>
      <c r="AK128">
        <v>216.55</v>
      </c>
      <c r="AL128" t="s">
        <v>340</v>
      </c>
      <c r="AM128" t="s">
        <v>18031</v>
      </c>
      <c r="AN128" t="s">
        <v>2926</v>
      </c>
      <c r="AO128">
        <v>45000</v>
      </c>
      <c r="AU128">
        <v>1.15</v>
      </c>
      <c r="AV128" t="s">
        <v>254</v>
      </c>
      <c r="AW128" t="s">
        <v>89</v>
      </c>
    </row>
    <row r="129" spans="1:50">
      <c r="A129" s="1" t="s">
        <v>153</v>
      </c>
      <c r="B129" t="s">
        <v>164</v>
      </c>
      <c r="C129" t="s">
        <v>3339</v>
      </c>
      <c r="D129" t="s">
        <v>185</v>
      </c>
      <c r="E129" t="s">
        <v>364</v>
      </c>
      <c r="F129" t="s">
        <v>595</v>
      </c>
      <c r="G129" t="s">
        <v>7938</v>
      </c>
      <c r="H129" t="s">
        <v>9444</v>
      </c>
      <c r="I129" t="s">
        <v>10965</v>
      </c>
      <c r="J129" t="s">
        <v>1641</v>
      </c>
      <c r="K129">
        <v>10453</v>
      </c>
      <c r="L129" t="s">
        <v>1670</v>
      </c>
      <c r="M129" t="s">
        <v>1670</v>
      </c>
      <c r="O129" t="s">
        <v>1936</v>
      </c>
      <c r="P129" t="s">
        <v>1960</v>
      </c>
      <c r="Q129" t="s">
        <v>1969</v>
      </c>
      <c r="R129" t="s">
        <v>50</v>
      </c>
      <c r="S129" t="s">
        <v>1671</v>
      </c>
      <c r="U129" t="s">
        <v>1972</v>
      </c>
      <c r="W129" t="s">
        <v>185</v>
      </c>
      <c r="X129">
        <v>1359</v>
      </c>
      <c r="Y129" t="s">
        <v>2006</v>
      </c>
      <c r="Z129" t="s">
        <v>2019</v>
      </c>
      <c r="AA129" t="s">
        <v>2032</v>
      </c>
      <c r="AB129" t="s">
        <v>13162</v>
      </c>
      <c r="AD129" t="s">
        <v>15774</v>
      </c>
      <c r="AE129">
        <v>56</v>
      </c>
      <c r="AF129" t="s">
        <v>2907</v>
      </c>
      <c r="AG129" t="s">
        <v>2915</v>
      </c>
      <c r="AH129">
        <v>14</v>
      </c>
      <c r="AI129">
        <v>2</v>
      </c>
      <c r="AJ129">
        <v>0</v>
      </c>
      <c r="AK129">
        <v>217.59</v>
      </c>
      <c r="AL129" t="s">
        <v>340</v>
      </c>
      <c r="AM129" t="s">
        <v>18031</v>
      </c>
      <c r="AN129" t="s">
        <v>2927</v>
      </c>
      <c r="AO129">
        <v>35816</v>
      </c>
      <c r="AU129">
        <v>15</v>
      </c>
      <c r="AV129" t="s">
        <v>330</v>
      </c>
      <c r="AW129" t="s">
        <v>3067</v>
      </c>
    </row>
    <row r="130" spans="1:50">
      <c r="A130" s="1" t="s">
        <v>97</v>
      </c>
      <c r="B130" t="s">
        <v>163</v>
      </c>
      <c r="C130" t="s">
        <v>3340</v>
      </c>
      <c r="D130" t="s">
        <v>201</v>
      </c>
      <c r="F130" t="s">
        <v>6851</v>
      </c>
      <c r="G130" t="s">
        <v>7939</v>
      </c>
      <c r="H130" t="s">
        <v>1216</v>
      </c>
      <c r="I130" t="s">
        <v>1506</v>
      </c>
      <c r="J130" t="s">
        <v>1643</v>
      </c>
      <c r="K130">
        <v>10034</v>
      </c>
      <c r="L130" t="s">
        <v>1670</v>
      </c>
      <c r="M130" t="s">
        <v>1670</v>
      </c>
      <c r="N130" t="s">
        <v>11864</v>
      </c>
      <c r="O130" t="s">
        <v>1939</v>
      </c>
      <c r="P130" t="s">
        <v>1960</v>
      </c>
      <c r="R130" t="s">
        <v>50</v>
      </c>
      <c r="S130" t="s">
        <v>1670</v>
      </c>
      <c r="U130" t="s">
        <v>1972</v>
      </c>
      <c r="W130" t="s">
        <v>201</v>
      </c>
      <c r="X130">
        <v>1926</v>
      </c>
      <c r="Y130" t="s">
        <v>2008</v>
      </c>
      <c r="Z130" t="s">
        <v>2013</v>
      </c>
      <c r="AB130" t="s">
        <v>13163</v>
      </c>
      <c r="AD130" t="s">
        <v>15775</v>
      </c>
      <c r="AE130">
        <v>67</v>
      </c>
      <c r="AF130" t="s">
        <v>2902</v>
      </c>
      <c r="AG130" t="s">
        <v>1754</v>
      </c>
      <c r="AH130">
        <v>10</v>
      </c>
      <c r="AI130">
        <v>2</v>
      </c>
      <c r="AJ130">
        <v>0</v>
      </c>
      <c r="AK130">
        <v>217.65</v>
      </c>
      <c r="AN130" t="s">
        <v>2926</v>
      </c>
      <c r="AO130">
        <v>35824.6</v>
      </c>
      <c r="AU130">
        <v>0.4</v>
      </c>
      <c r="AV130" t="s">
        <v>298</v>
      </c>
      <c r="AW130" t="s">
        <v>3042</v>
      </c>
      <c r="AX130" t="s">
        <v>18685</v>
      </c>
    </row>
    <row r="131" spans="1:50">
      <c r="A131" s="1" t="s">
        <v>69</v>
      </c>
      <c r="B131" t="s">
        <v>164</v>
      </c>
      <c r="C131" t="s">
        <v>3341</v>
      </c>
      <c r="D131" t="s">
        <v>255</v>
      </c>
      <c r="E131" t="s">
        <v>295</v>
      </c>
      <c r="F131" t="s">
        <v>6852</v>
      </c>
      <c r="G131" t="s">
        <v>7940</v>
      </c>
      <c r="H131" t="s">
        <v>9445</v>
      </c>
      <c r="I131" t="s">
        <v>10966</v>
      </c>
      <c r="J131" t="s">
        <v>1644</v>
      </c>
      <c r="K131">
        <v>11225</v>
      </c>
      <c r="L131" t="s">
        <v>1672</v>
      </c>
      <c r="M131" t="s">
        <v>1672</v>
      </c>
      <c r="P131" t="s">
        <v>1958</v>
      </c>
      <c r="Q131" t="s">
        <v>1965</v>
      </c>
      <c r="R131" t="s">
        <v>50</v>
      </c>
      <c r="U131" t="s">
        <v>1972</v>
      </c>
      <c r="W131" t="s">
        <v>255</v>
      </c>
      <c r="X131" t="s">
        <v>13051</v>
      </c>
      <c r="Y131" t="s">
        <v>2009</v>
      </c>
      <c r="AA131" t="s">
        <v>2029</v>
      </c>
      <c r="AB131" t="s">
        <v>13164</v>
      </c>
      <c r="AD131" t="s">
        <v>15776</v>
      </c>
      <c r="AE131" t="s">
        <v>13051</v>
      </c>
      <c r="AH131" t="s">
        <v>13051</v>
      </c>
      <c r="AI131">
        <v>2</v>
      </c>
      <c r="AJ131">
        <v>0</v>
      </c>
      <c r="AK131">
        <v>218.81</v>
      </c>
      <c r="AN131" t="s">
        <v>2926</v>
      </c>
      <c r="AO131">
        <v>37000</v>
      </c>
      <c r="AU131">
        <v>1.4</v>
      </c>
      <c r="AV131" t="s">
        <v>295</v>
      </c>
      <c r="AW131" t="s">
        <v>69</v>
      </c>
    </row>
    <row r="132" spans="1:50">
      <c r="A132" s="1" t="s">
        <v>63</v>
      </c>
      <c r="B132" t="s">
        <v>163</v>
      </c>
      <c r="C132" t="s">
        <v>3342</v>
      </c>
      <c r="D132" t="s">
        <v>231</v>
      </c>
      <c r="F132" t="s">
        <v>6853</v>
      </c>
      <c r="G132" t="s">
        <v>7941</v>
      </c>
      <c r="H132" t="s">
        <v>1227</v>
      </c>
      <c r="I132" t="s">
        <v>1489</v>
      </c>
      <c r="J132" t="s">
        <v>1641</v>
      </c>
      <c r="K132">
        <v>10463</v>
      </c>
      <c r="L132" t="s">
        <v>1670</v>
      </c>
      <c r="M132" t="s">
        <v>1670</v>
      </c>
      <c r="N132" t="s">
        <v>1763</v>
      </c>
      <c r="O132" t="s">
        <v>1939</v>
      </c>
      <c r="P132" t="s">
        <v>1960</v>
      </c>
      <c r="R132" t="s">
        <v>50</v>
      </c>
      <c r="S132" t="s">
        <v>1670</v>
      </c>
      <c r="U132" t="s">
        <v>1972</v>
      </c>
      <c r="W132" t="s">
        <v>359</v>
      </c>
      <c r="X132">
        <v>1000</v>
      </c>
      <c r="Y132" t="s">
        <v>2006</v>
      </c>
      <c r="Z132" t="s">
        <v>2015</v>
      </c>
      <c r="AB132" t="s">
        <v>13165</v>
      </c>
      <c r="AD132" t="s">
        <v>15777</v>
      </c>
      <c r="AE132">
        <v>55</v>
      </c>
      <c r="AF132" t="s">
        <v>2902</v>
      </c>
      <c r="AG132" t="s">
        <v>1754</v>
      </c>
      <c r="AH132">
        <v>9</v>
      </c>
      <c r="AI132">
        <v>3</v>
      </c>
      <c r="AJ132">
        <v>1</v>
      </c>
      <c r="AK132">
        <v>219.12</v>
      </c>
      <c r="AN132" t="s">
        <v>2927</v>
      </c>
      <c r="AO132">
        <v>55000</v>
      </c>
      <c r="AU132" t="s">
        <v>13051</v>
      </c>
      <c r="AW132" t="s">
        <v>3054</v>
      </c>
    </row>
    <row r="133" spans="1:50">
      <c r="A133" s="1" t="s">
        <v>57</v>
      </c>
      <c r="B133" t="s">
        <v>163</v>
      </c>
      <c r="C133" t="s">
        <v>3343</v>
      </c>
      <c r="D133" t="s">
        <v>250</v>
      </c>
      <c r="F133" t="s">
        <v>6854</v>
      </c>
      <c r="G133" t="s">
        <v>7942</v>
      </c>
      <c r="H133" t="s">
        <v>1379</v>
      </c>
      <c r="I133" t="s">
        <v>1591</v>
      </c>
      <c r="J133" t="s">
        <v>1641</v>
      </c>
      <c r="K133">
        <v>10468</v>
      </c>
      <c r="L133" t="s">
        <v>1670</v>
      </c>
      <c r="M133" t="s">
        <v>1670</v>
      </c>
      <c r="O133" t="s">
        <v>1938</v>
      </c>
      <c r="P133" t="s">
        <v>1961</v>
      </c>
      <c r="R133" t="s">
        <v>50</v>
      </c>
      <c r="S133" t="s">
        <v>1670</v>
      </c>
      <c r="U133" t="s">
        <v>1972</v>
      </c>
      <c r="W133" t="s">
        <v>250</v>
      </c>
      <c r="X133">
        <v>907.04</v>
      </c>
      <c r="Y133" t="s">
        <v>2006</v>
      </c>
      <c r="Z133" t="s">
        <v>2015</v>
      </c>
      <c r="AB133" t="s">
        <v>13166</v>
      </c>
      <c r="AD133" t="s">
        <v>15778</v>
      </c>
      <c r="AE133">
        <v>58</v>
      </c>
      <c r="AF133" t="s">
        <v>2908</v>
      </c>
      <c r="AG133" t="s">
        <v>1754</v>
      </c>
      <c r="AH133">
        <v>21</v>
      </c>
      <c r="AI133">
        <v>2</v>
      </c>
      <c r="AJ133">
        <v>2</v>
      </c>
      <c r="AK133">
        <v>219.12</v>
      </c>
      <c r="AN133" t="s">
        <v>2926</v>
      </c>
      <c r="AO133">
        <v>55000</v>
      </c>
      <c r="AP133" t="s">
        <v>18079</v>
      </c>
      <c r="AU133" t="s">
        <v>13051</v>
      </c>
      <c r="AW133" t="s">
        <v>3046</v>
      </c>
    </row>
    <row r="134" spans="1:50">
      <c r="A134" s="1" t="s">
        <v>57</v>
      </c>
      <c r="B134" t="s">
        <v>163</v>
      </c>
      <c r="C134" t="s">
        <v>3344</v>
      </c>
      <c r="D134" t="s">
        <v>225</v>
      </c>
      <c r="F134" t="s">
        <v>6854</v>
      </c>
      <c r="G134" t="s">
        <v>7942</v>
      </c>
      <c r="H134" t="s">
        <v>1379</v>
      </c>
      <c r="I134" t="s">
        <v>1591</v>
      </c>
      <c r="J134" t="s">
        <v>1641</v>
      </c>
      <c r="K134">
        <v>10468</v>
      </c>
      <c r="L134" t="s">
        <v>1670</v>
      </c>
      <c r="M134" t="s">
        <v>1670</v>
      </c>
      <c r="N134" t="s">
        <v>1718</v>
      </c>
      <c r="O134" t="s">
        <v>1939</v>
      </c>
      <c r="P134" t="s">
        <v>1960</v>
      </c>
      <c r="R134" t="s">
        <v>50</v>
      </c>
      <c r="S134" t="s">
        <v>1670</v>
      </c>
      <c r="U134" t="s">
        <v>1972</v>
      </c>
      <c r="W134" t="s">
        <v>359</v>
      </c>
      <c r="X134">
        <v>907.04</v>
      </c>
      <c r="Y134" t="s">
        <v>2006</v>
      </c>
      <c r="Z134" t="s">
        <v>2015</v>
      </c>
      <c r="AB134" t="s">
        <v>13166</v>
      </c>
      <c r="AD134" t="s">
        <v>15778</v>
      </c>
      <c r="AE134" t="s">
        <v>13051</v>
      </c>
      <c r="AF134" t="s">
        <v>2908</v>
      </c>
      <c r="AG134" t="s">
        <v>1754</v>
      </c>
      <c r="AH134">
        <v>21</v>
      </c>
      <c r="AI134">
        <v>2</v>
      </c>
      <c r="AJ134">
        <v>2</v>
      </c>
      <c r="AK134">
        <v>219.12</v>
      </c>
      <c r="AN134" t="s">
        <v>2926</v>
      </c>
      <c r="AO134">
        <v>55000</v>
      </c>
      <c r="AU134" t="s">
        <v>13051</v>
      </c>
      <c r="AW134" t="s">
        <v>3046</v>
      </c>
    </row>
    <row r="135" spans="1:50">
      <c r="A135" s="1" t="s">
        <v>132</v>
      </c>
      <c r="B135" t="s">
        <v>163</v>
      </c>
      <c r="C135" t="s">
        <v>3345</v>
      </c>
      <c r="D135" t="s">
        <v>6134</v>
      </c>
      <c r="F135" t="s">
        <v>6855</v>
      </c>
      <c r="G135" t="s">
        <v>7464</v>
      </c>
      <c r="H135" t="s">
        <v>9446</v>
      </c>
      <c r="I135" t="s">
        <v>10967</v>
      </c>
      <c r="J135" t="s">
        <v>1644</v>
      </c>
      <c r="K135">
        <v>11206</v>
      </c>
      <c r="L135" t="s">
        <v>1670</v>
      </c>
      <c r="M135" t="s">
        <v>1670</v>
      </c>
      <c r="O135" t="s">
        <v>1937</v>
      </c>
      <c r="P135" t="s">
        <v>1961</v>
      </c>
      <c r="R135" t="s">
        <v>50</v>
      </c>
      <c r="S135" t="s">
        <v>1670</v>
      </c>
      <c r="U135" t="s">
        <v>1972</v>
      </c>
      <c r="W135" t="s">
        <v>2004</v>
      </c>
      <c r="X135">
        <v>850</v>
      </c>
      <c r="Y135" t="s">
        <v>2009</v>
      </c>
      <c r="Z135" t="s">
        <v>2016</v>
      </c>
      <c r="AB135" t="s">
        <v>13167</v>
      </c>
      <c r="AD135" t="s">
        <v>15779</v>
      </c>
      <c r="AE135">
        <v>11</v>
      </c>
      <c r="AF135" t="s">
        <v>2902</v>
      </c>
      <c r="AG135" t="s">
        <v>2915</v>
      </c>
      <c r="AH135">
        <v>25</v>
      </c>
      <c r="AI135">
        <v>1</v>
      </c>
      <c r="AJ135">
        <v>0</v>
      </c>
      <c r="AK135">
        <v>219.44</v>
      </c>
      <c r="AM135" t="s">
        <v>18031</v>
      </c>
      <c r="AN135" t="s">
        <v>2927</v>
      </c>
      <c r="AO135">
        <v>26640</v>
      </c>
      <c r="AP135" t="s">
        <v>18080</v>
      </c>
      <c r="AU135" t="s">
        <v>13051</v>
      </c>
      <c r="AW135" t="s">
        <v>3060</v>
      </c>
    </row>
    <row r="136" spans="1:50">
      <c r="A136" s="1" t="s">
        <v>73</v>
      </c>
      <c r="B136" t="s">
        <v>164</v>
      </c>
      <c r="C136" t="s">
        <v>3346</v>
      </c>
      <c r="D136" t="s">
        <v>253</v>
      </c>
      <c r="E136" t="s">
        <v>253</v>
      </c>
      <c r="F136" t="s">
        <v>6856</v>
      </c>
      <c r="G136" t="s">
        <v>835</v>
      </c>
      <c r="H136" t="s">
        <v>9447</v>
      </c>
      <c r="I136" t="s">
        <v>10968</v>
      </c>
      <c r="J136" t="s">
        <v>1654</v>
      </c>
      <c r="K136">
        <v>11103</v>
      </c>
      <c r="L136" t="s">
        <v>1670</v>
      </c>
      <c r="M136" t="s">
        <v>1670</v>
      </c>
      <c r="O136" t="s">
        <v>1675</v>
      </c>
      <c r="P136" t="s">
        <v>1958</v>
      </c>
      <c r="Q136" t="s">
        <v>1965</v>
      </c>
      <c r="R136" t="s">
        <v>50</v>
      </c>
      <c r="S136" t="s">
        <v>1671</v>
      </c>
      <c r="U136" t="s">
        <v>1972</v>
      </c>
      <c r="W136" t="s">
        <v>316</v>
      </c>
      <c r="X136" t="s">
        <v>13051</v>
      </c>
      <c r="Y136" t="s">
        <v>2007</v>
      </c>
      <c r="Z136" t="s">
        <v>2015</v>
      </c>
      <c r="AA136" t="s">
        <v>2029</v>
      </c>
      <c r="AB136" t="s">
        <v>13168</v>
      </c>
      <c r="AC136" t="s">
        <v>15077</v>
      </c>
      <c r="AD136" t="s">
        <v>15077</v>
      </c>
      <c r="AE136" t="s">
        <v>13051</v>
      </c>
      <c r="AF136" t="s">
        <v>2904</v>
      </c>
      <c r="AG136" t="s">
        <v>1754</v>
      </c>
      <c r="AH136" t="s">
        <v>13051</v>
      </c>
      <c r="AI136">
        <v>2</v>
      </c>
      <c r="AJ136">
        <v>0</v>
      </c>
      <c r="AK136">
        <v>219.99</v>
      </c>
      <c r="AN136" t="s">
        <v>2926</v>
      </c>
      <c r="AO136">
        <v>37200</v>
      </c>
      <c r="AU136">
        <v>0.05</v>
      </c>
      <c r="AV136" t="s">
        <v>253</v>
      </c>
      <c r="AW136" t="s">
        <v>73</v>
      </c>
    </row>
    <row r="137" spans="1:50">
      <c r="A137" s="1" t="s">
        <v>96</v>
      </c>
      <c r="B137" t="s">
        <v>163</v>
      </c>
      <c r="C137" t="s">
        <v>3347</v>
      </c>
      <c r="D137" t="s">
        <v>340</v>
      </c>
      <c r="F137" t="s">
        <v>6806</v>
      </c>
      <c r="G137" t="s">
        <v>7894</v>
      </c>
      <c r="H137" t="s">
        <v>9395</v>
      </c>
      <c r="I137" t="s">
        <v>10946</v>
      </c>
      <c r="J137" t="s">
        <v>1644</v>
      </c>
      <c r="K137">
        <v>11238</v>
      </c>
      <c r="L137" t="s">
        <v>1670</v>
      </c>
      <c r="M137" t="s">
        <v>1670</v>
      </c>
      <c r="N137" t="s">
        <v>11865</v>
      </c>
      <c r="O137" t="s">
        <v>1936</v>
      </c>
      <c r="P137" t="s">
        <v>1960</v>
      </c>
      <c r="R137" t="s">
        <v>50</v>
      </c>
      <c r="S137" t="s">
        <v>1671</v>
      </c>
      <c r="U137" t="s">
        <v>1972</v>
      </c>
      <c r="V137" t="s">
        <v>1987</v>
      </c>
      <c r="W137" t="s">
        <v>340</v>
      </c>
      <c r="X137" t="s">
        <v>13051</v>
      </c>
      <c r="Y137" t="s">
        <v>2009</v>
      </c>
      <c r="Z137" t="s">
        <v>2011</v>
      </c>
      <c r="AB137" t="s">
        <v>13099</v>
      </c>
      <c r="AD137" t="s">
        <v>15724</v>
      </c>
      <c r="AE137">
        <v>20</v>
      </c>
      <c r="AF137" t="s">
        <v>2902</v>
      </c>
      <c r="AH137">
        <v>34</v>
      </c>
      <c r="AI137">
        <v>3</v>
      </c>
      <c r="AJ137">
        <v>0</v>
      </c>
      <c r="AK137">
        <v>220.09</v>
      </c>
      <c r="AL137" t="s">
        <v>390</v>
      </c>
      <c r="AM137" t="s">
        <v>18031</v>
      </c>
      <c r="AN137" t="s">
        <v>2926</v>
      </c>
      <c r="AO137">
        <v>45735</v>
      </c>
      <c r="AR137" t="s">
        <v>2988</v>
      </c>
      <c r="AS137" t="s">
        <v>2992</v>
      </c>
      <c r="AU137">
        <v>19.7</v>
      </c>
      <c r="AV137" t="s">
        <v>198</v>
      </c>
      <c r="AW137" t="s">
        <v>69</v>
      </c>
    </row>
    <row r="138" spans="1:50">
      <c r="A138" s="1" t="s">
        <v>120</v>
      </c>
      <c r="B138" t="s">
        <v>163</v>
      </c>
      <c r="C138" t="s">
        <v>3348</v>
      </c>
      <c r="D138" t="s">
        <v>165</v>
      </c>
      <c r="F138" t="s">
        <v>6857</v>
      </c>
      <c r="G138" t="s">
        <v>7943</v>
      </c>
      <c r="H138" t="s">
        <v>9448</v>
      </c>
      <c r="I138">
        <v>414</v>
      </c>
      <c r="J138" t="s">
        <v>1644</v>
      </c>
      <c r="K138">
        <v>11207</v>
      </c>
      <c r="L138" t="s">
        <v>1670</v>
      </c>
      <c r="M138" t="s">
        <v>1670</v>
      </c>
      <c r="N138" t="s">
        <v>11866</v>
      </c>
      <c r="O138" t="s">
        <v>1936</v>
      </c>
      <c r="P138" t="s">
        <v>1959</v>
      </c>
      <c r="R138" t="s">
        <v>50</v>
      </c>
      <c r="S138" t="s">
        <v>1671</v>
      </c>
      <c r="U138" t="s">
        <v>1974</v>
      </c>
      <c r="W138" t="s">
        <v>271</v>
      </c>
      <c r="X138">
        <v>1275</v>
      </c>
      <c r="Y138" t="s">
        <v>2009</v>
      </c>
      <c r="AB138" t="s">
        <v>13169</v>
      </c>
      <c r="AD138" t="s">
        <v>15780</v>
      </c>
      <c r="AE138" t="s">
        <v>13051</v>
      </c>
      <c r="AF138" t="s">
        <v>2902</v>
      </c>
      <c r="AH138">
        <v>1</v>
      </c>
      <c r="AI138">
        <v>3</v>
      </c>
      <c r="AJ138">
        <v>1</v>
      </c>
      <c r="AK138">
        <v>220.77</v>
      </c>
      <c r="AN138" t="s">
        <v>2935</v>
      </c>
      <c r="AO138">
        <v>56848</v>
      </c>
      <c r="AU138">
        <v>9</v>
      </c>
      <c r="AV138" t="s">
        <v>193</v>
      </c>
      <c r="AW138" t="s">
        <v>3059</v>
      </c>
    </row>
    <row r="139" spans="1:50">
      <c r="A139" s="1" t="s">
        <v>79</v>
      </c>
      <c r="B139" t="s">
        <v>163</v>
      </c>
      <c r="C139" t="s">
        <v>3349</v>
      </c>
      <c r="D139" t="s">
        <v>225</v>
      </c>
      <c r="F139" t="s">
        <v>6846</v>
      </c>
      <c r="G139" t="s">
        <v>7932</v>
      </c>
      <c r="H139" t="s">
        <v>9438</v>
      </c>
      <c r="J139" t="s">
        <v>1644</v>
      </c>
      <c r="K139">
        <v>11208</v>
      </c>
      <c r="L139" t="s">
        <v>1670</v>
      </c>
      <c r="M139" t="s">
        <v>1670</v>
      </c>
      <c r="O139" t="s">
        <v>1940</v>
      </c>
      <c r="P139" t="s">
        <v>1960</v>
      </c>
      <c r="R139" t="s">
        <v>50</v>
      </c>
      <c r="S139" t="s">
        <v>1670</v>
      </c>
      <c r="U139" t="s">
        <v>1972</v>
      </c>
      <c r="W139" t="s">
        <v>166</v>
      </c>
      <c r="X139" t="s">
        <v>13051</v>
      </c>
      <c r="Y139" t="s">
        <v>2009</v>
      </c>
      <c r="AB139" t="s">
        <v>13155</v>
      </c>
      <c r="AD139" t="s">
        <v>15768</v>
      </c>
      <c r="AE139">
        <v>9</v>
      </c>
      <c r="AH139" t="s">
        <v>13051</v>
      </c>
      <c r="AI139">
        <v>2</v>
      </c>
      <c r="AJ139">
        <v>0</v>
      </c>
      <c r="AK139">
        <v>221.14</v>
      </c>
      <c r="AL139" t="s">
        <v>166</v>
      </c>
      <c r="AM139" t="s">
        <v>18031</v>
      </c>
      <c r="AN139" t="s">
        <v>2926</v>
      </c>
      <c r="AO139">
        <v>36400</v>
      </c>
      <c r="AP139" t="s">
        <v>18081</v>
      </c>
      <c r="AU139">
        <v>5.3</v>
      </c>
      <c r="AV139" t="s">
        <v>343</v>
      </c>
      <c r="AW139" t="s">
        <v>79</v>
      </c>
    </row>
    <row r="140" spans="1:50">
      <c r="A140" s="1" t="s">
        <v>66</v>
      </c>
      <c r="B140" t="s">
        <v>163</v>
      </c>
      <c r="C140" t="s">
        <v>3350</v>
      </c>
      <c r="D140" t="s">
        <v>217</v>
      </c>
      <c r="F140" t="s">
        <v>6858</v>
      </c>
      <c r="G140" t="s">
        <v>7944</v>
      </c>
      <c r="H140" t="s">
        <v>9449</v>
      </c>
      <c r="I140">
        <v>3</v>
      </c>
      <c r="J140" t="s">
        <v>1644</v>
      </c>
      <c r="K140">
        <v>11208</v>
      </c>
      <c r="L140" t="s">
        <v>1670</v>
      </c>
      <c r="M140" t="s">
        <v>1671</v>
      </c>
      <c r="N140" t="s">
        <v>11867</v>
      </c>
      <c r="O140" t="s">
        <v>1940</v>
      </c>
      <c r="P140" t="s">
        <v>1960</v>
      </c>
      <c r="R140" t="s">
        <v>50</v>
      </c>
      <c r="S140" t="s">
        <v>1671</v>
      </c>
      <c r="U140" t="s">
        <v>1972</v>
      </c>
      <c r="V140" t="s">
        <v>1984</v>
      </c>
      <c r="W140" t="s">
        <v>275</v>
      </c>
      <c r="X140">
        <v>900</v>
      </c>
      <c r="Y140" t="s">
        <v>2009</v>
      </c>
      <c r="Z140" t="s">
        <v>2026</v>
      </c>
      <c r="AB140" t="s">
        <v>13170</v>
      </c>
      <c r="AD140" t="s">
        <v>15781</v>
      </c>
      <c r="AE140">
        <v>3</v>
      </c>
      <c r="AF140" t="s">
        <v>2903</v>
      </c>
      <c r="AG140" t="s">
        <v>1754</v>
      </c>
      <c r="AH140" t="s">
        <v>13051</v>
      </c>
      <c r="AI140">
        <v>2</v>
      </c>
      <c r="AJ140">
        <v>1</v>
      </c>
      <c r="AK140">
        <v>221.28</v>
      </c>
      <c r="AN140" t="s">
        <v>2926</v>
      </c>
      <c r="AO140">
        <v>47200</v>
      </c>
      <c r="AU140">
        <v>26.3</v>
      </c>
      <c r="AV140" t="s">
        <v>289</v>
      </c>
      <c r="AW140" t="s">
        <v>3060</v>
      </c>
      <c r="AX140" t="s">
        <v>18685</v>
      </c>
    </row>
    <row r="141" spans="1:50">
      <c r="A141" s="1" t="s">
        <v>82</v>
      </c>
      <c r="B141" t="s">
        <v>163</v>
      </c>
      <c r="C141" t="s">
        <v>3351</v>
      </c>
      <c r="D141" t="s">
        <v>324</v>
      </c>
      <c r="F141" t="s">
        <v>6859</v>
      </c>
      <c r="G141" t="s">
        <v>7945</v>
      </c>
      <c r="H141" t="s">
        <v>1144</v>
      </c>
      <c r="I141" t="s">
        <v>10969</v>
      </c>
      <c r="J141" t="s">
        <v>1644</v>
      </c>
      <c r="K141">
        <v>11233</v>
      </c>
      <c r="L141" t="s">
        <v>1670</v>
      </c>
      <c r="M141" t="s">
        <v>1671</v>
      </c>
      <c r="O141" t="s">
        <v>1937</v>
      </c>
      <c r="P141" t="s">
        <v>1962</v>
      </c>
      <c r="R141" t="s">
        <v>50</v>
      </c>
      <c r="S141" t="s">
        <v>1670</v>
      </c>
      <c r="U141" t="s">
        <v>1972</v>
      </c>
      <c r="V141" t="s">
        <v>1984</v>
      </c>
      <c r="W141" t="s">
        <v>221</v>
      </c>
      <c r="X141">
        <v>1031.53</v>
      </c>
      <c r="Y141" t="s">
        <v>2009</v>
      </c>
      <c r="AB141" t="s">
        <v>13171</v>
      </c>
      <c r="AE141">
        <v>359</v>
      </c>
      <c r="AF141" t="s">
        <v>2902</v>
      </c>
      <c r="AG141" t="s">
        <v>1754</v>
      </c>
      <c r="AH141">
        <v>21</v>
      </c>
      <c r="AI141">
        <v>2</v>
      </c>
      <c r="AJ141">
        <v>3</v>
      </c>
      <c r="AK141">
        <v>222.07</v>
      </c>
      <c r="AN141" t="s">
        <v>2926</v>
      </c>
      <c r="AO141">
        <v>67000</v>
      </c>
      <c r="AP141" t="s">
        <v>18082</v>
      </c>
      <c r="AU141" t="s">
        <v>13051</v>
      </c>
      <c r="AW141" t="s">
        <v>3060</v>
      </c>
    </row>
    <row r="142" spans="1:50">
      <c r="A142" s="1" t="s">
        <v>82</v>
      </c>
      <c r="B142" t="s">
        <v>163</v>
      </c>
      <c r="C142" t="s">
        <v>3352</v>
      </c>
      <c r="D142" t="s">
        <v>210</v>
      </c>
      <c r="F142" t="s">
        <v>6859</v>
      </c>
      <c r="G142" t="s">
        <v>7945</v>
      </c>
      <c r="H142" t="s">
        <v>1144</v>
      </c>
      <c r="I142" t="s">
        <v>10969</v>
      </c>
      <c r="J142" t="s">
        <v>1644</v>
      </c>
      <c r="K142">
        <v>11233</v>
      </c>
      <c r="L142" t="s">
        <v>1670</v>
      </c>
      <c r="M142" t="s">
        <v>1671</v>
      </c>
      <c r="O142" t="s">
        <v>1938</v>
      </c>
      <c r="P142" t="s">
        <v>1961</v>
      </c>
      <c r="R142" t="s">
        <v>50</v>
      </c>
      <c r="S142" t="s">
        <v>1670</v>
      </c>
      <c r="U142" t="s">
        <v>1972</v>
      </c>
      <c r="V142" t="s">
        <v>1984</v>
      </c>
      <c r="W142" t="s">
        <v>248</v>
      </c>
      <c r="X142">
        <v>1031.53</v>
      </c>
      <c r="Y142" t="s">
        <v>2009</v>
      </c>
      <c r="Z142" t="s">
        <v>2017</v>
      </c>
      <c r="AB142" t="s">
        <v>13171</v>
      </c>
      <c r="AE142">
        <v>359</v>
      </c>
      <c r="AF142" t="s">
        <v>2902</v>
      </c>
      <c r="AG142" t="s">
        <v>1754</v>
      </c>
      <c r="AH142">
        <v>21</v>
      </c>
      <c r="AI142">
        <v>2</v>
      </c>
      <c r="AJ142">
        <v>3</v>
      </c>
      <c r="AK142">
        <v>222.07</v>
      </c>
      <c r="AN142" t="s">
        <v>2926</v>
      </c>
      <c r="AO142">
        <v>67000</v>
      </c>
      <c r="AP142" t="s">
        <v>18071</v>
      </c>
      <c r="AU142" t="s">
        <v>13051</v>
      </c>
      <c r="AW142" t="s">
        <v>3059</v>
      </c>
    </row>
    <row r="143" spans="1:50">
      <c r="A143" s="1" t="s">
        <v>116</v>
      </c>
      <c r="B143" t="s">
        <v>164</v>
      </c>
      <c r="C143" t="s">
        <v>3353</v>
      </c>
      <c r="D143" t="s">
        <v>318</v>
      </c>
      <c r="E143" t="s">
        <v>249</v>
      </c>
      <c r="F143" t="s">
        <v>6860</v>
      </c>
      <c r="G143" t="s">
        <v>7946</v>
      </c>
      <c r="H143" t="s">
        <v>9450</v>
      </c>
      <c r="I143">
        <v>606</v>
      </c>
      <c r="J143" t="s">
        <v>1643</v>
      </c>
      <c r="K143">
        <v>10029</v>
      </c>
      <c r="L143" t="s">
        <v>1670</v>
      </c>
      <c r="M143" t="s">
        <v>1670</v>
      </c>
      <c r="N143" t="s">
        <v>11868</v>
      </c>
      <c r="O143" t="s">
        <v>1936</v>
      </c>
      <c r="P143" t="s">
        <v>1960</v>
      </c>
      <c r="Q143" t="s">
        <v>1969</v>
      </c>
      <c r="R143" t="s">
        <v>50</v>
      </c>
      <c r="S143" t="s">
        <v>1671</v>
      </c>
      <c r="U143" t="s">
        <v>1972</v>
      </c>
      <c r="V143" t="s">
        <v>1987</v>
      </c>
      <c r="W143" t="s">
        <v>372</v>
      </c>
      <c r="X143">
        <v>554</v>
      </c>
      <c r="Y143" t="s">
        <v>2008</v>
      </c>
      <c r="Z143" t="s">
        <v>2021</v>
      </c>
      <c r="AA143" t="s">
        <v>2032</v>
      </c>
      <c r="AB143" t="s">
        <v>13172</v>
      </c>
      <c r="AD143" t="s">
        <v>15782</v>
      </c>
      <c r="AE143">
        <v>108</v>
      </c>
      <c r="AF143" t="s">
        <v>2909</v>
      </c>
      <c r="AG143" t="s">
        <v>2915</v>
      </c>
      <c r="AH143">
        <v>23</v>
      </c>
      <c r="AI143">
        <v>1</v>
      </c>
      <c r="AJ143">
        <v>0</v>
      </c>
      <c r="AK143">
        <v>222.73</v>
      </c>
      <c r="AL143" t="s">
        <v>172</v>
      </c>
      <c r="AM143" t="s">
        <v>18031</v>
      </c>
      <c r="AN143" t="s">
        <v>2927</v>
      </c>
      <c r="AO143">
        <v>27040</v>
      </c>
      <c r="AR143" t="s">
        <v>18448</v>
      </c>
      <c r="AS143" t="s">
        <v>2992</v>
      </c>
      <c r="AT143" t="s">
        <v>18498</v>
      </c>
      <c r="AU143">
        <v>8.25</v>
      </c>
      <c r="AV143" t="s">
        <v>253</v>
      </c>
      <c r="AW143" t="s">
        <v>3051</v>
      </c>
      <c r="AX143" t="s">
        <v>18685</v>
      </c>
    </row>
    <row r="144" spans="1:50">
      <c r="A144" s="1" t="s">
        <v>57</v>
      </c>
      <c r="B144" t="s">
        <v>163</v>
      </c>
      <c r="C144" t="s">
        <v>3354</v>
      </c>
      <c r="D144" t="s">
        <v>253</v>
      </c>
      <c r="F144" t="s">
        <v>6861</v>
      </c>
      <c r="G144" t="s">
        <v>7947</v>
      </c>
      <c r="H144" t="s">
        <v>1112</v>
      </c>
      <c r="I144" t="s">
        <v>1478</v>
      </c>
      <c r="J144" t="s">
        <v>1641</v>
      </c>
      <c r="K144">
        <v>10453</v>
      </c>
      <c r="L144" t="s">
        <v>1670</v>
      </c>
      <c r="M144" t="s">
        <v>1670</v>
      </c>
      <c r="O144" t="s">
        <v>1938</v>
      </c>
      <c r="P144" t="s">
        <v>1961</v>
      </c>
      <c r="R144" t="s">
        <v>50</v>
      </c>
      <c r="S144" t="s">
        <v>1670</v>
      </c>
      <c r="U144" t="s">
        <v>1972</v>
      </c>
      <c r="W144" t="s">
        <v>392</v>
      </c>
      <c r="X144">
        <v>1317</v>
      </c>
      <c r="Y144" t="s">
        <v>2006</v>
      </c>
      <c r="Z144" t="s">
        <v>2015</v>
      </c>
      <c r="AB144" t="s">
        <v>13173</v>
      </c>
      <c r="AE144">
        <v>170</v>
      </c>
      <c r="AF144" t="s">
        <v>2902</v>
      </c>
      <c r="AG144" t="s">
        <v>1754</v>
      </c>
      <c r="AH144">
        <v>3</v>
      </c>
      <c r="AI144">
        <v>2</v>
      </c>
      <c r="AJ144">
        <v>0</v>
      </c>
      <c r="AK144">
        <v>223.54</v>
      </c>
      <c r="AN144" t="s">
        <v>2927</v>
      </c>
      <c r="AO144">
        <v>37800</v>
      </c>
      <c r="AU144" t="s">
        <v>13051</v>
      </c>
      <c r="AW144" t="s">
        <v>3054</v>
      </c>
      <c r="AX144" t="s">
        <v>18685</v>
      </c>
    </row>
    <row r="145" spans="1:50">
      <c r="A145" s="1" t="s">
        <v>57</v>
      </c>
      <c r="B145" t="s">
        <v>163</v>
      </c>
      <c r="C145" t="s">
        <v>3355</v>
      </c>
      <c r="D145" t="s">
        <v>253</v>
      </c>
      <c r="F145" t="s">
        <v>6861</v>
      </c>
      <c r="G145" t="s">
        <v>7947</v>
      </c>
      <c r="H145" t="s">
        <v>1112</v>
      </c>
      <c r="I145" t="s">
        <v>1478</v>
      </c>
      <c r="J145" t="s">
        <v>1641</v>
      </c>
      <c r="K145">
        <v>10453</v>
      </c>
      <c r="L145" t="s">
        <v>1670</v>
      </c>
      <c r="M145" t="s">
        <v>1670</v>
      </c>
      <c r="N145" t="s">
        <v>1677</v>
      </c>
      <c r="O145" t="s">
        <v>1939</v>
      </c>
      <c r="P145" t="s">
        <v>1960</v>
      </c>
      <c r="R145" t="s">
        <v>50</v>
      </c>
      <c r="S145" t="s">
        <v>1670</v>
      </c>
      <c r="U145" t="s">
        <v>1972</v>
      </c>
      <c r="W145" t="s">
        <v>392</v>
      </c>
      <c r="X145">
        <v>1317</v>
      </c>
      <c r="Y145" t="s">
        <v>2006</v>
      </c>
      <c r="Z145" t="s">
        <v>2015</v>
      </c>
      <c r="AB145" t="s">
        <v>13173</v>
      </c>
      <c r="AE145">
        <v>170</v>
      </c>
      <c r="AF145" t="s">
        <v>2902</v>
      </c>
      <c r="AG145" t="s">
        <v>1754</v>
      </c>
      <c r="AH145">
        <v>3</v>
      </c>
      <c r="AI145">
        <v>2</v>
      </c>
      <c r="AJ145">
        <v>0</v>
      </c>
      <c r="AK145">
        <v>223.54</v>
      </c>
      <c r="AN145" t="s">
        <v>2927</v>
      </c>
      <c r="AO145">
        <v>37800</v>
      </c>
      <c r="AU145" t="s">
        <v>13051</v>
      </c>
      <c r="AW145" t="s">
        <v>3054</v>
      </c>
      <c r="AX145" t="s">
        <v>18685</v>
      </c>
    </row>
    <row r="146" spans="1:50">
      <c r="A146" s="1" t="s">
        <v>62</v>
      </c>
      <c r="B146" t="s">
        <v>163</v>
      </c>
      <c r="C146" t="s">
        <v>3356</v>
      </c>
      <c r="D146" t="s">
        <v>6135</v>
      </c>
      <c r="F146" t="s">
        <v>6862</v>
      </c>
      <c r="G146" t="s">
        <v>7616</v>
      </c>
      <c r="H146" t="s">
        <v>9451</v>
      </c>
      <c r="I146" t="s">
        <v>10970</v>
      </c>
      <c r="J146" t="s">
        <v>1644</v>
      </c>
      <c r="K146">
        <v>11225</v>
      </c>
      <c r="L146" t="s">
        <v>1671</v>
      </c>
      <c r="M146" t="s">
        <v>1672</v>
      </c>
      <c r="N146" t="s">
        <v>11869</v>
      </c>
      <c r="O146" t="s">
        <v>1939</v>
      </c>
      <c r="P146" t="s">
        <v>1960</v>
      </c>
      <c r="R146" t="s">
        <v>50</v>
      </c>
      <c r="S146" t="s">
        <v>1670</v>
      </c>
      <c r="T146" t="s">
        <v>13026</v>
      </c>
      <c r="U146" t="s">
        <v>1972</v>
      </c>
      <c r="W146" t="s">
        <v>311</v>
      </c>
      <c r="X146">
        <v>1044.76</v>
      </c>
      <c r="Y146" t="s">
        <v>2009</v>
      </c>
      <c r="Z146" t="s">
        <v>2015</v>
      </c>
      <c r="AB146" t="s">
        <v>13174</v>
      </c>
      <c r="AE146">
        <v>42</v>
      </c>
      <c r="AF146" t="s">
        <v>2902</v>
      </c>
      <c r="AH146">
        <v>19</v>
      </c>
      <c r="AI146">
        <v>2</v>
      </c>
      <c r="AJ146">
        <v>0</v>
      </c>
      <c r="AK146">
        <v>224.14</v>
      </c>
      <c r="AN146" t="s">
        <v>2926</v>
      </c>
      <c r="AO146">
        <v>36400</v>
      </c>
      <c r="AU146">
        <v>16</v>
      </c>
      <c r="AV146" t="s">
        <v>3030</v>
      </c>
      <c r="AW146" t="s">
        <v>3079</v>
      </c>
    </row>
    <row r="147" spans="1:50">
      <c r="A147" s="1" t="s">
        <v>94</v>
      </c>
      <c r="B147" t="s">
        <v>164</v>
      </c>
      <c r="C147" t="s">
        <v>3357</v>
      </c>
      <c r="D147" t="s">
        <v>306</v>
      </c>
      <c r="E147" t="s">
        <v>359</v>
      </c>
      <c r="F147" t="s">
        <v>6863</v>
      </c>
      <c r="G147" t="s">
        <v>7948</v>
      </c>
      <c r="H147" t="s">
        <v>9452</v>
      </c>
      <c r="I147" t="s">
        <v>1517</v>
      </c>
      <c r="J147" t="s">
        <v>1643</v>
      </c>
      <c r="K147">
        <v>10040</v>
      </c>
      <c r="L147" t="s">
        <v>1670</v>
      </c>
      <c r="M147" t="s">
        <v>1670</v>
      </c>
      <c r="P147" t="s">
        <v>1958</v>
      </c>
      <c r="Q147" t="s">
        <v>1965</v>
      </c>
      <c r="R147" t="s">
        <v>50</v>
      </c>
      <c r="S147" t="s">
        <v>1671</v>
      </c>
      <c r="U147" t="s">
        <v>1972</v>
      </c>
      <c r="W147" t="s">
        <v>306</v>
      </c>
      <c r="X147">
        <v>1200.06</v>
      </c>
      <c r="Y147" t="s">
        <v>2008</v>
      </c>
      <c r="Z147" t="s">
        <v>2013</v>
      </c>
      <c r="AA147" t="s">
        <v>2029</v>
      </c>
      <c r="AB147" t="s">
        <v>13175</v>
      </c>
      <c r="AE147" t="s">
        <v>13051</v>
      </c>
      <c r="AF147" t="s">
        <v>2902</v>
      </c>
      <c r="AG147" t="s">
        <v>1754</v>
      </c>
      <c r="AH147">
        <v>20</v>
      </c>
      <c r="AI147">
        <v>1</v>
      </c>
      <c r="AJ147">
        <v>1</v>
      </c>
      <c r="AK147">
        <v>224.14</v>
      </c>
      <c r="AN147" t="s">
        <v>18036</v>
      </c>
      <c r="AO147">
        <v>36894</v>
      </c>
      <c r="AU147">
        <v>1.5</v>
      </c>
      <c r="AV147" t="s">
        <v>306</v>
      </c>
      <c r="AW147" t="s">
        <v>3042</v>
      </c>
    </row>
    <row r="148" spans="1:50">
      <c r="A148" s="1" t="s">
        <v>57</v>
      </c>
      <c r="B148" t="s">
        <v>164</v>
      </c>
      <c r="C148" t="s">
        <v>3358</v>
      </c>
      <c r="D148" t="s">
        <v>1999</v>
      </c>
      <c r="E148" t="s">
        <v>3031</v>
      </c>
      <c r="F148" t="s">
        <v>724</v>
      </c>
      <c r="G148" t="s">
        <v>914</v>
      </c>
      <c r="H148" t="s">
        <v>9453</v>
      </c>
      <c r="I148" t="s">
        <v>1569</v>
      </c>
      <c r="J148" t="s">
        <v>1641</v>
      </c>
      <c r="K148">
        <v>10453</v>
      </c>
      <c r="L148" t="s">
        <v>1670</v>
      </c>
      <c r="M148" t="s">
        <v>1672</v>
      </c>
      <c r="N148" t="s">
        <v>11870</v>
      </c>
      <c r="O148" t="s">
        <v>1940</v>
      </c>
      <c r="P148" t="s">
        <v>1958</v>
      </c>
      <c r="Q148" t="s">
        <v>1965</v>
      </c>
      <c r="R148" t="s">
        <v>50</v>
      </c>
      <c r="S148" t="s">
        <v>1671</v>
      </c>
      <c r="U148" t="s">
        <v>1972</v>
      </c>
      <c r="V148" t="s">
        <v>1984</v>
      </c>
      <c r="W148" t="s">
        <v>400</v>
      </c>
      <c r="X148">
        <v>835</v>
      </c>
      <c r="Y148" t="s">
        <v>2006</v>
      </c>
      <c r="Z148" t="s">
        <v>2015</v>
      </c>
      <c r="AA148" t="s">
        <v>2029</v>
      </c>
      <c r="AB148" t="s">
        <v>13176</v>
      </c>
      <c r="AD148" t="s">
        <v>15783</v>
      </c>
      <c r="AE148">
        <v>42</v>
      </c>
      <c r="AF148" t="s">
        <v>2904</v>
      </c>
      <c r="AG148" t="s">
        <v>1754</v>
      </c>
      <c r="AH148">
        <v>2</v>
      </c>
      <c r="AI148">
        <v>1</v>
      </c>
      <c r="AJ148">
        <v>0</v>
      </c>
      <c r="AK148">
        <v>224.18</v>
      </c>
      <c r="AN148" t="s">
        <v>2926</v>
      </c>
      <c r="AO148">
        <v>28000</v>
      </c>
      <c r="AU148">
        <v>0.6</v>
      </c>
      <c r="AV148" t="s">
        <v>3031</v>
      </c>
      <c r="AW148" t="s">
        <v>3046</v>
      </c>
      <c r="AX148" t="s">
        <v>18685</v>
      </c>
    </row>
    <row r="149" spans="1:50">
      <c r="A149" s="1" t="s">
        <v>82</v>
      </c>
      <c r="B149" t="s">
        <v>163</v>
      </c>
      <c r="C149" t="s">
        <v>3359</v>
      </c>
      <c r="D149" t="s">
        <v>294</v>
      </c>
      <c r="F149" t="s">
        <v>6864</v>
      </c>
      <c r="G149" t="s">
        <v>7949</v>
      </c>
      <c r="H149" t="s">
        <v>9420</v>
      </c>
      <c r="I149" t="s">
        <v>10971</v>
      </c>
      <c r="J149" t="s">
        <v>1644</v>
      </c>
      <c r="K149">
        <v>11233</v>
      </c>
      <c r="L149" t="s">
        <v>1670</v>
      </c>
      <c r="M149" t="s">
        <v>1670</v>
      </c>
      <c r="O149" t="s">
        <v>1937</v>
      </c>
      <c r="P149" t="s">
        <v>1962</v>
      </c>
      <c r="R149" t="s">
        <v>50</v>
      </c>
      <c r="S149" t="s">
        <v>1670</v>
      </c>
      <c r="U149" t="s">
        <v>1972</v>
      </c>
      <c r="V149" t="s">
        <v>1984</v>
      </c>
      <c r="W149" t="s">
        <v>221</v>
      </c>
      <c r="X149">
        <v>1094</v>
      </c>
      <c r="Y149" t="s">
        <v>2009</v>
      </c>
      <c r="Z149" t="s">
        <v>2016</v>
      </c>
      <c r="AB149" t="s">
        <v>13177</v>
      </c>
      <c r="AE149">
        <v>764</v>
      </c>
      <c r="AF149" t="s">
        <v>2902</v>
      </c>
      <c r="AG149" t="s">
        <v>1754</v>
      </c>
      <c r="AH149">
        <v>40</v>
      </c>
      <c r="AI149">
        <v>1</v>
      </c>
      <c r="AJ149">
        <v>0</v>
      </c>
      <c r="AK149">
        <v>224.18</v>
      </c>
      <c r="AL149" t="s">
        <v>365</v>
      </c>
      <c r="AM149" t="s">
        <v>18031</v>
      </c>
      <c r="AN149" t="s">
        <v>2926</v>
      </c>
      <c r="AO149">
        <v>28000</v>
      </c>
      <c r="AP149" t="s">
        <v>18083</v>
      </c>
      <c r="AU149" t="s">
        <v>13051</v>
      </c>
      <c r="AW149" t="s">
        <v>3059</v>
      </c>
    </row>
    <row r="150" spans="1:50">
      <c r="A150" s="1" t="s">
        <v>133</v>
      </c>
      <c r="B150" t="s">
        <v>163</v>
      </c>
      <c r="C150" t="s">
        <v>3360</v>
      </c>
      <c r="D150" t="s">
        <v>357</v>
      </c>
      <c r="F150" t="s">
        <v>6865</v>
      </c>
      <c r="G150" t="s">
        <v>1016</v>
      </c>
      <c r="H150" t="s">
        <v>9454</v>
      </c>
      <c r="I150" t="s">
        <v>1570</v>
      </c>
      <c r="J150" t="s">
        <v>1644</v>
      </c>
      <c r="K150">
        <v>11213</v>
      </c>
      <c r="L150" t="s">
        <v>1670</v>
      </c>
      <c r="M150" t="s">
        <v>1672</v>
      </c>
      <c r="O150" t="s">
        <v>1675</v>
      </c>
      <c r="P150" t="s">
        <v>1959</v>
      </c>
      <c r="R150" t="s">
        <v>50</v>
      </c>
      <c r="S150" t="s">
        <v>1670</v>
      </c>
      <c r="U150" t="s">
        <v>1972</v>
      </c>
      <c r="V150" t="s">
        <v>1984</v>
      </c>
      <c r="W150" t="s">
        <v>213</v>
      </c>
      <c r="X150">
        <v>652.36</v>
      </c>
      <c r="Y150" t="s">
        <v>2009</v>
      </c>
      <c r="AB150" t="s">
        <v>13178</v>
      </c>
      <c r="AD150" t="s">
        <v>15784</v>
      </c>
      <c r="AE150">
        <v>6</v>
      </c>
      <c r="AF150" t="s">
        <v>2902</v>
      </c>
      <c r="AG150" t="s">
        <v>1754</v>
      </c>
      <c r="AH150">
        <v>45</v>
      </c>
      <c r="AI150">
        <v>2</v>
      </c>
      <c r="AJ150">
        <v>0</v>
      </c>
      <c r="AK150">
        <v>224.33</v>
      </c>
      <c r="AN150" t="s">
        <v>2926</v>
      </c>
      <c r="AO150">
        <v>37934.16</v>
      </c>
      <c r="AP150" t="s">
        <v>18084</v>
      </c>
      <c r="AU150" t="s">
        <v>13051</v>
      </c>
      <c r="AW150" t="s">
        <v>3060</v>
      </c>
      <c r="AX150" t="s">
        <v>18685</v>
      </c>
    </row>
    <row r="151" spans="1:50">
      <c r="A151" s="1" t="s">
        <v>115</v>
      </c>
      <c r="B151" t="s">
        <v>164</v>
      </c>
      <c r="C151" t="s">
        <v>3361</v>
      </c>
      <c r="D151" t="s">
        <v>225</v>
      </c>
      <c r="E151" t="s">
        <v>359</v>
      </c>
      <c r="F151" t="s">
        <v>6866</v>
      </c>
      <c r="G151" t="s">
        <v>780</v>
      </c>
      <c r="H151" t="s">
        <v>1168</v>
      </c>
      <c r="I151" t="s">
        <v>1507</v>
      </c>
      <c r="J151" t="s">
        <v>1641</v>
      </c>
      <c r="K151">
        <v>10468</v>
      </c>
      <c r="L151" t="s">
        <v>1670</v>
      </c>
      <c r="M151" t="s">
        <v>1670</v>
      </c>
      <c r="O151" t="s">
        <v>1939</v>
      </c>
      <c r="P151" t="s">
        <v>1958</v>
      </c>
      <c r="Q151" t="s">
        <v>1965</v>
      </c>
      <c r="R151" t="s">
        <v>50</v>
      </c>
      <c r="S151" t="s">
        <v>1670</v>
      </c>
      <c r="U151" t="s">
        <v>1972</v>
      </c>
      <c r="W151" t="s">
        <v>359</v>
      </c>
      <c r="X151">
        <v>2213</v>
      </c>
      <c r="Y151" t="s">
        <v>2006</v>
      </c>
      <c r="Z151" t="s">
        <v>2015</v>
      </c>
      <c r="AA151" t="s">
        <v>2029</v>
      </c>
      <c r="AB151" t="s">
        <v>13179</v>
      </c>
      <c r="AE151">
        <v>58</v>
      </c>
      <c r="AF151" t="s">
        <v>2902</v>
      </c>
      <c r="AG151" t="s">
        <v>1754</v>
      </c>
      <c r="AH151">
        <v>1</v>
      </c>
      <c r="AI151">
        <v>2</v>
      </c>
      <c r="AJ151">
        <v>1</v>
      </c>
      <c r="AK151">
        <v>224.52</v>
      </c>
      <c r="AN151" t="s">
        <v>2927</v>
      </c>
      <c r="AO151">
        <v>46656</v>
      </c>
      <c r="AU151">
        <v>0.2</v>
      </c>
      <c r="AV151" t="s">
        <v>395</v>
      </c>
      <c r="AW151" t="s">
        <v>3046</v>
      </c>
    </row>
    <row r="152" spans="1:50">
      <c r="A152" s="1" t="s">
        <v>57</v>
      </c>
      <c r="B152" t="s">
        <v>163</v>
      </c>
      <c r="C152" t="s">
        <v>3362</v>
      </c>
      <c r="D152" t="s">
        <v>225</v>
      </c>
      <c r="F152" t="s">
        <v>6866</v>
      </c>
      <c r="G152" t="s">
        <v>780</v>
      </c>
      <c r="H152" t="s">
        <v>1168</v>
      </c>
      <c r="I152" t="s">
        <v>1507</v>
      </c>
      <c r="J152" t="s">
        <v>1641</v>
      </c>
      <c r="K152">
        <v>10468</v>
      </c>
      <c r="L152" t="s">
        <v>1670</v>
      </c>
      <c r="M152" t="s">
        <v>1670</v>
      </c>
      <c r="O152" t="s">
        <v>1938</v>
      </c>
      <c r="P152" t="s">
        <v>1959</v>
      </c>
      <c r="R152" t="s">
        <v>50</v>
      </c>
      <c r="S152" t="s">
        <v>1670</v>
      </c>
      <c r="U152" t="s">
        <v>1972</v>
      </c>
      <c r="W152" t="s">
        <v>359</v>
      </c>
      <c r="X152">
        <v>2213</v>
      </c>
      <c r="Y152" t="s">
        <v>2006</v>
      </c>
      <c r="Z152" t="s">
        <v>2015</v>
      </c>
      <c r="AB152" t="s">
        <v>13179</v>
      </c>
      <c r="AE152">
        <v>58</v>
      </c>
      <c r="AF152" t="s">
        <v>2902</v>
      </c>
      <c r="AG152" t="s">
        <v>1754</v>
      </c>
      <c r="AH152">
        <v>1</v>
      </c>
      <c r="AI152">
        <v>2</v>
      </c>
      <c r="AJ152">
        <v>1</v>
      </c>
      <c r="AK152">
        <v>224.52</v>
      </c>
      <c r="AN152" t="s">
        <v>2927</v>
      </c>
      <c r="AO152">
        <v>46656</v>
      </c>
      <c r="AU152" t="s">
        <v>13051</v>
      </c>
      <c r="AW152" t="s">
        <v>3046</v>
      </c>
    </row>
    <row r="153" spans="1:50">
      <c r="A153" s="1" t="s">
        <v>91</v>
      </c>
      <c r="B153" t="s">
        <v>163</v>
      </c>
      <c r="C153" t="s">
        <v>3363</v>
      </c>
      <c r="D153" t="s">
        <v>213</v>
      </c>
      <c r="F153" t="s">
        <v>6867</v>
      </c>
      <c r="G153" t="s">
        <v>1031</v>
      </c>
      <c r="H153" t="s">
        <v>9455</v>
      </c>
      <c r="I153">
        <v>54</v>
      </c>
      <c r="J153" t="s">
        <v>1643</v>
      </c>
      <c r="K153">
        <v>10034</v>
      </c>
      <c r="L153" t="s">
        <v>1670</v>
      </c>
      <c r="M153" t="s">
        <v>1670</v>
      </c>
      <c r="O153" t="s">
        <v>1941</v>
      </c>
      <c r="P153" t="s">
        <v>1962</v>
      </c>
      <c r="R153" t="s">
        <v>50</v>
      </c>
      <c r="S153" t="s">
        <v>1671</v>
      </c>
      <c r="U153" t="s">
        <v>1972</v>
      </c>
      <c r="W153" t="s">
        <v>213</v>
      </c>
      <c r="X153">
        <v>1785</v>
      </c>
      <c r="Y153" t="s">
        <v>2008</v>
      </c>
      <c r="Z153" t="s">
        <v>2013</v>
      </c>
      <c r="AB153" t="s">
        <v>13180</v>
      </c>
      <c r="AD153" t="s">
        <v>15785</v>
      </c>
      <c r="AE153">
        <v>42</v>
      </c>
      <c r="AF153" t="s">
        <v>2902</v>
      </c>
      <c r="AG153" t="s">
        <v>2017</v>
      </c>
      <c r="AH153">
        <v>3</v>
      </c>
      <c r="AI153">
        <v>2</v>
      </c>
      <c r="AJ153">
        <v>0</v>
      </c>
      <c r="AK153">
        <v>224.72</v>
      </c>
      <c r="AN153" t="s">
        <v>2926</v>
      </c>
      <c r="AO153">
        <v>38000</v>
      </c>
      <c r="AU153">
        <v>1.8</v>
      </c>
      <c r="AV153" t="s">
        <v>389</v>
      </c>
      <c r="AW153" t="s">
        <v>3042</v>
      </c>
    </row>
    <row r="154" spans="1:50">
      <c r="A154" s="1" t="s">
        <v>101</v>
      </c>
      <c r="B154" t="s">
        <v>163</v>
      </c>
      <c r="C154" t="s">
        <v>3364</v>
      </c>
      <c r="D154" t="s">
        <v>219</v>
      </c>
      <c r="F154" t="s">
        <v>6868</v>
      </c>
      <c r="G154" t="s">
        <v>7950</v>
      </c>
      <c r="H154" t="s">
        <v>1173</v>
      </c>
      <c r="I154" t="s">
        <v>10972</v>
      </c>
      <c r="J154" t="s">
        <v>1643</v>
      </c>
      <c r="K154">
        <v>10035</v>
      </c>
      <c r="L154" t="s">
        <v>1670</v>
      </c>
      <c r="M154" t="s">
        <v>1670</v>
      </c>
      <c r="O154" t="s">
        <v>1675</v>
      </c>
      <c r="P154" t="s">
        <v>1962</v>
      </c>
      <c r="R154" t="s">
        <v>50</v>
      </c>
      <c r="S154" t="s">
        <v>1670</v>
      </c>
      <c r="U154" t="s">
        <v>1972</v>
      </c>
      <c r="V154" t="s">
        <v>1984</v>
      </c>
      <c r="W154" t="s">
        <v>186</v>
      </c>
      <c r="X154">
        <v>900</v>
      </c>
      <c r="Y154" t="s">
        <v>2008</v>
      </c>
      <c r="Z154" t="s">
        <v>2016</v>
      </c>
      <c r="AB154" t="s">
        <v>13181</v>
      </c>
      <c r="AE154">
        <v>60</v>
      </c>
      <c r="AF154" t="s">
        <v>2902</v>
      </c>
      <c r="AG154" t="s">
        <v>1754</v>
      </c>
      <c r="AH154">
        <v>15</v>
      </c>
      <c r="AI154">
        <v>1</v>
      </c>
      <c r="AJ154">
        <v>1</v>
      </c>
      <c r="AK154">
        <v>224.72</v>
      </c>
      <c r="AN154" t="s">
        <v>2926</v>
      </c>
      <c r="AO154">
        <v>38000</v>
      </c>
      <c r="AP154" t="s">
        <v>18085</v>
      </c>
      <c r="AU154" t="s">
        <v>13051</v>
      </c>
      <c r="AW154" t="s">
        <v>3051</v>
      </c>
      <c r="AX154" t="s">
        <v>18685</v>
      </c>
    </row>
    <row r="155" spans="1:50">
      <c r="A155" s="1" t="s">
        <v>127</v>
      </c>
      <c r="B155" t="s">
        <v>164</v>
      </c>
      <c r="C155" t="s">
        <v>3365</v>
      </c>
      <c r="D155" t="s">
        <v>220</v>
      </c>
      <c r="E155" t="s">
        <v>249</v>
      </c>
      <c r="F155" t="s">
        <v>546</v>
      </c>
      <c r="G155" t="s">
        <v>906</v>
      </c>
      <c r="H155" t="s">
        <v>1242</v>
      </c>
      <c r="J155" t="s">
        <v>1644</v>
      </c>
      <c r="K155">
        <v>11206</v>
      </c>
      <c r="L155" t="s">
        <v>1670</v>
      </c>
      <c r="M155" t="s">
        <v>1670</v>
      </c>
      <c r="N155" t="s">
        <v>11871</v>
      </c>
      <c r="O155" t="s">
        <v>1936</v>
      </c>
      <c r="P155" t="s">
        <v>1960</v>
      </c>
      <c r="Q155" t="s">
        <v>1965</v>
      </c>
      <c r="R155" t="s">
        <v>50</v>
      </c>
      <c r="S155" t="s">
        <v>1671</v>
      </c>
      <c r="U155" t="s">
        <v>1972</v>
      </c>
      <c r="V155" t="s">
        <v>1984</v>
      </c>
      <c r="W155" t="s">
        <v>220</v>
      </c>
      <c r="X155">
        <v>580</v>
      </c>
      <c r="Y155" t="s">
        <v>2009</v>
      </c>
      <c r="Z155" t="s">
        <v>2020</v>
      </c>
      <c r="AA155" t="s">
        <v>2032</v>
      </c>
      <c r="AB155" t="s">
        <v>2196</v>
      </c>
      <c r="AD155" t="s">
        <v>2623</v>
      </c>
      <c r="AE155">
        <v>8</v>
      </c>
      <c r="AF155" t="s">
        <v>2902</v>
      </c>
      <c r="AH155">
        <v>6</v>
      </c>
      <c r="AI155">
        <v>1</v>
      </c>
      <c r="AJ155">
        <v>1</v>
      </c>
      <c r="AK155">
        <v>224.72</v>
      </c>
      <c r="AL155" t="s">
        <v>390</v>
      </c>
      <c r="AM155" t="s">
        <v>18031</v>
      </c>
      <c r="AN155" t="s">
        <v>2926</v>
      </c>
      <c r="AO155">
        <v>38000</v>
      </c>
      <c r="AU155">
        <v>2.7</v>
      </c>
      <c r="AV155" t="s">
        <v>171</v>
      </c>
      <c r="AW155" t="s">
        <v>127</v>
      </c>
    </row>
    <row r="156" spans="1:50">
      <c r="A156" s="1" t="s">
        <v>64</v>
      </c>
      <c r="B156" t="s">
        <v>163</v>
      </c>
      <c r="C156" t="s">
        <v>3366</v>
      </c>
      <c r="D156" t="s">
        <v>193</v>
      </c>
      <c r="F156" t="s">
        <v>442</v>
      </c>
      <c r="G156" t="s">
        <v>7951</v>
      </c>
      <c r="H156" t="s">
        <v>9456</v>
      </c>
      <c r="I156" t="s">
        <v>1569</v>
      </c>
      <c r="J156" t="s">
        <v>1643</v>
      </c>
      <c r="K156">
        <v>10033</v>
      </c>
      <c r="L156" t="s">
        <v>1670</v>
      </c>
      <c r="M156" t="s">
        <v>1670</v>
      </c>
      <c r="N156" t="s">
        <v>11872</v>
      </c>
      <c r="O156" t="s">
        <v>1940</v>
      </c>
      <c r="P156" t="s">
        <v>1962</v>
      </c>
      <c r="R156" t="s">
        <v>50</v>
      </c>
      <c r="S156" t="s">
        <v>1671</v>
      </c>
      <c r="U156" t="s">
        <v>1972</v>
      </c>
      <c r="W156" t="s">
        <v>193</v>
      </c>
      <c r="X156">
        <v>960</v>
      </c>
      <c r="Y156" t="s">
        <v>2008</v>
      </c>
      <c r="Z156" t="s">
        <v>2013</v>
      </c>
      <c r="AB156" t="s">
        <v>13182</v>
      </c>
      <c r="AD156" t="s">
        <v>15786</v>
      </c>
      <c r="AE156">
        <v>20</v>
      </c>
      <c r="AF156" t="s">
        <v>2902</v>
      </c>
      <c r="AG156" t="s">
        <v>1754</v>
      </c>
      <c r="AH156">
        <v>25</v>
      </c>
      <c r="AI156">
        <v>2</v>
      </c>
      <c r="AJ156">
        <v>1</v>
      </c>
      <c r="AK156">
        <v>225.04</v>
      </c>
      <c r="AN156" t="s">
        <v>2926</v>
      </c>
      <c r="AO156">
        <v>48000</v>
      </c>
      <c r="AU156">
        <v>3.7</v>
      </c>
      <c r="AV156" t="s">
        <v>369</v>
      </c>
      <c r="AW156" t="s">
        <v>3042</v>
      </c>
      <c r="AX156" t="s">
        <v>18685</v>
      </c>
    </row>
    <row r="157" spans="1:50">
      <c r="A157" s="1" t="s">
        <v>58</v>
      </c>
      <c r="B157" t="s">
        <v>163</v>
      </c>
      <c r="C157" t="s">
        <v>3367</v>
      </c>
      <c r="D157" t="s">
        <v>171</v>
      </c>
      <c r="F157" t="s">
        <v>6860</v>
      </c>
      <c r="G157" t="s">
        <v>7464</v>
      </c>
      <c r="H157" t="s">
        <v>1113</v>
      </c>
      <c r="I157" t="s">
        <v>1525</v>
      </c>
      <c r="J157" t="s">
        <v>1641</v>
      </c>
      <c r="K157">
        <v>10452</v>
      </c>
      <c r="L157" t="s">
        <v>1670</v>
      </c>
      <c r="M157" t="s">
        <v>1672</v>
      </c>
      <c r="O157" t="s">
        <v>1938</v>
      </c>
      <c r="P157" t="s">
        <v>1962</v>
      </c>
      <c r="R157" t="s">
        <v>50</v>
      </c>
      <c r="S157" t="s">
        <v>1670</v>
      </c>
      <c r="U157" t="s">
        <v>1972</v>
      </c>
      <c r="W157" t="s">
        <v>293</v>
      </c>
      <c r="X157">
        <v>987</v>
      </c>
      <c r="Y157" t="s">
        <v>2006</v>
      </c>
      <c r="Z157" t="s">
        <v>2015</v>
      </c>
      <c r="AB157" t="s">
        <v>13183</v>
      </c>
      <c r="AD157" t="s">
        <v>15787</v>
      </c>
      <c r="AE157">
        <v>41</v>
      </c>
      <c r="AF157" t="s">
        <v>2904</v>
      </c>
      <c r="AG157" t="s">
        <v>2919</v>
      </c>
      <c r="AH157">
        <v>32</v>
      </c>
      <c r="AI157">
        <v>1</v>
      </c>
      <c r="AJ157">
        <v>0</v>
      </c>
      <c r="AK157">
        <v>225.49</v>
      </c>
      <c r="AN157" t="s">
        <v>2926</v>
      </c>
      <c r="AO157">
        <v>28164</v>
      </c>
      <c r="AU157">
        <v>1</v>
      </c>
      <c r="AV157" t="s">
        <v>361</v>
      </c>
      <c r="AW157" t="s">
        <v>3046</v>
      </c>
      <c r="AX157" t="s">
        <v>18685</v>
      </c>
    </row>
    <row r="158" spans="1:50">
      <c r="A158" s="1" t="s">
        <v>58</v>
      </c>
      <c r="B158" t="s">
        <v>163</v>
      </c>
      <c r="C158" t="s">
        <v>3368</v>
      </c>
      <c r="D158" t="s">
        <v>283</v>
      </c>
      <c r="F158" t="s">
        <v>6860</v>
      </c>
      <c r="G158" t="s">
        <v>7464</v>
      </c>
      <c r="H158" t="s">
        <v>1113</v>
      </c>
      <c r="I158" t="s">
        <v>1525</v>
      </c>
      <c r="J158" t="s">
        <v>1641</v>
      </c>
      <c r="K158">
        <v>10452</v>
      </c>
      <c r="L158" t="s">
        <v>1670</v>
      </c>
      <c r="M158" t="s">
        <v>1670</v>
      </c>
      <c r="O158" t="s">
        <v>1945</v>
      </c>
      <c r="P158" t="s">
        <v>1959</v>
      </c>
      <c r="R158" t="s">
        <v>50</v>
      </c>
      <c r="S158" t="s">
        <v>1671</v>
      </c>
      <c r="U158" t="s">
        <v>1980</v>
      </c>
      <c r="W158" t="s">
        <v>293</v>
      </c>
      <c r="X158">
        <v>987</v>
      </c>
      <c r="Y158" t="s">
        <v>2006</v>
      </c>
      <c r="Z158" t="s">
        <v>2016</v>
      </c>
      <c r="AB158" t="s">
        <v>13183</v>
      </c>
      <c r="AD158" t="s">
        <v>15787</v>
      </c>
      <c r="AE158">
        <v>41</v>
      </c>
      <c r="AF158" t="s">
        <v>2902</v>
      </c>
      <c r="AG158" t="s">
        <v>2919</v>
      </c>
      <c r="AH158">
        <v>32</v>
      </c>
      <c r="AI158">
        <v>1</v>
      </c>
      <c r="AJ158">
        <v>0</v>
      </c>
      <c r="AK158">
        <v>225.49</v>
      </c>
      <c r="AN158" t="s">
        <v>2926</v>
      </c>
      <c r="AO158">
        <v>28164</v>
      </c>
      <c r="AU158">
        <v>4</v>
      </c>
      <c r="AV158" t="s">
        <v>249</v>
      </c>
      <c r="AW158" t="s">
        <v>3046</v>
      </c>
    </row>
    <row r="159" spans="1:50">
      <c r="A159" s="1" t="s">
        <v>65</v>
      </c>
      <c r="B159" t="s">
        <v>163</v>
      </c>
      <c r="C159" t="s">
        <v>3369</v>
      </c>
      <c r="D159" t="s">
        <v>210</v>
      </c>
      <c r="F159" t="s">
        <v>6869</v>
      </c>
      <c r="G159" t="s">
        <v>919</v>
      </c>
      <c r="H159" t="s">
        <v>1335</v>
      </c>
      <c r="I159" t="s">
        <v>1488</v>
      </c>
      <c r="J159" t="s">
        <v>1644</v>
      </c>
      <c r="K159">
        <v>11225</v>
      </c>
      <c r="L159" t="s">
        <v>1670</v>
      </c>
      <c r="M159" t="s">
        <v>1670</v>
      </c>
      <c r="O159" t="s">
        <v>1938</v>
      </c>
      <c r="P159" t="s">
        <v>1961</v>
      </c>
      <c r="R159" t="s">
        <v>50</v>
      </c>
      <c r="S159" t="s">
        <v>1670</v>
      </c>
      <c r="U159" t="s">
        <v>1972</v>
      </c>
      <c r="W159" t="s">
        <v>336</v>
      </c>
      <c r="X159">
        <v>838.9400000000001</v>
      </c>
      <c r="Y159" t="s">
        <v>2009</v>
      </c>
      <c r="AB159" t="s">
        <v>13184</v>
      </c>
      <c r="AE159" t="s">
        <v>13051</v>
      </c>
      <c r="AH159">
        <v>39</v>
      </c>
      <c r="AI159">
        <v>2</v>
      </c>
      <c r="AJ159">
        <v>0</v>
      </c>
      <c r="AK159">
        <v>225.59</v>
      </c>
      <c r="AN159" t="s">
        <v>2926</v>
      </c>
      <c r="AO159">
        <v>38148</v>
      </c>
      <c r="AU159" t="s">
        <v>13051</v>
      </c>
      <c r="AW159" t="s">
        <v>158</v>
      </c>
    </row>
    <row r="160" spans="1:50">
      <c r="A160" s="1" t="s">
        <v>65</v>
      </c>
      <c r="B160" t="s">
        <v>163</v>
      </c>
      <c r="C160" t="s">
        <v>3370</v>
      </c>
      <c r="D160" t="s">
        <v>286</v>
      </c>
      <c r="F160" t="s">
        <v>6869</v>
      </c>
      <c r="G160" t="s">
        <v>919</v>
      </c>
      <c r="H160" t="s">
        <v>1335</v>
      </c>
      <c r="I160" t="s">
        <v>1488</v>
      </c>
      <c r="J160" t="s">
        <v>1644</v>
      </c>
      <c r="K160">
        <v>11225</v>
      </c>
      <c r="L160" t="s">
        <v>1670</v>
      </c>
      <c r="M160" t="s">
        <v>1670</v>
      </c>
      <c r="O160" t="s">
        <v>1938</v>
      </c>
      <c r="P160" t="s">
        <v>1961</v>
      </c>
      <c r="R160" t="s">
        <v>50</v>
      </c>
      <c r="S160" t="s">
        <v>1670</v>
      </c>
      <c r="U160" t="s">
        <v>1972</v>
      </c>
      <c r="W160" t="s">
        <v>2001</v>
      </c>
      <c r="X160">
        <v>1726.17</v>
      </c>
      <c r="Y160" t="s">
        <v>2009</v>
      </c>
      <c r="AB160" t="s">
        <v>13184</v>
      </c>
      <c r="AE160" t="s">
        <v>13051</v>
      </c>
      <c r="AH160">
        <v>14</v>
      </c>
      <c r="AI160">
        <v>2</v>
      </c>
      <c r="AJ160">
        <v>0</v>
      </c>
      <c r="AK160">
        <v>225.59</v>
      </c>
      <c r="AN160" t="s">
        <v>2926</v>
      </c>
      <c r="AO160">
        <v>38148</v>
      </c>
      <c r="AU160" t="s">
        <v>13051</v>
      </c>
      <c r="AW160" t="s">
        <v>158</v>
      </c>
    </row>
    <row r="161" spans="1:50">
      <c r="A161" s="1" t="s">
        <v>65</v>
      </c>
      <c r="B161" t="s">
        <v>163</v>
      </c>
      <c r="C161" t="s">
        <v>3371</v>
      </c>
      <c r="D161" t="s">
        <v>210</v>
      </c>
      <c r="F161" t="s">
        <v>6869</v>
      </c>
      <c r="G161" t="s">
        <v>919</v>
      </c>
      <c r="H161" t="s">
        <v>1335</v>
      </c>
      <c r="I161" t="s">
        <v>1488</v>
      </c>
      <c r="J161" t="s">
        <v>1644</v>
      </c>
      <c r="K161">
        <v>11225</v>
      </c>
      <c r="L161" t="s">
        <v>1670</v>
      </c>
      <c r="M161" t="s">
        <v>1670</v>
      </c>
      <c r="O161" t="s">
        <v>1952</v>
      </c>
      <c r="P161" t="s">
        <v>1960</v>
      </c>
      <c r="R161" t="s">
        <v>50</v>
      </c>
      <c r="U161" t="s">
        <v>1972</v>
      </c>
      <c r="W161" t="s">
        <v>336</v>
      </c>
      <c r="X161">
        <v>838.9400000000001</v>
      </c>
      <c r="Y161" t="s">
        <v>2009</v>
      </c>
      <c r="AB161" t="s">
        <v>2223</v>
      </c>
      <c r="AE161" t="s">
        <v>13051</v>
      </c>
      <c r="AH161">
        <v>39</v>
      </c>
      <c r="AI161">
        <v>2</v>
      </c>
      <c r="AJ161">
        <v>0</v>
      </c>
      <c r="AK161">
        <v>225.59</v>
      </c>
      <c r="AN161" t="s">
        <v>2926</v>
      </c>
      <c r="AO161">
        <v>38148</v>
      </c>
      <c r="AU161" t="s">
        <v>13051</v>
      </c>
      <c r="AW161" t="s">
        <v>158</v>
      </c>
    </row>
    <row r="162" spans="1:50">
      <c r="A162" s="1" t="s">
        <v>57</v>
      </c>
      <c r="B162" t="s">
        <v>163</v>
      </c>
      <c r="C162" t="s">
        <v>3372</v>
      </c>
      <c r="D162" t="s">
        <v>302</v>
      </c>
      <c r="F162" t="s">
        <v>6870</v>
      </c>
      <c r="G162" t="s">
        <v>7952</v>
      </c>
      <c r="H162" t="s">
        <v>1168</v>
      </c>
      <c r="I162" t="s">
        <v>1569</v>
      </c>
      <c r="J162" t="s">
        <v>1641</v>
      </c>
      <c r="K162">
        <v>10468</v>
      </c>
      <c r="L162" t="s">
        <v>1670</v>
      </c>
      <c r="M162" t="s">
        <v>1670</v>
      </c>
      <c r="O162" t="s">
        <v>1939</v>
      </c>
      <c r="P162" t="s">
        <v>1960</v>
      </c>
      <c r="R162" t="s">
        <v>50</v>
      </c>
      <c r="S162" t="s">
        <v>1670</v>
      </c>
      <c r="U162" t="s">
        <v>1972</v>
      </c>
      <c r="W162" t="s">
        <v>1991</v>
      </c>
      <c r="X162">
        <v>782.76</v>
      </c>
      <c r="Y162" t="s">
        <v>2006</v>
      </c>
      <c r="Z162" t="s">
        <v>2015</v>
      </c>
      <c r="AB162" t="s">
        <v>13142</v>
      </c>
      <c r="AD162" t="s">
        <v>15788</v>
      </c>
      <c r="AE162">
        <v>20</v>
      </c>
      <c r="AF162" t="s">
        <v>2902</v>
      </c>
      <c r="AG162" t="s">
        <v>1754</v>
      </c>
      <c r="AH162">
        <v>30</v>
      </c>
      <c r="AI162">
        <v>2</v>
      </c>
      <c r="AJ162">
        <v>0</v>
      </c>
      <c r="AK162">
        <v>226</v>
      </c>
      <c r="AN162" t="s">
        <v>2926</v>
      </c>
      <c r="AO162">
        <v>37200</v>
      </c>
      <c r="AU162" t="s">
        <v>13051</v>
      </c>
      <c r="AW162" t="s">
        <v>3054</v>
      </c>
    </row>
    <row r="163" spans="1:50">
      <c r="A163" s="1" t="s">
        <v>158</v>
      </c>
      <c r="B163" t="s">
        <v>163</v>
      </c>
      <c r="C163" t="s">
        <v>3373</v>
      </c>
      <c r="D163" t="s">
        <v>6136</v>
      </c>
      <c r="F163" t="s">
        <v>6871</v>
      </c>
      <c r="G163" t="s">
        <v>7953</v>
      </c>
      <c r="H163" t="s">
        <v>9383</v>
      </c>
      <c r="I163" t="s">
        <v>10973</v>
      </c>
      <c r="J163" t="s">
        <v>1644</v>
      </c>
      <c r="K163">
        <v>11226</v>
      </c>
      <c r="L163" t="s">
        <v>1670</v>
      </c>
      <c r="M163" t="s">
        <v>1670</v>
      </c>
      <c r="P163" t="s">
        <v>1962</v>
      </c>
      <c r="R163" t="s">
        <v>50</v>
      </c>
      <c r="U163" t="s">
        <v>1972</v>
      </c>
      <c r="W163" t="s">
        <v>180</v>
      </c>
      <c r="X163">
        <v>968</v>
      </c>
      <c r="Y163" t="s">
        <v>2009</v>
      </c>
      <c r="AB163" t="s">
        <v>13185</v>
      </c>
      <c r="AD163" t="s">
        <v>15789</v>
      </c>
      <c r="AE163" t="s">
        <v>13051</v>
      </c>
      <c r="AH163">
        <v>31</v>
      </c>
      <c r="AI163">
        <v>3</v>
      </c>
      <c r="AJ163">
        <v>0</v>
      </c>
      <c r="AK163">
        <v>226.43</v>
      </c>
      <c r="AO163">
        <v>48298</v>
      </c>
      <c r="AU163">
        <v>0.2</v>
      </c>
      <c r="AV163" t="s">
        <v>404</v>
      </c>
      <c r="AW163" t="s">
        <v>158</v>
      </c>
    </row>
    <row r="164" spans="1:50">
      <c r="A164" s="1" t="s">
        <v>54</v>
      </c>
      <c r="B164" t="s">
        <v>163</v>
      </c>
      <c r="C164" t="s">
        <v>3374</v>
      </c>
      <c r="D164" t="s">
        <v>1999</v>
      </c>
      <c r="F164" t="s">
        <v>458</v>
      </c>
      <c r="G164" t="s">
        <v>7954</v>
      </c>
      <c r="H164" t="s">
        <v>9457</v>
      </c>
      <c r="I164" t="s">
        <v>1581</v>
      </c>
      <c r="J164" t="s">
        <v>1643</v>
      </c>
      <c r="K164">
        <v>10040</v>
      </c>
      <c r="L164" t="s">
        <v>1670</v>
      </c>
      <c r="M164" t="s">
        <v>1672</v>
      </c>
      <c r="O164" t="s">
        <v>1936</v>
      </c>
      <c r="P164" t="s">
        <v>1960</v>
      </c>
      <c r="R164" t="s">
        <v>50</v>
      </c>
      <c r="S164" t="s">
        <v>1670</v>
      </c>
      <c r="U164" t="s">
        <v>1972</v>
      </c>
      <c r="W164" t="s">
        <v>1999</v>
      </c>
      <c r="X164">
        <v>1231.45</v>
      </c>
      <c r="Y164" t="s">
        <v>2008</v>
      </c>
      <c r="Z164" t="s">
        <v>2020</v>
      </c>
      <c r="AB164" t="s">
        <v>13186</v>
      </c>
      <c r="AD164" t="s">
        <v>15790</v>
      </c>
      <c r="AE164">
        <v>44</v>
      </c>
      <c r="AF164" t="s">
        <v>2902</v>
      </c>
      <c r="AG164" t="s">
        <v>1754</v>
      </c>
      <c r="AH164">
        <v>13</v>
      </c>
      <c r="AI164">
        <v>2</v>
      </c>
      <c r="AJ164">
        <v>0</v>
      </c>
      <c r="AK164">
        <v>226.64</v>
      </c>
      <c r="AL164" t="s">
        <v>399</v>
      </c>
      <c r="AM164" t="s">
        <v>18031</v>
      </c>
      <c r="AN164" t="s">
        <v>2927</v>
      </c>
      <c r="AO164">
        <v>38324</v>
      </c>
      <c r="AU164">
        <v>15.2</v>
      </c>
      <c r="AV164" t="s">
        <v>325</v>
      </c>
      <c r="AW164" t="s">
        <v>3042</v>
      </c>
      <c r="AX164" t="s">
        <v>18685</v>
      </c>
    </row>
    <row r="165" spans="1:50">
      <c r="A165" s="1" t="s">
        <v>3151</v>
      </c>
      <c r="B165" t="s">
        <v>164</v>
      </c>
      <c r="C165" t="s">
        <v>3375</v>
      </c>
      <c r="D165" t="s">
        <v>329</v>
      </c>
      <c r="E165" t="s">
        <v>359</v>
      </c>
      <c r="F165" t="s">
        <v>6872</v>
      </c>
      <c r="G165" t="s">
        <v>7955</v>
      </c>
      <c r="H165" t="s">
        <v>9458</v>
      </c>
      <c r="I165" t="s">
        <v>1501</v>
      </c>
      <c r="J165" t="s">
        <v>1644</v>
      </c>
      <c r="K165">
        <v>11212</v>
      </c>
      <c r="L165" t="s">
        <v>1670</v>
      </c>
      <c r="M165" t="s">
        <v>1670</v>
      </c>
      <c r="N165" t="s">
        <v>11873</v>
      </c>
      <c r="O165" t="s">
        <v>1940</v>
      </c>
      <c r="P165" t="s">
        <v>1958</v>
      </c>
      <c r="Q165" t="s">
        <v>1965</v>
      </c>
      <c r="R165" t="s">
        <v>50</v>
      </c>
      <c r="S165" t="s">
        <v>1671</v>
      </c>
      <c r="U165" t="s">
        <v>1972</v>
      </c>
      <c r="V165" t="s">
        <v>1984</v>
      </c>
      <c r="W165" t="s">
        <v>359</v>
      </c>
      <c r="X165">
        <v>1015</v>
      </c>
      <c r="Y165" t="s">
        <v>2009</v>
      </c>
      <c r="AA165" t="s">
        <v>2029</v>
      </c>
      <c r="AB165" t="s">
        <v>13187</v>
      </c>
      <c r="AC165" t="s">
        <v>15078</v>
      </c>
      <c r="AD165" t="s">
        <v>15791</v>
      </c>
      <c r="AE165">
        <v>4</v>
      </c>
      <c r="AF165" t="s">
        <v>2903</v>
      </c>
      <c r="AG165" t="s">
        <v>2918</v>
      </c>
      <c r="AH165">
        <v>3</v>
      </c>
      <c r="AI165">
        <v>1</v>
      </c>
      <c r="AJ165">
        <v>3</v>
      </c>
      <c r="AK165">
        <v>227.28</v>
      </c>
      <c r="AM165" t="s">
        <v>18031</v>
      </c>
      <c r="AN165" t="s">
        <v>2926</v>
      </c>
      <c r="AO165">
        <v>57048</v>
      </c>
      <c r="AP165" t="s">
        <v>18086</v>
      </c>
      <c r="AU165">
        <v>2</v>
      </c>
      <c r="AV165" t="s">
        <v>309</v>
      </c>
      <c r="AW165" t="s">
        <v>3071</v>
      </c>
    </row>
    <row r="166" spans="1:50">
      <c r="A166" s="1" t="s">
        <v>94</v>
      </c>
      <c r="B166" t="s">
        <v>163</v>
      </c>
      <c r="C166" t="s">
        <v>3376</v>
      </c>
      <c r="D166" t="s">
        <v>179</v>
      </c>
      <c r="F166" t="s">
        <v>427</v>
      </c>
      <c r="G166" t="s">
        <v>7956</v>
      </c>
      <c r="H166" t="s">
        <v>1119</v>
      </c>
      <c r="I166" t="s">
        <v>1488</v>
      </c>
      <c r="J166" t="s">
        <v>1643</v>
      </c>
      <c r="K166">
        <v>10034</v>
      </c>
      <c r="L166" t="s">
        <v>1670</v>
      </c>
      <c r="M166" t="s">
        <v>1672</v>
      </c>
      <c r="P166" t="s">
        <v>1960</v>
      </c>
      <c r="R166" t="s">
        <v>50</v>
      </c>
      <c r="U166" t="s">
        <v>1972</v>
      </c>
      <c r="W166" t="s">
        <v>179</v>
      </c>
      <c r="X166">
        <v>2084</v>
      </c>
      <c r="Y166" t="s">
        <v>2008</v>
      </c>
      <c r="Z166" t="s">
        <v>2013</v>
      </c>
      <c r="AB166" t="s">
        <v>13188</v>
      </c>
      <c r="AD166" t="s">
        <v>15792</v>
      </c>
      <c r="AE166">
        <v>126</v>
      </c>
      <c r="AF166" t="s">
        <v>2902</v>
      </c>
      <c r="AG166" t="s">
        <v>2915</v>
      </c>
      <c r="AH166">
        <v>38</v>
      </c>
      <c r="AI166">
        <v>2</v>
      </c>
      <c r="AJ166">
        <v>1</v>
      </c>
      <c r="AK166">
        <v>227.85</v>
      </c>
      <c r="AN166" t="s">
        <v>2927</v>
      </c>
      <c r="AO166">
        <v>48600</v>
      </c>
      <c r="AU166">
        <v>8.85</v>
      </c>
      <c r="AV166" t="s">
        <v>397</v>
      </c>
      <c r="AW166" t="s">
        <v>3042</v>
      </c>
      <c r="AX166" t="s">
        <v>18685</v>
      </c>
    </row>
    <row r="167" spans="1:50">
      <c r="A167" s="1" t="s">
        <v>122</v>
      </c>
      <c r="B167" t="s">
        <v>164</v>
      </c>
      <c r="C167" t="s">
        <v>3377</v>
      </c>
      <c r="D167" t="s">
        <v>351</v>
      </c>
      <c r="E167" t="s">
        <v>6166</v>
      </c>
      <c r="F167" t="s">
        <v>6873</v>
      </c>
      <c r="G167" t="s">
        <v>7957</v>
      </c>
      <c r="H167" t="s">
        <v>9459</v>
      </c>
      <c r="I167" t="s">
        <v>1580</v>
      </c>
      <c r="J167" t="s">
        <v>1641</v>
      </c>
      <c r="K167">
        <v>10452</v>
      </c>
      <c r="L167" t="s">
        <v>1670</v>
      </c>
      <c r="M167" t="s">
        <v>1670</v>
      </c>
      <c r="O167" t="s">
        <v>1946</v>
      </c>
      <c r="P167" t="s">
        <v>1958</v>
      </c>
      <c r="Q167" t="s">
        <v>1965</v>
      </c>
      <c r="R167" t="s">
        <v>50</v>
      </c>
      <c r="S167" t="s">
        <v>1671</v>
      </c>
      <c r="U167" t="s">
        <v>1972</v>
      </c>
      <c r="W167" t="s">
        <v>372</v>
      </c>
      <c r="X167">
        <v>1091.92</v>
      </c>
      <c r="Y167" t="s">
        <v>2006</v>
      </c>
      <c r="Z167" t="s">
        <v>2015</v>
      </c>
      <c r="AA167" t="s">
        <v>2029</v>
      </c>
      <c r="AB167" t="s">
        <v>13189</v>
      </c>
      <c r="AD167" t="s">
        <v>15793</v>
      </c>
      <c r="AE167">
        <v>40</v>
      </c>
      <c r="AF167" t="s">
        <v>2902</v>
      </c>
      <c r="AH167">
        <v>2</v>
      </c>
      <c r="AI167">
        <v>2</v>
      </c>
      <c r="AJ167">
        <v>1</v>
      </c>
      <c r="AK167">
        <v>227.97</v>
      </c>
      <c r="AN167" t="s">
        <v>2926</v>
      </c>
      <c r="AO167">
        <v>47372</v>
      </c>
      <c r="AU167">
        <v>0.8</v>
      </c>
      <c r="AV167" t="s">
        <v>351</v>
      </c>
      <c r="AW167" t="s">
        <v>122</v>
      </c>
    </row>
    <row r="168" spans="1:50">
      <c r="A168" s="1" t="s">
        <v>147</v>
      </c>
      <c r="B168" t="s">
        <v>163</v>
      </c>
      <c r="C168" t="s">
        <v>3378</v>
      </c>
      <c r="D168" t="s">
        <v>327</v>
      </c>
      <c r="F168" t="s">
        <v>6874</v>
      </c>
      <c r="G168" t="s">
        <v>685</v>
      </c>
      <c r="H168" t="s">
        <v>9460</v>
      </c>
      <c r="I168" t="s">
        <v>1487</v>
      </c>
      <c r="J168" t="s">
        <v>1643</v>
      </c>
      <c r="K168">
        <v>10029</v>
      </c>
      <c r="L168" t="s">
        <v>1670</v>
      </c>
      <c r="M168" t="s">
        <v>1670</v>
      </c>
      <c r="O168" t="s">
        <v>1944</v>
      </c>
      <c r="P168" t="s">
        <v>1959</v>
      </c>
      <c r="R168" t="s">
        <v>50</v>
      </c>
      <c r="S168" t="s">
        <v>1671</v>
      </c>
      <c r="U168" t="s">
        <v>1976</v>
      </c>
      <c r="V168" t="s">
        <v>1984</v>
      </c>
      <c r="W168" t="s">
        <v>327</v>
      </c>
      <c r="X168">
        <v>650</v>
      </c>
      <c r="Y168" t="s">
        <v>2008</v>
      </c>
      <c r="Z168" t="s">
        <v>2021</v>
      </c>
      <c r="AB168" t="s">
        <v>13190</v>
      </c>
      <c r="AD168" t="s">
        <v>15794</v>
      </c>
      <c r="AE168">
        <v>33</v>
      </c>
      <c r="AF168" t="s">
        <v>2913</v>
      </c>
      <c r="AG168" t="s">
        <v>1754</v>
      </c>
      <c r="AH168">
        <v>31</v>
      </c>
      <c r="AI168">
        <v>1</v>
      </c>
      <c r="AJ168">
        <v>0</v>
      </c>
      <c r="AK168">
        <v>228.15</v>
      </c>
      <c r="AN168" t="s">
        <v>2926</v>
      </c>
      <c r="AO168">
        <v>28496</v>
      </c>
      <c r="AU168">
        <v>6</v>
      </c>
      <c r="AV168" t="s">
        <v>1994</v>
      </c>
      <c r="AW168" t="s">
        <v>3051</v>
      </c>
    </row>
    <row r="169" spans="1:50">
      <c r="A169" s="1" t="s">
        <v>52</v>
      </c>
      <c r="B169" t="s">
        <v>164</v>
      </c>
      <c r="C169" t="s">
        <v>3379</v>
      </c>
      <c r="D169" t="s">
        <v>390</v>
      </c>
      <c r="E169" t="s">
        <v>390</v>
      </c>
      <c r="F169" t="s">
        <v>6875</v>
      </c>
      <c r="G169" t="s">
        <v>890</v>
      </c>
      <c r="H169" t="s">
        <v>9461</v>
      </c>
      <c r="I169" t="s">
        <v>1522</v>
      </c>
      <c r="J169" t="s">
        <v>1641</v>
      </c>
      <c r="K169">
        <v>10453</v>
      </c>
      <c r="L169" t="s">
        <v>1670</v>
      </c>
      <c r="M169" t="s">
        <v>1672</v>
      </c>
      <c r="N169" t="s">
        <v>1691</v>
      </c>
      <c r="O169" t="s">
        <v>1675</v>
      </c>
      <c r="P169" t="s">
        <v>1958</v>
      </c>
      <c r="Q169" t="s">
        <v>1965</v>
      </c>
      <c r="R169" t="s">
        <v>50</v>
      </c>
      <c r="S169" t="s">
        <v>1671</v>
      </c>
      <c r="U169" t="s">
        <v>1972</v>
      </c>
      <c r="W169" t="s">
        <v>390</v>
      </c>
      <c r="X169" t="s">
        <v>13051</v>
      </c>
      <c r="Y169" t="s">
        <v>2006</v>
      </c>
      <c r="Z169" t="s">
        <v>2015</v>
      </c>
      <c r="AA169" t="s">
        <v>2029</v>
      </c>
      <c r="AB169" t="s">
        <v>13191</v>
      </c>
      <c r="AE169">
        <v>30</v>
      </c>
      <c r="AG169" t="s">
        <v>1754</v>
      </c>
      <c r="AH169" t="s">
        <v>13051</v>
      </c>
      <c r="AI169">
        <v>1</v>
      </c>
      <c r="AJ169">
        <v>0</v>
      </c>
      <c r="AK169">
        <v>228.98</v>
      </c>
      <c r="AN169" t="s">
        <v>2926</v>
      </c>
      <c r="AO169">
        <v>28600</v>
      </c>
      <c r="AP169" t="s">
        <v>18087</v>
      </c>
      <c r="AU169">
        <v>0.6</v>
      </c>
      <c r="AV169" t="s">
        <v>390</v>
      </c>
      <c r="AW169" t="s">
        <v>52</v>
      </c>
      <c r="AX169" t="s">
        <v>18685</v>
      </c>
    </row>
    <row r="170" spans="1:50">
      <c r="A170" s="1" t="s">
        <v>3152</v>
      </c>
      <c r="B170" t="s">
        <v>163</v>
      </c>
      <c r="C170" t="s">
        <v>3380</v>
      </c>
      <c r="D170" t="s">
        <v>396</v>
      </c>
      <c r="F170" t="s">
        <v>6876</v>
      </c>
      <c r="G170" t="s">
        <v>945</v>
      </c>
      <c r="H170" t="s">
        <v>9462</v>
      </c>
      <c r="I170" t="s">
        <v>1575</v>
      </c>
      <c r="J170" t="s">
        <v>1644</v>
      </c>
      <c r="K170">
        <v>11221</v>
      </c>
      <c r="L170" t="s">
        <v>1670</v>
      </c>
      <c r="M170" t="s">
        <v>1672</v>
      </c>
      <c r="N170" t="s">
        <v>1754</v>
      </c>
      <c r="O170" t="s">
        <v>1937</v>
      </c>
      <c r="P170" t="s">
        <v>1962</v>
      </c>
      <c r="R170" t="s">
        <v>50</v>
      </c>
      <c r="S170" t="s">
        <v>1670</v>
      </c>
      <c r="U170" t="s">
        <v>1977</v>
      </c>
      <c r="V170" t="s">
        <v>1984</v>
      </c>
      <c r="W170" t="s">
        <v>266</v>
      </c>
      <c r="X170">
        <v>757</v>
      </c>
      <c r="Y170" t="s">
        <v>2009</v>
      </c>
      <c r="Z170" t="s">
        <v>2017</v>
      </c>
      <c r="AB170" t="s">
        <v>13192</v>
      </c>
      <c r="AD170" t="s">
        <v>15795</v>
      </c>
      <c r="AE170">
        <v>16</v>
      </c>
      <c r="AF170" t="s">
        <v>2902</v>
      </c>
      <c r="AH170">
        <v>27</v>
      </c>
      <c r="AI170">
        <v>3</v>
      </c>
      <c r="AJ170">
        <v>2</v>
      </c>
      <c r="AK170">
        <v>229.11</v>
      </c>
      <c r="AN170" t="s">
        <v>2926</v>
      </c>
      <c r="AO170">
        <v>69122</v>
      </c>
      <c r="AP170" t="s">
        <v>18088</v>
      </c>
      <c r="AU170">
        <v>1.5</v>
      </c>
      <c r="AV170" t="s">
        <v>333</v>
      </c>
      <c r="AW170" t="s">
        <v>3059</v>
      </c>
      <c r="AX170" t="s">
        <v>18685</v>
      </c>
    </row>
    <row r="171" spans="1:50">
      <c r="A171" s="1" t="s">
        <v>3152</v>
      </c>
      <c r="B171" t="s">
        <v>163</v>
      </c>
      <c r="C171" t="s">
        <v>3381</v>
      </c>
      <c r="D171" t="s">
        <v>396</v>
      </c>
      <c r="F171" t="s">
        <v>6876</v>
      </c>
      <c r="G171" t="s">
        <v>945</v>
      </c>
      <c r="H171" t="s">
        <v>9462</v>
      </c>
      <c r="I171" t="s">
        <v>1575</v>
      </c>
      <c r="J171" t="s">
        <v>1644</v>
      </c>
      <c r="K171">
        <v>11221</v>
      </c>
      <c r="L171" t="s">
        <v>1670</v>
      </c>
      <c r="M171" t="s">
        <v>1672</v>
      </c>
      <c r="N171" t="s">
        <v>1754</v>
      </c>
      <c r="O171" t="s">
        <v>1946</v>
      </c>
      <c r="P171" t="s">
        <v>1964</v>
      </c>
      <c r="R171" t="s">
        <v>50</v>
      </c>
      <c r="S171" t="s">
        <v>1670</v>
      </c>
      <c r="U171" t="s">
        <v>1978</v>
      </c>
      <c r="V171" t="s">
        <v>1984</v>
      </c>
      <c r="W171" t="s">
        <v>13038</v>
      </c>
      <c r="X171">
        <v>757</v>
      </c>
      <c r="Y171" t="s">
        <v>2009</v>
      </c>
      <c r="Z171" t="s">
        <v>2017</v>
      </c>
      <c r="AB171" t="s">
        <v>13192</v>
      </c>
      <c r="AD171" t="s">
        <v>15795</v>
      </c>
      <c r="AE171">
        <v>16</v>
      </c>
      <c r="AF171" t="s">
        <v>2902</v>
      </c>
      <c r="AH171">
        <v>27</v>
      </c>
      <c r="AI171">
        <v>3</v>
      </c>
      <c r="AJ171">
        <v>2</v>
      </c>
      <c r="AK171">
        <v>229.11</v>
      </c>
      <c r="AN171" t="s">
        <v>2926</v>
      </c>
      <c r="AO171">
        <v>69122</v>
      </c>
      <c r="AU171">
        <v>5</v>
      </c>
      <c r="AV171" t="s">
        <v>396</v>
      </c>
      <c r="AW171" t="s">
        <v>3059</v>
      </c>
      <c r="AX171" t="s">
        <v>18685</v>
      </c>
    </row>
    <row r="172" spans="1:50">
      <c r="A172" s="1" t="s">
        <v>157</v>
      </c>
      <c r="B172" t="s">
        <v>163</v>
      </c>
      <c r="C172" t="s">
        <v>3382</v>
      </c>
      <c r="D172" t="s">
        <v>230</v>
      </c>
      <c r="F172" t="s">
        <v>6877</v>
      </c>
      <c r="G172" t="s">
        <v>7958</v>
      </c>
      <c r="H172" t="s">
        <v>9463</v>
      </c>
      <c r="I172" t="s">
        <v>1520</v>
      </c>
      <c r="J172" t="s">
        <v>1643</v>
      </c>
      <c r="K172">
        <v>10002</v>
      </c>
      <c r="L172" t="s">
        <v>1670</v>
      </c>
      <c r="M172" t="s">
        <v>1672</v>
      </c>
      <c r="N172" t="s">
        <v>11874</v>
      </c>
      <c r="O172" t="s">
        <v>1940</v>
      </c>
      <c r="P172" t="s">
        <v>1960</v>
      </c>
      <c r="R172" t="s">
        <v>50</v>
      </c>
      <c r="S172" t="s">
        <v>1671</v>
      </c>
      <c r="U172" t="s">
        <v>1972</v>
      </c>
      <c r="W172" t="s">
        <v>230</v>
      </c>
      <c r="X172">
        <v>927.62</v>
      </c>
      <c r="Y172" t="s">
        <v>2008</v>
      </c>
      <c r="Z172" t="s">
        <v>2015</v>
      </c>
      <c r="AB172" t="s">
        <v>13193</v>
      </c>
      <c r="AD172" t="s">
        <v>15796</v>
      </c>
      <c r="AE172" t="s">
        <v>13051</v>
      </c>
      <c r="AF172" t="s">
        <v>2902</v>
      </c>
      <c r="AG172" t="s">
        <v>1754</v>
      </c>
      <c r="AH172">
        <v>15</v>
      </c>
      <c r="AI172">
        <v>2</v>
      </c>
      <c r="AJ172">
        <v>1</v>
      </c>
      <c r="AK172">
        <v>229.72</v>
      </c>
      <c r="AN172" t="s">
        <v>2937</v>
      </c>
      <c r="AO172">
        <v>49000</v>
      </c>
      <c r="AU172">
        <v>44.95</v>
      </c>
      <c r="AV172" t="s">
        <v>397</v>
      </c>
      <c r="AW172" t="s">
        <v>3048</v>
      </c>
      <c r="AX172" t="s">
        <v>18685</v>
      </c>
    </row>
    <row r="173" spans="1:50">
      <c r="A173" s="1" t="s">
        <v>105</v>
      </c>
      <c r="B173" t="s">
        <v>164</v>
      </c>
      <c r="C173" t="s">
        <v>3383</v>
      </c>
      <c r="D173" t="s">
        <v>258</v>
      </c>
      <c r="E173" t="s">
        <v>295</v>
      </c>
      <c r="F173" t="s">
        <v>6878</v>
      </c>
      <c r="G173" t="s">
        <v>7959</v>
      </c>
      <c r="H173" t="s">
        <v>9464</v>
      </c>
      <c r="J173" t="s">
        <v>1641</v>
      </c>
      <c r="K173">
        <v>10453</v>
      </c>
      <c r="L173" t="s">
        <v>1670</v>
      </c>
      <c r="M173" t="s">
        <v>1670</v>
      </c>
      <c r="N173" t="s">
        <v>11875</v>
      </c>
      <c r="O173" t="s">
        <v>1936</v>
      </c>
      <c r="P173" t="s">
        <v>1958</v>
      </c>
      <c r="Q173" t="s">
        <v>1965</v>
      </c>
      <c r="R173" t="s">
        <v>50</v>
      </c>
      <c r="S173" t="s">
        <v>1671</v>
      </c>
      <c r="U173" t="s">
        <v>1972</v>
      </c>
      <c r="V173" t="s">
        <v>1984</v>
      </c>
      <c r="W173" t="s">
        <v>258</v>
      </c>
      <c r="X173">
        <v>826.4</v>
      </c>
      <c r="Y173" t="s">
        <v>2006</v>
      </c>
      <c r="Z173" t="s">
        <v>2015</v>
      </c>
      <c r="AA173" t="s">
        <v>2029</v>
      </c>
      <c r="AB173" t="s">
        <v>13194</v>
      </c>
      <c r="AD173" t="s">
        <v>15797</v>
      </c>
      <c r="AE173" t="s">
        <v>13051</v>
      </c>
      <c r="AF173" t="s">
        <v>2902</v>
      </c>
      <c r="AG173" t="s">
        <v>1754</v>
      </c>
      <c r="AH173">
        <v>35</v>
      </c>
      <c r="AI173">
        <v>2</v>
      </c>
      <c r="AJ173">
        <v>0</v>
      </c>
      <c r="AK173">
        <v>230.22</v>
      </c>
      <c r="AN173" t="s">
        <v>2926</v>
      </c>
      <c r="AO173">
        <v>38930.28</v>
      </c>
      <c r="AU173">
        <v>0.1</v>
      </c>
      <c r="AV173" t="s">
        <v>258</v>
      </c>
      <c r="AW173" t="s">
        <v>105</v>
      </c>
    </row>
    <row r="174" spans="1:50">
      <c r="A174" s="1" t="s">
        <v>133</v>
      </c>
      <c r="B174" t="s">
        <v>163</v>
      </c>
      <c r="C174" t="s">
        <v>3384</v>
      </c>
      <c r="D174" t="s">
        <v>250</v>
      </c>
      <c r="F174" t="s">
        <v>6865</v>
      </c>
      <c r="G174" t="s">
        <v>1016</v>
      </c>
      <c r="H174" t="s">
        <v>9454</v>
      </c>
      <c r="I174" t="s">
        <v>1570</v>
      </c>
      <c r="J174" t="s">
        <v>1644</v>
      </c>
      <c r="K174">
        <v>11213</v>
      </c>
      <c r="L174" t="s">
        <v>1670</v>
      </c>
      <c r="M174" t="s">
        <v>1670</v>
      </c>
      <c r="N174" t="s">
        <v>1865</v>
      </c>
      <c r="O174" t="s">
        <v>1939</v>
      </c>
      <c r="P174" t="s">
        <v>1960</v>
      </c>
      <c r="R174" t="s">
        <v>50</v>
      </c>
      <c r="S174" t="s">
        <v>1670</v>
      </c>
      <c r="T174" t="s">
        <v>50</v>
      </c>
      <c r="U174" t="s">
        <v>1972</v>
      </c>
      <c r="W174" t="s">
        <v>360</v>
      </c>
      <c r="X174">
        <v>652.36</v>
      </c>
      <c r="Y174" t="s">
        <v>2009</v>
      </c>
      <c r="AB174" t="s">
        <v>13178</v>
      </c>
      <c r="AD174" t="s">
        <v>15784</v>
      </c>
      <c r="AE174">
        <v>6</v>
      </c>
      <c r="AF174" t="s">
        <v>2902</v>
      </c>
      <c r="AG174" t="s">
        <v>1754</v>
      </c>
      <c r="AH174">
        <v>45</v>
      </c>
      <c r="AI174">
        <v>2</v>
      </c>
      <c r="AJ174">
        <v>0</v>
      </c>
      <c r="AK174">
        <v>230.46</v>
      </c>
      <c r="AN174" t="s">
        <v>2926</v>
      </c>
      <c r="AO174">
        <v>37934.16</v>
      </c>
      <c r="AU174">
        <v>0.1</v>
      </c>
      <c r="AV174" t="s">
        <v>165</v>
      </c>
      <c r="AW174" t="s">
        <v>3060</v>
      </c>
    </row>
    <row r="175" spans="1:50">
      <c r="A175" s="1" t="s">
        <v>57</v>
      </c>
      <c r="B175" t="s">
        <v>164</v>
      </c>
      <c r="C175" t="s">
        <v>3385</v>
      </c>
      <c r="D175" t="s">
        <v>250</v>
      </c>
      <c r="E175" t="s">
        <v>174</v>
      </c>
      <c r="F175" t="s">
        <v>544</v>
      </c>
      <c r="G175" t="s">
        <v>1097</v>
      </c>
      <c r="H175" t="s">
        <v>9465</v>
      </c>
      <c r="I175" t="s">
        <v>1525</v>
      </c>
      <c r="J175" t="s">
        <v>1641</v>
      </c>
      <c r="K175">
        <v>10453</v>
      </c>
      <c r="L175" t="s">
        <v>1670</v>
      </c>
      <c r="M175" t="s">
        <v>1670</v>
      </c>
      <c r="O175" t="s">
        <v>1941</v>
      </c>
      <c r="P175" t="s">
        <v>1958</v>
      </c>
      <c r="Q175" t="s">
        <v>1965</v>
      </c>
      <c r="R175" t="s">
        <v>50</v>
      </c>
      <c r="S175" t="s">
        <v>1671</v>
      </c>
      <c r="U175" t="s">
        <v>1972</v>
      </c>
      <c r="W175" t="s">
        <v>250</v>
      </c>
      <c r="X175">
        <v>1100</v>
      </c>
      <c r="Y175" t="s">
        <v>2006</v>
      </c>
      <c r="AA175" t="s">
        <v>2029</v>
      </c>
      <c r="AB175" t="s">
        <v>13195</v>
      </c>
      <c r="AD175" t="s">
        <v>15798</v>
      </c>
      <c r="AE175" t="s">
        <v>13051</v>
      </c>
      <c r="AG175" t="s">
        <v>2915</v>
      </c>
      <c r="AH175">
        <v>3</v>
      </c>
      <c r="AI175">
        <v>3</v>
      </c>
      <c r="AJ175">
        <v>0</v>
      </c>
      <c r="AK175">
        <v>230.64</v>
      </c>
      <c r="AN175" t="s">
        <v>2927</v>
      </c>
      <c r="AO175">
        <v>47928</v>
      </c>
      <c r="AU175">
        <v>0.1</v>
      </c>
      <c r="AV175" t="s">
        <v>174</v>
      </c>
      <c r="AW175" t="s">
        <v>3046</v>
      </c>
    </row>
    <row r="176" spans="1:50">
      <c r="A176" s="1" t="s">
        <v>75</v>
      </c>
      <c r="B176" t="s">
        <v>164</v>
      </c>
      <c r="C176" t="s">
        <v>3386</v>
      </c>
      <c r="D176" t="s">
        <v>231</v>
      </c>
      <c r="E176" t="s">
        <v>223</v>
      </c>
      <c r="F176" t="s">
        <v>720</v>
      </c>
      <c r="G176" t="s">
        <v>7960</v>
      </c>
      <c r="H176" t="s">
        <v>9466</v>
      </c>
      <c r="I176" t="s">
        <v>1571</v>
      </c>
      <c r="J176" t="s">
        <v>1643</v>
      </c>
      <c r="K176">
        <v>10002</v>
      </c>
      <c r="L176" t="s">
        <v>1670</v>
      </c>
      <c r="M176" t="s">
        <v>1670</v>
      </c>
      <c r="O176" t="s">
        <v>1675</v>
      </c>
      <c r="P176" t="s">
        <v>1958</v>
      </c>
      <c r="Q176" t="s">
        <v>1965</v>
      </c>
      <c r="R176" t="s">
        <v>50</v>
      </c>
      <c r="S176" t="s">
        <v>1671</v>
      </c>
      <c r="T176" t="s">
        <v>13027</v>
      </c>
      <c r="U176" t="s">
        <v>1972</v>
      </c>
      <c r="V176" t="s">
        <v>1984</v>
      </c>
      <c r="W176" t="s">
        <v>260</v>
      </c>
      <c r="X176">
        <v>680</v>
      </c>
      <c r="Y176" t="s">
        <v>2008</v>
      </c>
      <c r="Z176" t="s">
        <v>2016</v>
      </c>
      <c r="AA176" t="s">
        <v>2029</v>
      </c>
      <c r="AB176" t="s">
        <v>13196</v>
      </c>
      <c r="AD176" t="s">
        <v>15799</v>
      </c>
      <c r="AE176">
        <v>124</v>
      </c>
      <c r="AF176" t="s">
        <v>2906</v>
      </c>
      <c r="AG176" t="s">
        <v>1754</v>
      </c>
      <c r="AH176">
        <v>1</v>
      </c>
      <c r="AI176">
        <v>1</v>
      </c>
      <c r="AJ176">
        <v>0</v>
      </c>
      <c r="AK176">
        <v>230.64</v>
      </c>
      <c r="AN176" t="s">
        <v>2926</v>
      </c>
      <c r="AO176">
        <v>28000</v>
      </c>
      <c r="AU176">
        <v>1</v>
      </c>
      <c r="AV176" t="s">
        <v>231</v>
      </c>
      <c r="AW176" t="s">
        <v>3051</v>
      </c>
    </row>
    <row r="177" spans="1:50">
      <c r="A177" s="1" t="s">
        <v>82</v>
      </c>
      <c r="B177" t="s">
        <v>163</v>
      </c>
      <c r="C177" t="s">
        <v>3387</v>
      </c>
      <c r="D177" t="s">
        <v>174</v>
      </c>
      <c r="F177" t="s">
        <v>6864</v>
      </c>
      <c r="G177" t="s">
        <v>7949</v>
      </c>
      <c r="H177" t="s">
        <v>9420</v>
      </c>
      <c r="I177" t="s">
        <v>10971</v>
      </c>
      <c r="J177" t="s">
        <v>1644</v>
      </c>
      <c r="K177">
        <v>11233</v>
      </c>
      <c r="L177" t="s">
        <v>1670</v>
      </c>
      <c r="M177" t="s">
        <v>1670</v>
      </c>
      <c r="N177" t="s">
        <v>1687</v>
      </c>
      <c r="O177" t="s">
        <v>1938</v>
      </c>
      <c r="P177" t="s">
        <v>1959</v>
      </c>
      <c r="R177" t="s">
        <v>50</v>
      </c>
      <c r="S177" t="s">
        <v>1670</v>
      </c>
      <c r="U177" t="s">
        <v>1972</v>
      </c>
      <c r="V177" t="s">
        <v>1984</v>
      </c>
      <c r="W177" t="s">
        <v>243</v>
      </c>
      <c r="X177">
        <v>1094</v>
      </c>
      <c r="Y177" t="s">
        <v>2009</v>
      </c>
      <c r="Z177" t="s">
        <v>2016</v>
      </c>
      <c r="AB177" t="s">
        <v>13177</v>
      </c>
      <c r="AC177" t="s">
        <v>1754</v>
      </c>
      <c r="AE177">
        <v>764</v>
      </c>
      <c r="AF177" t="s">
        <v>2902</v>
      </c>
      <c r="AG177" t="s">
        <v>1754</v>
      </c>
      <c r="AH177">
        <v>40</v>
      </c>
      <c r="AI177">
        <v>1</v>
      </c>
      <c r="AJ177">
        <v>0</v>
      </c>
      <c r="AK177">
        <v>230.64</v>
      </c>
      <c r="AL177" t="s">
        <v>365</v>
      </c>
      <c r="AM177" t="s">
        <v>18031</v>
      </c>
      <c r="AN177" t="s">
        <v>2926</v>
      </c>
      <c r="AO177">
        <v>28000</v>
      </c>
      <c r="AU177" t="s">
        <v>13051</v>
      </c>
      <c r="AW177" t="s">
        <v>3060</v>
      </c>
    </row>
    <row r="178" spans="1:50">
      <c r="A178" s="1" t="s">
        <v>78</v>
      </c>
      <c r="B178" t="s">
        <v>164</v>
      </c>
      <c r="C178" t="s">
        <v>3388</v>
      </c>
      <c r="D178" t="s">
        <v>199</v>
      </c>
      <c r="E178" t="s">
        <v>3031</v>
      </c>
      <c r="F178" t="s">
        <v>6879</v>
      </c>
      <c r="G178" t="s">
        <v>7961</v>
      </c>
      <c r="H178" t="s">
        <v>9467</v>
      </c>
      <c r="J178" t="s">
        <v>1646</v>
      </c>
      <c r="K178">
        <v>10301</v>
      </c>
      <c r="L178" t="s">
        <v>1670</v>
      </c>
      <c r="M178" t="s">
        <v>1670</v>
      </c>
      <c r="N178" t="s">
        <v>11876</v>
      </c>
      <c r="O178" t="s">
        <v>1936</v>
      </c>
      <c r="P178" t="s">
        <v>1960</v>
      </c>
      <c r="Q178" t="s">
        <v>1969</v>
      </c>
      <c r="R178" t="s">
        <v>50</v>
      </c>
      <c r="U178" t="s">
        <v>1972</v>
      </c>
      <c r="V178" t="s">
        <v>1984</v>
      </c>
      <c r="W178" t="s">
        <v>189</v>
      </c>
      <c r="X178">
        <v>818</v>
      </c>
      <c r="Y178" t="s">
        <v>2010</v>
      </c>
      <c r="Z178" t="s">
        <v>2013</v>
      </c>
      <c r="AA178" t="s">
        <v>2032</v>
      </c>
      <c r="AB178" t="s">
        <v>13197</v>
      </c>
      <c r="AD178" t="s">
        <v>15800</v>
      </c>
      <c r="AE178">
        <v>2</v>
      </c>
      <c r="AF178" t="s">
        <v>2909</v>
      </c>
      <c r="AG178" t="s">
        <v>2915</v>
      </c>
      <c r="AH178">
        <v>1</v>
      </c>
      <c r="AI178">
        <v>1</v>
      </c>
      <c r="AJ178">
        <v>2</v>
      </c>
      <c r="AK178">
        <v>230.9</v>
      </c>
      <c r="AL178" t="s">
        <v>399</v>
      </c>
      <c r="AM178" t="s">
        <v>18031</v>
      </c>
      <c r="AN178" t="s">
        <v>2926</v>
      </c>
      <c r="AO178">
        <v>49252</v>
      </c>
      <c r="AQ178" t="s">
        <v>2979</v>
      </c>
      <c r="AR178" t="s">
        <v>2982</v>
      </c>
      <c r="AS178" t="s">
        <v>2992</v>
      </c>
      <c r="AT178" t="s">
        <v>18500</v>
      </c>
      <c r="AU178">
        <v>3.7</v>
      </c>
      <c r="AV178" t="s">
        <v>3031</v>
      </c>
      <c r="AW178" t="s">
        <v>3050</v>
      </c>
      <c r="AX178" t="s">
        <v>18685</v>
      </c>
    </row>
    <row r="179" spans="1:50">
      <c r="A179" s="1" t="s">
        <v>85</v>
      </c>
      <c r="B179" t="s">
        <v>164</v>
      </c>
      <c r="C179" t="s">
        <v>3389</v>
      </c>
      <c r="D179" t="s">
        <v>207</v>
      </c>
      <c r="E179" t="s">
        <v>306</v>
      </c>
      <c r="F179" t="s">
        <v>6880</v>
      </c>
      <c r="G179" t="s">
        <v>7962</v>
      </c>
      <c r="H179" t="s">
        <v>9468</v>
      </c>
      <c r="I179" t="s">
        <v>10974</v>
      </c>
      <c r="J179" t="s">
        <v>1665</v>
      </c>
      <c r="K179">
        <v>11374</v>
      </c>
      <c r="L179" t="s">
        <v>1670</v>
      </c>
      <c r="M179" t="s">
        <v>1670</v>
      </c>
      <c r="N179" t="s">
        <v>11877</v>
      </c>
      <c r="O179" t="s">
        <v>1940</v>
      </c>
      <c r="P179" t="s">
        <v>1958</v>
      </c>
      <c r="Q179" t="s">
        <v>1965</v>
      </c>
      <c r="R179" t="s">
        <v>51</v>
      </c>
      <c r="S179" t="s">
        <v>1671</v>
      </c>
      <c r="U179" t="s">
        <v>1972</v>
      </c>
      <c r="V179" t="s">
        <v>1984</v>
      </c>
      <c r="W179" t="s">
        <v>323</v>
      </c>
      <c r="X179">
        <v>1800</v>
      </c>
      <c r="Y179" t="s">
        <v>2007</v>
      </c>
      <c r="Z179" t="s">
        <v>2012</v>
      </c>
      <c r="AA179" t="s">
        <v>2029</v>
      </c>
      <c r="AB179" t="s">
        <v>13198</v>
      </c>
      <c r="AC179" t="s">
        <v>1754</v>
      </c>
      <c r="AD179" t="s">
        <v>15801</v>
      </c>
      <c r="AE179">
        <v>15</v>
      </c>
      <c r="AF179" t="s">
        <v>2903</v>
      </c>
      <c r="AG179" t="s">
        <v>1754</v>
      </c>
      <c r="AH179">
        <v>6</v>
      </c>
      <c r="AI179">
        <v>1</v>
      </c>
      <c r="AJ179">
        <v>2</v>
      </c>
      <c r="AK179">
        <v>230.99</v>
      </c>
      <c r="AL179" t="s">
        <v>2923</v>
      </c>
      <c r="AM179" t="s">
        <v>2924</v>
      </c>
      <c r="AN179" t="s">
        <v>18036</v>
      </c>
      <c r="AO179">
        <v>48000</v>
      </c>
      <c r="AU179">
        <v>1</v>
      </c>
      <c r="AV179" t="s">
        <v>207</v>
      </c>
      <c r="AW179" t="s">
        <v>85</v>
      </c>
    </row>
    <row r="180" spans="1:50">
      <c r="A180" s="1" t="s">
        <v>3150</v>
      </c>
      <c r="B180" t="s">
        <v>163</v>
      </c>
      <c r="C180" t="s">
        <v>3390</v>
      </c>
      <c r="D180" t="s">
        <v>206</v>
      </c>
      <c r="F180" t="s">
        <v>6881</v>
      </c>
      <c r="G180" t="s">
        <v>7963</v>
      </c>
      <c r="H180" t="s">
        <v>9469</v>
      </c>
      <c r="I180" t="s">
        <v>1519</v>
      </c>
      <c r="J180" t="s">
        <v>1643</v>
      </c>
      <c r="K180">
        <v>10011</v>
      </c>
      <c r="L180" t="s">
        <v>1670</v>
      </c>
      <c r="M180" t="s">
        <v>1672</v>
      </c>
      <c r="N180" t="s">
        <v>11878</v>
      </c>
      <c r="O180" t="s">
        <v>1936</v>
      </c>
      <c r="P180" t="s">
        <v>1958</v>
      </c>
      <c r="R180" t="s">
        <v>50</v>
      </c>
      <c r="S180" t="s">
        <v>1671</v>
      </c>
      <c r="U180" t="s">
        <v>1972</v>
      </c>
      <c r="W180" t="s">
        <v>206</v>
      </c>
      <c r="X180">
        <v>881.61</v>
      </c>
      <c r="Y180" t="s">
        <v>2008</v>
      </c>
      <c r="Z180" t="s">
        <v>2011</v>
      </c>
      <c r="AB180" t="s">
        <v>13199</v>
      </c>
      <c r="AD180" t="s">
        <v>15802</v>
      </c>
      <c r="AE180" t="s">
        <v>13051</v>
      </c>
      <c r="AF180" t="s">
        <v>2902</v>
      </c>
      <c r="AG180" t="s">
        <v>1754</v>
      </c>
      <c r="AH180">
        <v>41</v>
      </c>
      <c r="AI180">
        <v>2</v>
      </c>
      <c r="AJ180">
        <v>0</v>
      </c>
      <c r="AK180">
        <v>231.48</v>
      </c>
      <c r="AN180" t="s">
        <v>2930</v>
      </c>
      <c r="AO180">
        <v>39144</v>
      </c>
      <c r="AU180" t="s">
        <v>13051</v>
      </c>
      <c r="AW180" t="s">
        <v>3061</v>
      </c>
      <c r="AX180" t="s">
        <v>18685</v>
      </c>
    </row>
    <row r="181" spans="1:50">
      <c r="A181" s="1" t="s">
        <v>96</v>
      </c>
      <c r="B181" t="s">
        <v>164</v>
      </c>
      <c r="C181" t="s">
        <v>3391</v>
      </c>
      <c r="D181" t="s">
        <v>329</v>
      </c>
      <c r="E181" t="s">
        <v>409</v>
      </c>
      <c r="F181" t="s">
        <v>6882</v>
      </c>
      <c r="G181" t="s">
        <v>7964</v>
      </c>
      <c r="H181" t="s">
        <v>9470</v>
      </c>
      <c r="I181" t="s">
        <v>10975</v>
      </c>
      <c r="J181" t="s">
        <v>1644</v>
      </c>
      <c r="K181">
        <v>11213</v>
      </c>
      <c r="L181" t="s">
        <v>1670</v>
      </c>
      <c r="M181" t="s">
        <v>1670</v>
      </c>
      <c r="O181" t="s">
        <v>1675</v>
      </c>
      <c r="P181" t="s">
        <v>1959</v>
      </c>
      <c r="Q181" t="s">
        <v>1966</v>
      </c>
      <c r="R181" t="s">
        <v>50</v>
      </c>
      <c r="S181" t="s">
        <v>1671</v>
      </c>
      <c r="U181" t="s">
        <v>1980</v>
      </c>
      <c r="W181" t="s">
        <v>252</v>
      </c>
      <c r="X181">
        <v>1700</v>
      </c>
      <c r="Y181" t="s">
        <v>2009</v>
      </c>
      <c r="Z181" t="s">
        <v>2020</v>
      </c>
      <c r="AA181" t="s">
        <v>13060</v>
      </c>
      <c r="AB181" t="s">
        <v>13200</v>
      </c>
      <c r="AD181" t="s">
        <v>15803</v>
      </c>
      <c r="AE181">
        <v>54</v>
      </c>
      <c r="AF181" t="s">
        <v>2909</v>
      </c>
      <c r="AG181" t="s">
        <v>2915</v>
      </c>
      <c r="AH181">
        <v>5</v>
      </c>
      <c r="AI181">
        <v>1</v>
      </c>
      <c r="AJ181">
        <v>0</v>
      </c>
      <c r="AK181">
        <v>231.76</v>
      </c>
      <c r="AN181" t="s">
        <v>2926</v>
      </c>
      <c r="AO181">
        <v>28136</v>
      </c>
      <c r="AR181" t="s">
        <v>18449</v>
      </c>
      <c r="AS181" t="s">
        <v>2992</v>
      </c>
      <c r="AT181" t="s">
        <v>18501</v>
      </c>
      <c r="AU181">
        <v>1.25</v>
      </c>
      <c r="AV181" t="s">
        <v>409</v>
      </c>
      <c r="AW181" t="s">
        <v>3069</v>
      </c>
    </row>
    <row r="182" spans="1:50">
      <c r="A182" s="1" t="s">
        <v>58</v>
      </c>
      <c r="B182" t="s">
        <v>163</v>
      </c>
      <c r="C182" t="s">
        <v>3392</v>
      </c>
      <c r="D182" t="s">
        <v>172</v>
      </c>
      <c r="F182" t="s">
        <v>6860</v>
      </c>
      <c r="G182" t="s">
        <v>7464</v>
      </c>
      <c r="H182" t="s">
        <v>1113</v>
      </c>
      <c r="I182" t="s">
        <v>1525</v>
      </c>
      <c r="J182" t="s">
        <v>1641</v>
      </c>
      <c r="K182">
        <v>10452</v>
      </c>
      <c r="L182" t="s">
        <v>1670</v>
      </c>
      <c r="M182" t="s">
        <v>1670</v>
      </c>
      <c r="N182" t="s">
        <v>1678</v>
      </c>
      <c r="O182" t="s">
        <v>1939</v>
      </c>
      <c r="P182" t="s">
        <v>1960</v>
      </c>
      <c r="R182" t="s">
        <v>50</v>
      </c>
      <c r="S182" t="s">
        <v>1670</v>
      </c>
      <c r="U182" t="s">
        <v>1972</v>
      </c>
      <c r="W182" t="s">
        <v>359</v>
      </c>
      <c r="X182">
        <v>987</v>
      </c>
      <c r="Y182" t="s">
        <v>2006</v>
      </c>
      <c r="Z182" t="s">
        <v>2016</v>
      </c>
      <c r="AB182" t="s">
        <v>13183</v>
      </c>
      <c r="AD182" t="s">
        <v>15787</v>
      </c>
      <c r="AE182">
        <v>41</v>
      </c>
      <c r="AF182" t="s">
        <v>2904</v>
      </c>
      <c r="AG182" t="s">
        <v>2919</v>
      </c>
      <c r="AH182">
        <v>32</v>
      </c>
      <c r="AI182">
        <v>1</v>
      </c>
      <c r="AJ182">
        <v>0</v>
      </c>
      <c r="AK182">
        <v>231.99</v>
      </c>
      <c r="AN182" t="s">
        <v>2926</v>
      </c>
      <c r="AO182">
        <v>28164</v>
      </c>
      <c r="AU182" t="s">
        <v>13051</v>
      </c>
      <c r="AW182" t="s">
        <v>3046</v>
      </c>
    </row>
    <row r="183" spans="1:50">
      <c r="A183" s="1" t="s">
        <v>72</v>
      </c>
      <c r="B183" t="s">
        <v>163</v>
      </c>
      <c r="C183" t="s">
        <v>3393</v>
      </c>
      <c r="D183" t="s">
        <v>256</v>
      </c>
      <c r="F183" t="s">
        <v>6883</v>
      </c>
      <c r="G183" t="s">
        <v>855</v>
      </c>
      <c r="H183" t="s">
        <v>1425</v>
      </c>
      <c r="I183" t="s">
        <v>1575</v>
      </c>
      <c r="J183" t="s">
        <v>1643</v>
      </c>
      <c r="K183">
        <v>10029</v>
      </c>
      <c r="L183" t="s">
        <v>1670</v>
      </c>
      <c r="M183" t="s">
        <v>1670</v>
      </c>
      <c r="N183" t="s">
        <v>11879</v>
      </c>
      <c r="O183" t="s">
        <v>1936</v>
      </c>
      <c r="P183" t="s">
        <v>1962</v>
      </c>
      <c r="R183" t="s">
        <v>50</v>
      </c>
      <c r="S183" t="s">
        <v>1671</v>
      </c>
      <c r="U183" t="s">
        <v>1973</v>
      </c>
      <c r="V183" t="s">
        <v>1984</v>
      </c>
      <c r="W183" t="s">
        <v>3038</v>
      </c>
      <c r="X183">
        <v>676</v>
      </c>
      <c r="Y183" t="s">
        <v>2008</v>
      </c>
      <c r="Z183" t="s">
        <v>2028</v>
      </c>
      <c r="AB183" t="s">
        <v>13201</v>
      </c>
      <c r="AD183" t="s">
        <v>15804</v>
      </c>
      <c r="AE183">
        <v>40</v>
      </c>
      <c r="AF183" t="s">
        <v>2909</v>
      </c>
      <c r="AG183" t="s">
        <v>2915</v>
      </c>
      <c r="AH183">
        <v>5</v>
      </c>
      <c r="AI183">
        <v>1</v>
      </c>
      <c r="AJ183">
        <v>0</v>
      </c>
      <c r="AK183">
        <v>232.19</v>
      </c>
      <c r="AN183" t="s">
        <v>2926</v>
      </c>
      <c r="AO183">
        <v>29000</v>
      </c>
      <c r="AU183">
        <v>52.5</v>
      </c>
      <c r="AV183" t="s">
        <v>393</v>
      </c>
      <c r="AW183" t="s">
        <v>72</v>
      </c>
      <c r="AX183" t="s">
        <v>18685</v>
      </c>
    </row>
    <row r="184" spans="1:50">
      <c r="A184" s="1" t="s">
        <v>57</v>
      </c>
      <c r="B184" t="s">
        <v>163</v>
      </c>
      <c r="C184" t="s">
        <v>3394</v>
      </c>
      <c r="D184" t="s">
        <v>274</v>
      </c>
      <c r="F184" t="s">
        <v>6884</v>
      </c>
      <c r="G184" t="s">
        <v>856</v>
      </c>
      <c r="H184" t="s">
        <v>1112</v>
      </c>
      <c r="I184" t="s">
        <v>10976</v>
      </c>
      <c r="J184" t="s">
        <v>1641</v>
      </c>
      <c r="K184">
        <v>10453</v>
      </c>
      <c r="L184" t="s">
        <v>1670</v>
      </c>
      <c r="M184" t="s">
        <v>1670</v>
      </c>
      <c r="O184" t="s">
        <v>1938</v>
      </c>
      <c r="P184" t="s">
        <v>1961</v>
      </c>
      <c r="R184" t="s">
        <v>50</v>
      </c>
      <c r="S184" t="s">
        <v>1670</v>
      </c>
      <c r="U184" t="s">
        <v>1972</v>
      </c>
      <c r="W184" t="s">
        <v>283</v>
      </c>
      <c r="X184">
        <v>938.89</v>
      </c>
      <c r="Y184" t="s">
        <v>2006</v>
      </c>
      <c r="Z184" t="s">
        <v>2016</v>
      </c>
      <c r="AB184" t="s">
        <v>13202</v>
      </c>
      <c r="AE184">
        <v>170</v>
      </c>
      <c r="AF184" t="s">
        <v>2902</v>
      </c>
      <c r="AG184" t="s">
        <v>1754</v>
      </c>
      <c r="AH184">
        <v>41</v>
      </c>
      <c r="AI184">
        <v>4</v>
      </c>
      <c r="AJ184">
        <v>0</v>
      </c>
      <c r="AK184">
        <v>232.23</v>
      </c>
      <c r="AN184" t="s">
        <v>2927</v>
      </c>
      <c r="AO184">
        <v>59800</v>
      </c>
      <c r="AU184" t="s">
        <v>13051</v>
      </c>
      <c r="AW184" t="s">
        <v>3045</v>
      </c>
    </row>
    <row r="185" spans="1:50">
      <c r="A185" s="1" t="s">
        <v>57</v>
      </c>
      <c r="B185" t="s">
        <v>163</v>
      </c>
      <c r="C185" t="s">
        <v>3395</v>
      </c>
      <c r="D185" t="s">
        <v>274</v>
      </c>
      <c r="F185" t="s">
        <v>6884</v>
      </c>
      <c r="G185" t="s">
        <v>856</v>
      </c>
      <c r="H185" t="s">
        <v>1112</v>
      </c>
      <c r="I185" t="s">
        <v>10976</v>
      </c>
      <c r="J185" t="s">
        <v>1641</v>
      </c>
      <c r="K185">
        <v>10453</v>
      </c>
      <c r="L185" t="s">
        <v>1670</v>
      </c>
      <c r="M185" t="s">
        <v>1670</v>
      </c>
      <c r="N185" t="s">
        <v>1677</v>
      </c>
      <c r="O185" t="s">
        <v>1939</v>
      </c>
      <c r="P185" t="s">
        <v>1960</v>
      </c>
      <c r="R185" t="s">
        <v>50</v>
      </c>
      <c r="S185" t="s">
        <v>1670</v>
      </c>
      <c r="U185" t="s">
        <v>1972</v>
      </c>
      <c r="W185" t="s">
        <v>283</v>
      </c>
      <c r="X185">
        <v>938.89</v>
      </c>
      <c r="Y185" t="s">
        <v>2006</v>
      </c>
      <c r="Z185" t="s">
        <v>2016</v>
      </c>
      <c r="AB185" t="s">
        <v>13202</v>
      </c>
      <c r="AE185">
        <v>170</v>
      </c>
      <c r="AF185" t="s">
        <v>2902</v>
      </c>
      <c r="AG185" t="s">
        <v>1754</v>
      </c>
      <c r="AH185">
        <v>41</v>
      </c>
      <c r="AI185">
        <v>4</v>
      </c>
      <c r="AJ185">
        <v>0</v>
      </c>
      <c r="AK185">
        <v>232.23</v>
      </c>
      <c r="AN185" t="s">
        <v>2927</v>
      </c>
      <c r="AO185">
        <v>59800</v>
      </c>
      <c r="AU185" t="s">
        <v>13051</v>
      </c>
      <c r="AW185" t="s">
        <v>3045</v>
      </c>
    </row>
    <row r="186" spans="1:50">
      <c r="A186" s="1" t="s">
        <v>97</v>
      </c>
      <c r="B186" t="s">
        <v>163</v>
      </c>
      <c r="C186" t="s">
        <v>3396</v>
      </c>
      <c r="D186" t="s">
        <v>364</v>
      </c>
      <c r="F186" t="s">
        <v>650</v>
      </c>
      <c r="G186" t="s">
        <v>7965</v>
      </c>
      <c r="H186" t="s">
        <v>9471</v>
      </c>
      <c r="I186" t="s">
        <v>1633</v>
      </c>
      <c r="J186" t="s">
        <v>1643</v>
      </c>
      <c r="K186">
        <v>10040</v>
      </c>
      <c r="L186" t="s">
        <v>1670</v>
      </c>
      <c r="M186" t="s">
        <v>1672</v>
      </c>
      <c r="P186" t="s">
        <v>1958</v>
      </c>
      <c r="R186" t="s">
        <v>50</v>
      </c>
      <c r="S186" t="s">
        <v>1671</v>
      </c>
      <c r="U186" t="s">
        <v>1972</v>
      </c>
      <c r="W186" t="s">
        <v>364</v>
      </c>
      <c r="X186">
        <v>1491.4</v>
      </c>
      <c r="Y186" t="s">
        <v>2008</v>
      </c>
      <c r="AB186" t="s">
        <v>13203</v>
      </c>
      <c r="AD186" t="s">
        <v>15805</v>
      </c>
      <c r="AE186">
        <v>80</v>
      </c>
      <c r="AF186" t="s">
        <v>2902</v>
      </c>
      <c r="AG186" t="s">
        <v>1754</v>
      </c>
      <c r="AH186">
        <v>24</v>
      </c>
      <c r="AI186">
        <v>3</v>
      </c>
      <c r="AJ186">
        <v>1</v>
      </c>
      <c r="AK186">
        <v>232.25</v>
      </c>
      <c r="AN186" t="s">
        <v>2927</v>
      </c>
      <c r="AO186">
        <v>59804</v>
      </c>
      <c r="AU186">
        <v>1.3</v>
      </c>
      <c r="AV186" t="s">
        <v>188</v>
      </c>
      <c r="AW186" t="s">
        <v>3042</v>
      </c>
      <c r="AX186" t="s">
        <v>18685</v>
      </c>
    </row>
    <row r="187" spans="1:50">
      <c r="A187" s="1" t="s">
        <v>97</v>
      </c>
      <c r="B187" t="s">
        <v>164</v>
      </c>
      <c r="C187" t="s">
        <v>3397</v>
      </c>
      <c r="D187" t="s">
        <v>194</v>
      </c>
      <c r="E187" t="s">
        <v>306</v>
      </c>
      <c r="F187" t="s">
        <v>6885</v>
      </c>
      <c r="G187" t="s">
        <v>6991</v>
      </c>
      <c r="H187" t="s">
        <v>9472</v>
      </c>
      <c r="I187" t="s">
        <v>10977</v>
      </c>
      <c r="J187" t="s">
        <v>1643</v>
      </c>
      <c r="K187">
        <v>10034</v>
      </c>
      <c r="L187" t="s">
        <v>1670</v>
      </c>
      <c r="M187" t="s">
        <v>1670</v>
      </c>
      <c r="O187" t="s">
        <v>1941</v>
      </c>
      <c r="P187" t="s">
        <v>1962</v>
      </c>
      <c r="Q187" t="s">
        <v>1968</v>
      </c>
      <c r="R187" t="s">
        <v>50</v>
      </c>
      <c r="S187" t="s">
        <v>1671</v>
      </c>
      <c r="U187" t="s">
        <v>1972</v>
      </c>
      <c r="W187" t="s">
        <v>194</v>
      </c>
      <c r="X187">
        <v>1332.21</v>
      </c>
      <c r="Y187" t="s">
        <v>2008</v>
      </c>
      <c r="Z187" t="s">
        <v>2013</v>
      </c>
      <c r="AA187" t="s">
        <v>2030</v>
      </c>
      <c r="AB187" t="s">
        <v>13204</v>
      </c>
      <c r="AE187">
        <v>68</v>
      </c>
      <c r="AF187" t="s">
        <v>2902</v>
      </c>
      <c r="AG187" t="s">
        <v>1754</v>
      </c>
      <c r="AH187" t="s">
        <v>13051</v>
      </c>
      <c r="AI187">
        <v>1</v>
      </c>
      <c r="AJ187">
        <v>0</v>
      </c>
      <c r="AK187">
        <v>232.88</v>
      </c>
      <c r="AL187" t="s">
        <v>340</v>
      </c>
      <c r="AM187" t="s">
        <v>18031</v>
      </c>
      <c r="AN187" t="s">
        <v>2927</v>
      </c>
      <c r="AO187">
        <v>28272</v>
      </c>
      <c r="AU187">
        <v>1.7</v>
      </c>
      <c r="AV187" t="s">
        <v>194</v>
      </c>
      <c r="AW187" t="s">
        <v>3042</v>
      </c>
      <c r="AX187" t="s">
        <v>18685</v>
      </c>
    </row>
    <row r="188" spans="1:50">
      <c r="A188" s="1" t="s">
        <v>63</v>
      </c>
      <c r="B188" t="s">
        <v>163</v>
      </c>
      <c r="C188" t="s">
        <v>3398</v>
      </c>
      <c r="D188" t="s">
        <v>171</v>
      </c>
      <c r="F188" t="s">
        <v>6886</v>
      </c>
      <c r="G188" t="s">
        <v>780</v>
      </c>
      <c r="H188" t="s">
        <v>1376</v>
      </c>
      <c r="I188">
        <v>2</v>
      </c>
      <c r="J188" t="s">
        <v>1641</v>
      </c>
      <c r="K188">
        <v>10456</v>
      </c>
      <c r="L188" t="s">
        <v>1670</v>
      </c>
      <c r="M188" t="s">
        <v>1672</v>
      </c>
      <c r="O188" t="s">
        <v>1940</v>
      </c>
      <c r="P188" t="s">
        <v>1958</v>
      </c>
      <c r="R188" t="s">
        <v>50</v>
      </c>
      <c r="S188" t="s">
        <v>1671</v>
      </c>
      <c r="U188" t="s">
        <v>1972</v>
      </c>
      <c r="V188" t="s">
        <v>1984</v>
      </c>
      <c r="W188" t="s">
        <v>1991</v>
      </c>
      <c r="X188" t="s">
        <v>13051</v>
      </c>
      <c r="Y188" t="s">
        <v>2006</v>
      </c>
      <c r="Z188" t="s">
        <v>2015</v>
      </c>
      <c r="AB188" t="s">
        <v>13205</v>
      </c>
      <c r="AD188" t="s">
        <v>15806</v>
      </c>
      <c r="AE188">
        <v>2</v>
      </c>
      <c r="AF188" t="s">
        <v>2904</v>
      </c>
      <c r="AG188" t="s">
        <v>2917</v>
      </c>
      <c r="AH188">
        <v>7</v>
      </c>
      <c r="AI188">
        <v>3</v>
      </c>
      <c r="AJ188">
        <v>1</v>
      </c>
      <c r="AK188">
        <v>232.96</v>
      </c>
      <c r="AN188" t="s">
        <v>2926</v>
      </c>
      <c r="AO188">
        <v>59988</v>
      </c>
      <c r="AU188">
        <v>0.1</v>
      </c>
      <c r="AV188" t="s">
        <v>171</v>
      </c>
      <c r="AW188" t="s">
        <v>3046</v>
      </c>
      <c r="AX188" t="s">
        <v>18685</v>
      </c>
    </row>
    <row r="189" spans="1:50">
      <c r="A189" s="1" t="s">
        <v>120</v>
      </c>
      <c r="B189" t="s">
        <v>164</v>
      </c>
      <c r="C189" t="s">
        <v>3399</v>
      </c>
      <c r="D189" t="s">
        <v>345</v>
      </c>
      <c r="E189" t="s">
        <v>365</v>
      </c>
      <c r="F189" t="s">
        <v>6887</v>
      </c>
      <c r="G189" t="s">
        <v>945</v>
      </c>
      <c r="H189" t="s">
        <v>9473</v>
      </c>
      <c r="I189" t="s">
        <v>1554</v>
      </c>
      <c r="J189" t="s">
        <v>1644</v>
      </c>
      <c r="K189">
        <v>11212</v>
      </c>
      <c r="L189" t="s">
        <v>1670</v>
      </c>
      <c r="M189" t="s">
        <v>1670</v>
      </c>
      <c r="N189" t="s">
        <v>11880</v>
      </c>
      <c r="O189" t="s">
        <v>1936</v>
      </c>
      <c r="P189" t="s">
        <v>1959</v>
      </c>
      <c r="Q189" t="s">
        <v>1970</v>
      </c>
      <c r="R189" t="s">
        <v>50</v>
      </c>
      <c r="S189" t="s">
        <v>1671</v>
      </c>
      <c r="U189" t="s">
        <v>1974</v>
      </c>
      <c r="V189" t="s">
        <v>1985</v>
      </c>
      <c r="W189" t="s">
        <v>358</v>
      </c>
      <c r="X189" t="s">
        <v>13051</v>
      </c>
      <c r="Y189" t="s">
        <v>2009</v>
      </c>
      <c r="Z189" t="s">
        <v>2021</v>
      </c>
      <c r="AA189" t="s">
        <v>2039</v>
      </c>
      <c r="AB189" t="s">
        <v>13206</v>
      </c>
      <c r="AC189" t="s">
        <v>1754</v>
      </c>
      <c r="AD189" t="s">
        <v>15807</v>
      </c>
      <c r="AE189">
        <v>72</v>
      </c>
      <c r="AF189" t="s">
        <v>2902</v>
      </c>
      <c r="AG189" t="s">
        <v>2017</v>
      </c>
      <c r="AH189">
        <v>3</v>
      </c>
      <c r="AI189">
        <v>1</v>
      </c>
      <c r="AJ189">
        <v>1</v>
      </c>
      <c r="AK189">
        <v>233.07</v>
      </c>
      <c r="AN189" t="s">
        <v>2926</v>
      </c>
      <c r="AO189">
        <v>38364</v>
      </c>
      <c r="AP189" t="s">
        <v>18089</v>
      </c>
      <c r="AU189">
        <v>10.25</v>
      </c>
      <c r="AV189" t="s">
        <v>365</v>
      </c>
      <c r="AW189" t="s">
        <v>3060</v>
      </c>
    </row>
    <row r="190" spans="1:50">
      <c r="A190" s="1" t="s">
        <v>74</v>
      </c>
      <c r="B190" t="s">
        <v>164</v>
      </c>
      <c r="C190" t="s">
        <v>3400</v>
      </c>
      <c r="D190" t="s">
        <v>323</v>
      </c>
      <c r="E190" t="s">
        <v>359</v>
      </c>
      <c r="F190" t="s">
        <v>6888</v>
      </c>
      <c r="G190" t="s">
        <v>7966</v>
      </c>
      <c r="H190" t="s">
        <v>9474</v>
      </c>
      <c r="I190">
        <v>15</v>
      </c>
      <c r="J190" t="s">
        <v>1641</v>
      </c>
      <c r="K190">
        <v>10460</v>
      </c>
      <c r="L190" t="s">
        <v>1670</v>
      </c>
      <c r="M190" t="s">
        <v>1672</v>
      </c>
      <c r="N190" t="s">
        <v>11881</v>
      </c>
      <c r="O190" t="s">
        <v>1936</v>
      </c>
      <c r="P190" t="s">
        <v>1960</v>
      </c>
      <c r="Q190" t="s">
        <v>1969</v>
      </c>
      <c r="R190" t="s">
        <v>50</v>
      </c>
      <c r="S190" t="s">
        <v>1671</v>
      </c>
      <c r="U190" t="s">
        <v>1972</v>
      </c>
      <c r="V190" t="s">
        <v>1984</v>
      </c>
      <c r="W190" t="s">
        <v>1991</v>
      </c>
      <c r="X190">
        <v>1007</v>
      </c>
      <c r="Y190" t="s">
        <v>2006</v>
      </c>
      <c r="Z190" t="s">
        <v>2011</v>
      </c>
      <c r="AA190" t="s">
        <v>2032</v>
      </c>
      <c r="AB190" t="s">
        <v>13207</v>
      </c>
      <c r="AD190" t="s">
        <v>15808</v>
      </c>
      <c r="AE190">
        <v>30</v>
      </c>
      <c r="AF190" t="s">
        <v>2902</v>
      </c>
      <c r="AG190" t="s">
        <v>1754</v>
      </c>
      <c r="AH190">
        <v>18</v>
      </c>
      <c r="AI190">
        <v>1</v>
      </c>
      <c r="AJ190">
        <v>1</v>
      </c>
      <c r="AK190">
        <v>233.29</v>
      </c>
      <c r="AN190" t="s">
        <v>2926</v>
      </c>
      <c r="AO190">
        <v>38400</v>
      </c>
      <c r="AP190" t="s">
        <v>18090</v>
      </c>
      <c r="AS190" t="s">
        <v>2992</v>
      </c>
      <c r="AT190" t="s">
        <v>18502</v>
      </c>
      <c r="AU190">
        <v>4.5</v>
      </c>
      <c r="AV190" t="s">
        <v>383</v>
      </c>
      <c r="AW190" t="s">
        <v>3047</v>
      </c>
      <c r="AX190" t="s">
        <v>18685</v>
      </c>
    </row>
    <row r="191" spans="1:50">
      <c r="A191" s="1" t="s">
        <v>152</v>
      </c>
      <c r="B191" t="s">
        <v>163</v>
      </c>
      <c r="C191" t="s">
        <v>3401</v>
      </c>
      <c r="D191" t="s">
        <v>216</v>
      </c>
      <c r="F191" t="s">
        <v>6889</v>
      </c>
      <c r="G191" t="s">
        <v>7967</v>
      </c>
      <c r="H191" t="s">
        <v>1199</v>
      </c>
      <c r="I191">
        <v>402</v>
      </c>
      <c r="J191" t="s">
        <v>1643</v>
      </c>
      <c r="K191">
        <v>10029</v>
      </c>
      <c r="L191" t="s">
        <v>1670</v>
      </c>
      <c r="M191" t="s">
        <v>1670</v>
      </c>
      <c r="N191" t="s">
        <v>11882</v>
      </c>
      <c r="O191" t="s">
        <v>1936</v>
      </c>
      <c r="P191" t="s">
        <v>1960</v>
      </c>
      <c r="R191" t="s">
        <v>50</v>
      </c>
      <c r="S191" t="s">
        <v>1671</v>
      </c>
      <c r="U191" t="s">
        <v>1972</v>
      </c>
      <c r="W191" t="s">
        <v>216</v>
      </c>
      <c r="X191" t="s">
        <v>13051</v>
      </c>
      <c r="Y191" t="s">
        <v>2008</v>
      </c>
      <c r="Z191" t="s">
        <v>2016</v>
      </c>
      <c r="AB191" t="s">
        <v>13208</v>
      </c>
      <c r="AE191">
        <v>108</v>
      </c>
      <c r="AF191" t="s">
        <v>2909</v>
      </c>
      <c r="AG191" t="s">
        <v>2915</v>
      </c>
      <c r="AH191">
        <v>4</v>
      </c>
      <c r="AI191">
        <v>1</v>
      </c>
      <c r="AJ191">
        <v>1</v>
      </c>
      <c r="AK191">
        <v>233.29</v>
      </c>
      <c r="AL191" t="s">
        <v>340</v>
      </c>
      <c r="AM191" t="s">
        <v>18031</v>
      </c>
      <c r="AN191" t="s">
        <v>2926</v>
      </c>
      <c r="AO191">
        <v>38400</v>
      </c>
      <c r="AU191">
        <v>5.55</v>
      </c>
      <c r="AV191" t="s">
        <v>230</v>
      </c>
      <c r="AW191" t="s">
        <v>3051</v>
      </c>
    </row>
    <row r="192" spans="1:50">
      <c r="A192" s="1" t="s">
        <v>79</v>
      </c>
      <c r="B192" t="s">
        <v>163</v>
      </c>
      <c r="C192" t="s">
        <v>3402</v>
      </c>
      <c r="D192" t="s">
        <v>6137</v>
      </c>
      <c r="F192" t="s">
        <v>6890</v>
      </c>
      <c r="G192" t="s">
        <v>802</v>
      </c>
      <c r="H192" t="s">
        <v>1140</v>
      </c>
      <c r="I192" t="s">
        <v>10957</v>
      </c>
      <c r="J192" t="s">
        <v>1644</v>
      </c>
      <c r="K192">
        <v>11233</v>
      </c>
      <c r="L192" t="s">
        <v>1670</v>
      </c>
      <c r="M192" t="s">
        <v>1670</v>
      </c>
      <c r="N192" t="s">
        <v>11883</v>
      </c>
      <c r="O192" t="s">
        <v>1940</v>
      </c>
      <c r="P192" t="s">
        <v>1960</v>
      </c>
      <c r="R192" t="s">
        <v>50</v>
      </c>
      <c r="S192" t="s">
        <v>1670</v>
      </c>
      <c r="U192" t="s">
        <v>1972</v>
      </c>
      <c r="V192" t="s">
        <v>1984</v>
      </c>
      <c r="W192" t="s">
        <v>6191</v>
      </c>
      <c r="X192">
        <v>1328</v>
      </c>
      <c r="Y192" t="s">
        <v>2009</v>
      </c>
      <c r="Z192" t="s">
        <v>2011</v>
      </c>
      <c r="AA192" t="s">
        <v>2032</v>
      </c>
      <c r="AB192" t="s">
        <v>13209</v>
      </c>
      <c r="AD192" t="s">
        <v>15809</v>
      </c>
      <c r="AE192">
        <v>6</v>
      </c>
      <c r="AF192" t="s">
        <v>2902</v>
      </c>
      <c r="AG192" t="s">
        <v>1754</v>
      </c>
      <c r="AH192">
        <v>5</v>
      </c>
      <c r="AI192">
        <v>1</v>
      </c>
      <c r="AJ192">
        <v>0</v>
      </c>
      <c r="AK192">
        <v>234.3</v>
      </c>
      <c r="AN192" t="s">
        <v>2926</v>
      </c>
      <c r="AO192">
        <v>28444</v>
      </c>
      <c r="AU192">
        <v>7.3</v>
      </c>
      <c r="AV192" t="s">
        <v>330</v>
      </c>
      <c r="AW192" t="s">
        <v>3060</v>
      </c>
    </row>
    <row r="193" spans="1:50">
      <c r="A193" s="1" t="s">
        <v>122</v>
      </c>
      <c r="B193" t="s">
        <v>164</v>
      </c>
      <c r="C193" t="s">
        <v>3403</v>
      </c>
      <c r="D193" t="s">
        <v>301</v>
      </c>
      <c r="E193" t="s">
        <v>326</v>
      </c>
      <c r="F193" t="s">
        <v>6891</v>
      </c>
      <c r="G193" t="s">
        <v>7968</v>
      </c>
      <c r="H193" t="s">
        <v>9475</v>
      </c>
      <c r="I193">
        <v>19</v>
      </c>
      <c r="J193" t="s">
        <v>1641</v>
      </c>
      <c r="K193">
        <v>10454</v>
      </c>
      <c r="L193" t="s">
        <v>1670</v>
      </c>
      <c r="M193" t="s">
        <v>1670</v>
      </c>
      <c r="P193" t="s">
        <v>1958</v>
      </c>
      <c r="Q193" t="s">
        <v>1965</v>
      </c>
      <c r="R193" t="s">
        <v>50</v>
      </c>
      <c r="S193" t="s">
        <v>1671</v>
      </c>
      <c r="U193" t="s">
        <v>1972</v>
      </c>
      <c r="W193" t="s">
        <v>301</v>
      </c>
      <c r="X193">
        <v>1700</v>
      </c>
      <c r="Y193" t="s">
        <v>2006</v>
      </c>
      <c r="Z193" t="s">
        <v>2015</v>
      </c>
      <c r="AA193" t="s">
        <v>2029</v>
      </c>
      <c r="AB193" t="s">
        <v>13210</v>
      </c>
      <c r="AD193" t="s">
        <v>15810</v>
      </c>
      <c r="AE193" t="s">
        <v>13051</v>
      </c>
      <c r="AF193" t="s">
        <v>2902</v>
      </c>
      <c r="AG193" t="s">
        <v>1754</v>
      </c>
      <c r="AH193">
        <v>1</v>
      </c>
      <c r="AI193">
        <v>3</v>
      </c>
      <c r="AJ193">
        <v>0</v>
      </c>
      <c r="AK193">
        <v>234.41</v>
      </c>
      <c r="AN193" t="s">
        <v>2927</v>
      </c>
      <c r="AO193">
        <v>50000</v>
      </c>
      <c r="AU193">
        <v>0.5</v>
      </c>
      <c r="AV193" t="s">
        <v>301</v>
      </c>
      <c r="AW193" t="s">
        <v>122</v>
      </c>
    </row>
    <row r="194" spans="1:50">
      <c r="A194" s="1" t="s">
        <v>88</v>
      </c>
      <c r="B194" t="s">
        <v>164</v>
      </c>
      <c r="C194" t="s">
        <v>3404</v>
      </c>
      <c r="D194" t="s">
        <v>275</v>
      </c>
      <c r="E194" t="s">
        <v>268</v>
      </c>
      <c r="F194" t="s">
        <v>6892</v>
      </c>
      <c r="G194" t="s">
        <v>7969</v>
      </c>
      <c r="H194" t="s">
        <v>9476</v>
      </c>
      <c r="I194" t="s">
        <v>1626</v>
      </c>
      <c r="J194" t="s">
        <v>1644</v>
      </c>
      <c r="K194">
        <v>11208</v>
      </c>
      <c r="L194" t="s">
        <v>1670</v>
      </c>
      <c r="M194" t="s">
        <v>1671</v>
      </c>
      <c r="N194" t="s">
        <v>11884</v>
      </c>
      <c r="O194" t="s">
        <v>1940</v>
      </c>
      <c r="P194" t="s">
        <v>1962</v>
      </c>
      <c r="Q194" t="s">
        <v>1966</v>
      </c>
      <c r="R194" t="s">
        <v>50</v>
      </c>
      <c r="S194" t="s">
        <v>1671</v>
      </c>
      <c r="U194" t="s">
        <v>1972</v>
      </c>
      <c r="V194" t="s">
        <v>1984</v>
      </c>
      <c r="W194" t="s">
        <v>328</v>
      </c>
      <c r="X194">
        <v>1600</v>
      </c>
      <c r="Y194" t="s">
        <v>2009</v>
      </c>
      <c r="AA194" t="s">
        <v>2029</v>
      </c>
      <c r="AB194" t="s">
        <v>13211</v>
      </c>
      <c r="AD194" t="s">
        <v>15811</v>
      </c>
      <c r="AE194">
        <v>2</v>
      </c>
      <c r="AF194" t="s">
        <v>2903</v>
      </c>
      <c r="AG194" t="s">
        <v>1754</v>
      </c>
      <c r="AH194">
        <v>11</v>
      </c>
      <c r="AI194">
        <v>2</v>
      </c>
      <c r="AJ194">
        <v>1</v>
      </c>
      <c r="AK194">
        <v>234.41</v>
      </c>
      <c r="AN194" t="s">
        <v>2926</v>
      </c>
      <c r="AO194">
        <v>50000</v>
      </c>
      <c r="AP194" t="s">
        <v>18091</v>
      </c>
      <c r="AU194">
        <v>2</v>
      </c>
      <c r="AV194" t="s">
        <v>364</v>
      </c>
      <c r="AW194" t="s">
        <v>3060</v>
      </c>
      <c r="AX194" t="s">
        <v>18685</v>
      </c>
    </row>
    <row r="195" spans="1:50">
      <c r="A195" s="1" t="s">
        <v>129</v>
      </c>
      <c r="B195" t="s">
        <v>163</v>
      </c>
      <c r="C195" t="s">
        <v>3405</v>
      </c>
      <c r="D195" t="s">
        <v>326</v>
      </c>
      <c r="F195" t="s">
        <v>6893</v>
      </c>
      <c r="G195" t="s">
        <v>7970</v>
      </c>
      <c r="H195" t="s">
        <v>1248</v>
      </c>
      <c r="I195" t="s">
        <v>1534</v>
      </c>
      <c r="J195" t="s">
        <v>1644</v>
      </c>
      <c r="K195">
        <v>11213</v>
      </c>
      <c r="L195" t="s">
        <v>1670</v>
      </c>
      <c r="M195" t="s">
        <v>1670</v>
      </c>
      <c r="O195" t="s">
        <v>1946</v>
      </c>
      <c r="P195" t="s">
        <v>1964</v>
      </c>
      <c r="R195" t="s">
        <v>50</v>
      </c>
      <c r="S195" t="s">
        <v>1670</v>
      </c>
      <c r="U195" t="s">
        <v>1978</v>
      </c>
      <c r="W195" t="s">
        <v>326</v>
      </c>
      <c r="X195">
        <v>693</v>
      </c>
      <c r="Y195" t="s">
        <v>2009</v>
      </c>
      <c r="Z195" t="s">
        <v>2027</v>
      </c>
      <c r="AB195" t="s">
        <v>13212</v>
      </c>
      <c r="AD195" t="s">
        <v>15812</v>
      </c>
      <c r="AE195">
        <v>19</v>
      </c>
      <c r="AF195" t="s">
        <v>2902</v>
      </c>
      <c r="AG195" t="s">
        <v>1754</v>
      </c>
      <c r="AH195">
        <v>20</v>
      </c>
      <c r="AI195">
        <v>2</v>
      </c>
      <c r="AJ195">
        <v>1</v>
      </c>
      <c r="AK195">
        <v>234.41</v>
      </c>
      <c r="AN195" t="s">
        <v>2926</v>
      </c>
      <c r="AO195">
        <v>50000</v>
      </c>
      <c r="AU195">
        <v>1.8</v>
      </c>
      <c r="AV195" t="s">
        <v>188</v>
      </c>
      <c r="AW195" t="s">
        <v>3059</v>
      </c>
    </row>
    <row r="196" spans="1:50">
      <c r="A196" s="1" t="s">
        <v>129</v>
      </c>
      <c r="B196" t="s">
        <v>163</v>
      </c>
      <c r="C196" t="s">
        <v>3406</v>
      </c>
      <c r="D196" t="s">
        <v>328</v>
      </c>
      <c r="F196" t="s">
        <v>6893</v>
      </c>
      <c r="G196" t="s">
        <v>7970</v>
      </c>
      <c r="H196" t="s">
        <v>1248</v>
      </c>
      <c r="I196" t="s">
        <v>1534</v>
      </c>
      <c r="J196" t="s">
        <v>1644</v>
      </c>
      <c r="K196">
        <v>11213</v>
      </c>
      <c r="L196" t="s">
        <v>1670</v>
      </c>
      <c r="M196" t="s">
        <v>1672</v>
      </c>
      <c r="N196" t="s">
        <v>1890</v>
      </c>
      <c r="O196" t="s">
        <v>1936</v>
      </c>
      <c r="P196" t="s">
        <v>1960</v>
      </c>
      <c r="R196" t="s">
        <v>50</v>
      </c>
      <c r="U196" t="s">
        <v>1972</v>
      </c>
      <c r="V196" t="s">
        <v>1984</v>
      </c>
      <c r="W196" t="s">
        <v>275</v>
      </c>
      <c r="X196">
        <v>693</v>
      </c>
      <c r="Y196" t="s">
        <v>2009</v>
      </c>
      <c r="Z196" t="s">
        <v>2027</v>
      </c>
      <c r="AB196" t="s">
        <v>13212</v>
      </c>
      <c r="AD196" t="s">
        <v>15812</v>
      </c>
      <c r="AE196">
        <v>19</v>
      </c>
      <c r="AF196" t="s">
        <v>2902</v>
      </c>
      <c r="AG196" t="s">
        <v>1754</v>
      </c>
      <c r="AH196">
        <v>20</v>
      </c>
      <c r="AI196">
        <v>2</v>
      </c>
      <c r="AJ196">
        <v>1</v>
      </c>
      <c r="AK196">
        <v>234.41</v>
      </c>
      <c r="AL196" t="s">
        <v>399</v>
      </c>
      <c r="AM196" t="s">
        <v>18031</v>
      </c>
      <c r="AN196" t="s">
        <v>2926</v>
      </c>
      <c r="AO196">
        <v>50000</v>
      </c>
      <c r="AP196" t="s">
        <v>18092</v>
      </c>
      <c r="AU196">
        <v>8.550000000000001</v>
      </c>
      <c r="AV196" t="s">
        <v>3034</v>
      </c>
      <c r="AW196" t="s">
        <v>3060</v>
      </c>
      <c r="AX196" t="s">
        <v>18685</v>
      </c>
    </row>
    <row r="197" spans="1:50">
      <c r="A197" s="1" t="s">
        <v>3153</v>
      </c>
      <c r="B197" t="s">
        <v>163</v>
      </c>
      <c r="C197" t="s">
        <v>3407</v>
      </c>
      <c r="D197" t="s">
        <v>220</v>
      </c>
      <c r="F197" t="s">
        <v>6894</v>
      </c>
      <c r="G197" t="s">
        <v>7971</v>
      </c>
      <c r="H197" t="s">
        <v>9477</v>
      </c>
      <c r="I197" t="s">
        <v>1520</v>
      </c>
      <c r="J197" t="s">
        <v>1644</v>
      </c>
      <c r="K197">
        <v>11207</v>
      </c>
      <c r="L197" t="s">
        <v>1670</v>
      </c>
      <c r="M197" t="s">
        <v>1672</v>
      </c>
      <c r="O197" t="s">
        <v>1675</v>
      </c>
      <c r="P197" t="s">
        <v>1958</v>
      </c>
      <c r="R197" t="s">
        <v>50</v>
      </c>
      <c r="U197" t="s">
        <v>1975</v>
      </c>
      <c r="W197" t="s">
        <v>328</v>
      </c>
      <c r="X197">
        <v>1475</v>
      </c>
      <c r="Y197" t="s">
        <v>2009</v>
      </c>
      <c r="AB197" t="s">
        <v>13213</v>
      </c>
      <c r="AE197" t="s">
        <v>13051</v>
      </c>
      <c r="AF197" t="s">
        <v>2902</v>
      </c>
      <c r="AH197" t="s">
        <v>13051</v>
      </c>
      <c r="AI197">
        <v>1</v>
      </c>
      <c r="AJ197">
        <v>2</v>
      </c>
      <c r="AK197">
        <v>234.41</v>
      </c>
      <c r="AN197" t="s">
        <v>2926</v>
      </c>
      <c r="AO197">
        <v>50000</v>
      </c>
      <c r="AU197">
        <v>1.5</v>
      </c>
      <c r="AV197" t="s">
        <v>328</v>
      </c>
      <c r="AW197" t="s">
        <v>3068</v>
      </c>
      <c r="AX197" t="s">
        <v>18685</v>
      </c>
    </row>
    <row r="198" spans="1:50">
      <c r="A198" s="1" t="s">
        <v>156</v>
      </c>
      <c r="B198" t="s">
        <v>164</v>
      </c>
      <c r="C198" t="s">
        <v>3408</v>
      </c>
      <c r="D198" t="s">
        <v>360</v>
      </c>
      <c r="E198" t="s">
        <v>200</v>
      </c>
      <c r="F198" t="s">
        <v>6782</v>
      </c>
      <c r="G198" t="s">
        <v>7972</v>
      </c>
      <c r="H198" t="s">
        <v>9478</v>
      </c>
      <c r="I198" t="s">
        <v>1558</v>
      </c>
      <c r="J198" t="s">
        <v>1644</v>
      </c>
      <c r="K198">
        <v>11212</v>
      </c>
      <c r="L198" t="s">
        <v>1670</v>
      </c>
      <c r="M198" t="s">
        <v>1670</v>
      </c>
      <c r="N198" t="s">
        <v>11885</v>
      </c>
      <c r="O198" t="s">
        <v>1940</v>
      </c>
      <c r="P198" t="s">
        <v>1962</v>
      </c>
      <c r="Q198" t="s">
        <v>1968</v>
      </c>
      <c r="R198" t="s">
        <v>50</v>
      </c>
      <c r="S198" t="s">
        <v>1671</v>
      </c>
      <c r="U198" t="s">
        <v>1972</v>
      </c>
      <c r="V198" t="s">
        <v>1984</v>
      </c>
      <c r="W198" t="s">
        <v>360</v>
      </c>
      <c r="X198">
        <v>840</v>
      </c>
      <c r="Y198" t="s">
        <v>2009</v>
      </c>
      <c r="Z198" t="s">
        <v>2013</v>
      </c>
      <c r="AA198" t="s">
        <v>2029</v>
      </c>
      <c r="AB198" t="s">
        <v>13214</v>
      </c>
      <c r="AD198" t="s">
        <v>15813</v>
      </c>
      <c r="AE198">
        <v>71</v>
      </c>
      <c r="AF198" t="s">
        <v>2902</v>
      </c>
      <c r="AG198" t="s">
        <v>1754</v>
      </c>
      <c r="AH198">
        <v>3</v>
      </c>
      <c r="AI198">
        <v>1</v>
      </c>
      <c r="AJ198">
        <v>0</v>
      </c>
      <c r="AK198">
        <v>235.58</v>
      </c>
      <c r="AL198" t="s">
        <v>172</v>
      </c>
      <c r="AM198" t="s">
        <v>18031</v>
      </c>
      <c r="AN198" t="s">
        <v>2926</v>
      </c>
      <c r="AO198">
        <v>28600</v>
      </c>
      <c r="AU198">
        <v>1.8</v>
      </c>
      <c r="AV198" t="s">
        <v>200</v>
      </c>
      <c r="AW198" t="s">
        <v>3060</v>
      </c>
    </row>
    <row r="199" spans="1:50">
      <c r="A199" s="1" t="s">
        <v>101</v>
      </c>
      <c r="B199" t="s">
        <v>163</v>
      </c>
      <c r="C199" t="s">
        <v>3409</v>
      </c>
      <c r="D199" t="s">
        <v>246</v>
      </c>
      <c r="F199" t="s">
        <v>6895</v>
      </c>
      <c r="G199" t="s">
        <v>7967</v>
      </c>
      <c r="H199" t="s">
        <v>9440</v>
      </c>
      <c r="I199">
        <v>62</v>
      </c>
      <c r="J199" t="s">
        <v>1643</v>
      </c>
      <c r="K199">
        <v>10039</v>
      </c>
      <c r="L199" t="s">
        <v>1670</v>
      </c>
      <c r="M199" t="s">
        <v>1670</v>
      </c>
      <c r="N199" t="s">
        <v>11886</v>
      </c>
      <c r="O199" t="s">
        <v>1939</v>
      </c>
      <c r="P199" t="s">
        <v>1960</v>
      </c>
      <c r="R199" t="s">
        <v>50</v>
      </c>
      <c r="S199" t="s">
        <v>1670</v>
      </c>
      <c r="U199" t="s">
        <v>1972</v>
      </c>
      <c r="V199" t="s">
        <v>1984</v>
      </c>
      <c r="W199" t="s">
        <v>246</v>
      </c>
      <c r="X199">
        <v>235</v>
      </c>
      <c r="Y199" t="s">
        <v>2008</v>
      </c>
      <c r="Z199" t="s">
        <v>2016</v>
      </c>
      <c r="AB199" t="s">
        <v>13215</v>
      </c>
      <c r="AD199" t="s">
        <v>15814</v>
      </c>
      <c r="AE199">
        <v>24</v>
      </c>
      <c r="AF199" t="s">
        <v>2908</v>
      </c>
      <c r="AG199" t="s">
        <v>1754</v>
      </c>
      <c r="AH199">
        <v>49</v>
      </c>
      <c r="AI199">
        <v>1</v>
      </c>
      <c r="AJ199">
        <v>0</v>
      </c>
      <c r="AK199">
        <v>235.58</v>
      </c>
      <c r="AN199" t="s">
        <v>2926</v>
      </c>
      <c r="AO199">
        <v>28600</v>
      </c>
      <c r="AU199" t="s">
        <v>13051</v>
      </c>
      <c r="AW199" t="s">
        <v>3051</v>
      </c>
    </row>
    <row r="200" spans="1:50">
      <c r="A200" s="1" t="s">
        <v>103</v>
      </c>
      <c r="B200" t="s">
        <v>163</v>
      </c>
      <c r="C200" t="s">
        <v>3410</v>
      </c>
      <c r="D200" t="s">
        <v>6138</v>
      </c>
      <c r="F200" t="s">
        <v>6896</v>
      </c>
      <c r="G200" t="s">
        <v>7973</v>
      </c>
      <c r="H200" t="s">
        <v>9479</v>
      </c>
      <c r="I200" t="s">
        <v>10978</v>
      </c>
      <c r="J200" t="s">
        <v>1644</v>
      </c>
      <c r="K200">
        <v>11208</v>
      </c>
      <c r="L200" t="s">
        <v>1670</v>
      </c>
      <c r="M200" t="s">
        <v>1670</v>
      </c>
      <c r="N200" t="s">
        <v>11887</v>
      </c>
      <c r="O200" t="s">
        <v>1936</v>
      </c>
      <c r="P200" t="s">
        <v>1960</v>
      </c>
      <c r="R200" t="s">
        <v>50</v>
      </c>
      <c r="S200" t="s">
        <v>1671</v>
      </c>
      <c r="U200" t="s">
        <v>1972</v>
      </c>
      <c r="W200" t="s">
        <v>6138</v>
      </c>
      <c r="X200">
        <v>1600</v>
      </c>
      <c r="Y200" t="s">
        <v>2009</v>
      </c>
      <c r="Z200" t="s">
        <v>2017</v>
      </c>
      <c r="AB200" t="s">
        <v>13216</v>
      </c>
      <c r="AD200" t="s">
        <v>15815</v>
      </c>
      <c r="AE200">
        <v>7</v>
      </c>
      <c r="AF200" t="s">
        <v>2902</v>
      </c>
      <c r="AG200" t="s">
        <v>2915</v>
      </c>
      <c r="AH200">
        <v>15</v>
      </c>
      <c r="AI200">
        <v>2</v>
      </c>
      <c r="AJ200">
        <v>1</v>
      </c>
      <c r="AK200">
        <v>235.8</v>
      </c>
      <c r="AL200" t="s">
        <v>190</v>
      </c>
      <c r="AM200" t="s">
        <v>18031</v>
      </c>
      <c r="AN200" t="s">
        <v>2926</v>
      </c>
      <c r="AO200">
        <v>49000</v>
      </c>
      <c r="AU200">
        <v>59.9</v>
      </c>
      <c r="AV200" t="s">
        <v>405</v>
      </c>
      <c r="AW200" t="s">
        <v>3052</v>
      </c>
    </row>
    <row r="201" spans="1:50">
      <c r="A201" s="1" t="s">
        <v>127</v>
      </c>
      <c r="B201" t="s">
        <v>164</v>
      </c>
      <c r="C201" t="s">
        <v>3411</v>
      </c>
      <c r="D201" t="s">
        <v>271</v>
      </c>
      <c r="E201" t="s">
        <v>271</v>
      </c>
      <c r="F201" t="s">
        <v>6897</v>
      </c>
      <c r="G201" t="s">
        <v>7974</v>
      </c>
      <c r="H201" t="s">
        <v>9480</v>
      </c>
      <c r="J201" t="s">
        <v>1644</v>
      </c>
      <c r="K201">
        <v>11225</v>
      </c>
      <c r="L201" t="s">
        <v>1670</v>
      </c>
      <c r="M201" t="s">
        <v>1670</v>
      </c>
      <c r="O201" t="s">
        <v>1940</v>
      </c>
      <c r="P201" t="s">
        <v>1962</v>
      </c>
      <c r="Q201" t="s">
        <v>1968</v>
      </c>
      <c r="R201" t="s">
        <v>50</v>
      </c>
      <c r="S201" t="s">
        <v>1671</v>
      </c>
      <c r="U201" t="s">
        <v>1972</v>
      </c>
      <c r="V201" t="s">
        <v>1984</v>
      </c>
      <c r="W201" t="s">
        <v>271</v>
      </c>
      <c r="X201">
        <v>800</v>
      </c>
      <c r="Y201" t="s">
        <v>2009</v>
      </c>
      <c r="Z201" t="s">
        <v>2015</v>
      </c>
      <c r="AA201" t="s">
        <v>2038</v>
      </c>
      <c r="AB201" t="s">
        <v>13217</v>
      </c>
      <c r="AD201" t="s">
        <v>15816</v>
      </c>
      <c r="AE201">
        <v>2</v>
      </c>
      <c r="AF201" t="s">
        <v>2903</v>
      </c>
      <c r="AH201">
        <v>30</v>
      </c>
      <c r="AI201">
        <v>4</v>
      </c>
      <c r="AJ201">
        <v>0</v>
      </c>
      <c r="AK201">
        <v>235.86</v>
      </c>
      <c r="AN201" t="s">
        <v>2926</v>
      </c>
      <c r="AO201">
        <v>59200</v>
      </c>
      <c r="AU201">
        <v>0.2</v>
      </c>
      <c r="AV201" t="s">
        <v>271</v>
      </c>
      <c r="AW201" t="s">
        <v>127</v>
      </c>
    </row>
    <row r="202" spans="1:50">
      <c r="A202" s="1" t="s">
        <v>65</v>
      </c>
      <c r="B202" t="s">
        <v>163</v>
      </c>
      <c r="C202" t="s">
        <v>3412</v>
      </c>
      <c r="D202" t="s">
        <v>349</v>
      </c>
      <c r="F202" t="s">
        <v>6898</v>
      </c>
      <c r="G202" t="s">
        <v>811</v>
      </c>
      <c r="H202" t="s">
        <v>9481</v>
      </c>
      <c r="I202" t="s">
        <v>1584</v>
      </c>
      <c r="J202" t="s">
        <v>1644</v>
      </c>
      <c r="K202">
        <v>11226</v>
      </c>
      <c r="L202" t="s">
        <v>1670</v>
      </c>
      <c r="M202" t="s">
        <v>1670</v>
      </c>
      <c r="N202" t="s">
        <v>11888</v>
      </c>
      <c r="O202" t="s">
        <v>1936</v>
      </c>
      <c r="P202" t="s">
        <v>1960</v>
      </c>
      <c r="R202" t="s">
        <v>50</v>
      </c>
      <c r="U202" t="s">
        <v>1972</v>
      </c>
      <c r="W202" t="s">
        <v>252</v>
      </c>
      <c r="X202" t="s">
        <v>13051</v>
      </c>
      <c r="Y202" t="s">
        <v>2009</v>
      </c>
      <c r="AB202" t="s">
        <v>13218</v>
      </c>
      <c r="AD202" t="s">
        <v>15817</v>
      </c>
      <c r="AE202">
        <v>61</v>
      </c>
      <c r="AH202" t="s">
        <v>13051</v>
      </c>
      <c r="AI202">
        <v>1</v>
      </c>
      <c r="AJ202">
        <v>0</v>
      </c>
      <c r="AK202">
        <v>235.95</v>
      </c>
      <c r="AL202" t="s">
        <v>271</v>
      </c>
      <c r="AM202" t="s">
        <v>18031</v>
      </c>
      <c r="AN202" t="s">
        <v>2926</v>
      </c>
      <c r="AO202">
        <v>28644</v>
      </c>
      <c r="AU202">
        <v>64.75</v>
      </c>
      <c r="AV202" t="s">
        <v>237</v>
      </c>
      <c r="AW202" t="s">
        <v>69</v>
      </c>
    </row>
    <row r="203" spans="1:50">
      <c r="A203" s="1" t="s">
        <v>82</v>
      </c>
      <c r="B203" t="s">
        <v>163</v>
      </c>
      <c r="C203" t="s">
        <v>3413</v>
      </c>
      <c r="D203" t="s">
        <v>269</v>
      </c>
      <c r="F203" t="s">
        <v>658</v>
      </c>
      <c r="G203" t="s">
        <v>614</v>
      </c>
      <c r="H203" t="s">
        <v>9420</v>
      </c>
      <c r="I203" t="s">
        <v>10979</v>
      </c>
      <c r="J203" t="s">
        <v>1644</v>
      </c>
      <c r="K203">
        <v>11233</v>
      </c>
      <c r="L203" t="s">
        <v>1670</v>
      </c>
      <c r="M203" t="s">
        <v>1671</v>
      </c>
      <c r="N203" t="s">
        <v>1754</v>
      </c>
      <c r="O203" t="s">
        <v>1937</v>
      </c>
      <c r="P203" t="s">
        <v>1962</v>
      </c>
      <c r="R203" t="s">
        <v>50</v>
      </c>
      <c r="S203" t="s">
        <v>1670</v>
      </c>
      <c r="U203" t="s">
        <v>1972</v>
      </c>
      <c r="V203" t="s">
        <v>1984</v>
      </c>
      <c r="W203" t="s">
        <v>221</v>
      </c>
      <c r="X203">
        <v>1225.26</v>
      </c>
      <c r="Y203" t="s">
        <v>2009</v>
      </c>
      <c r="Z203" t="s">
        <v>2025</v>
      </c>
      <c r="AB203" t="s">
        <v>13219</v>
      </c>
      <c r="AC203" t="s">
        <v>1754</v>
      </c>
      <c r="AE203">
        <v>359</v>
      </c>
      <c r="AF203" t="s">
        <v>2902</v>
      </c>
      <c r="AG203" t="s">
        <v>1754</v>
      </c>
      <c r="AH203" t="s">
        <v>13051</v>
      </c>
      <c r="AI203">
        <v>1</v>
      </c>
      <c r="AJ203">
        <v>0</v>
      </c>
      <c r="AK203">
        <v>236.19</v>
      </c>
      <c r="AN203" t="s">
        <v>2926</v>
      </c>
      <c r="AO203">
        <v>29500</v>
      </c>
      <c r="AP203" t="s">
        <v>18093</v>
      </c>
      <c r="AU203" t="s">
        <v>13051</v>
      </c>
      <c r="AW203" t="s">
        <v>3060</v>
      </c>
    </row>
    <row r="204" spans="1:50">
      <c r="A204" s="1" t="s">
        <v>82</v>
      </c>
      <c r="B204" t="s">
        <v>163</v>
      </c>
      <c r="C204" t="s">
        <v>3414</v>
      </c>
      <c r="D204" t="s">
        <v>269</v>
      </c>
      <c r="F204" t="s">
        <v>658</v>
      </c>
      <c r="G204" t="s">
        <v>614</v>
      </c>
      <c r="H204" t="s">
        <v>9420</v>
      </c>
      <c r="I204" t="s">
        <v>10979</v>
      </c>
      <c r="J204" t="s">
        <v>1644</v>
      </c>
      <c r="K204">
        <v>11233</v>
      </c>
      <c r="L204" t="s">
        <v>1670</v>
      </c>
      <c r="M204" t="s">
        <v>1671</v>
      </c>
      <c r="O204" t="s">
        <v>1938</v>
      </c>
      <c r="P204" t="s">
        <v>1961</v>
      </c>
      <c r="R204" t="s">
        <v>50</v>
      </c>
      <c r="S204" t="s">
        <v>1670</v>
      </c>
      <c r="U204" t="s">
        <v>1972</v>
      </c>
      <c r="V204" t="s">
        <v>1984</v>
      </c>
      <c r="W204" t="s">
        <v>248</v>
      </c>
      <c r="X204">
        <v>1225.26</v>
      </c>
      <c r="Y204" t="s">
        <v>2009</v>
      </c>
      <c r="Z204" t="s">
        <v>2025</v>
      </c>
      <c r="AB204" t="s">
        <v>13219</v>
      </c>
      <c r="AC204" t="s">
        <v>1754</v>
      </c>
      <c r="AE204">
        <v>359</v>
      </c>
      <c r="AF204" t="s">
        <v>2902</v>
      </c>
      <c r="AG204" t="s">
        <v>1754</v>
      </c>
      <c r="AH204" t="s">
        <v>13051</v>
      </c>
      <c r="AI204">
        <v>1</v>
      </c>
      <c r="AJ204">
        <v>0</v>
      </c>
      <c r="AK204">
        <v>236.19</v>
      </c>
      <c r="AN204" t="s">
        <v>2926</v>
      </c>
      <c r="AO204">
        <v>29500</v>
      </c>
      <c r="AP204" t="s">
        <v>18094</v>
      </c>
      <c r="AU204" t="s">
        <v>13051</v>
      </c>
      <c r="AW204" t="s">
        <v>3060</v>
      </c>
    </row>
    <row r="205" spans="1:50">
      <c r="A205" s="1" t="s">
        <v>82</v>
      </c>
      <c r="B205" t="s">
        <v>163</v>
      </c>
      <c r="C205" t="s">
        <v>3415</v>
      </c>
      <c r="D205" t="s">
        <v>203</v>
      </c>
      <c r="F205" t="s">
        <v>6899</v>
      </c>
      <c r="G205" t="s">
        <v>7975</v>
      </c>
      <c r="H205" t="s">
        <v>1144</v>
      </c>
      <c r="I205" t="s">
        <v>10980</v>
      </c>
      <c r="J205" t="s">
        <v>1644</v>
      </c>
      <c r="K205">
        <v>11233</v>
      </c>
      <c r="L205" t="s">
        <v>1670</v>
      </c>
      <c r="M205" t="s">
        <v>1671</v>
      </c>
      <c r="O205" t="s">
        <v>1937</v>
      </c>
      <c r="P205" t="s">
        <v>1962</v>
      </c>
      <c r="R205" t="s">
        <v>50</v>
      </c>
      <c r="S205" t="s">
        <v>1670</v>
      </c>
      <c r="U205" t="s">
        <v>1972</v>
      </c>
      <c r="V205" t="s">
        <v>1984</v>
      </c>
      <c r="W205" t="s">
        <v>221</v>
      </c>
      <c r="X205">
        <v>924.1799999999999</v>
      </c>
      <c r="Y205" t="s">
        <v>2009</v>
      </c>
      <c r="Z205" t="s">
        <v>2025</v>
      </c>
      <c r="AB205" t="s">
        <v>13220</v>
      </c>
      <c r="AE205">
        <v>359</v>
      </c>
      <c r="AF205" t="s">
        <v>2902</v>
      </c>
      <c r="AH205">
        <v>3</v>
      </c>
      <c r="AI205">
        <v>2</v>
      </c>
      <c r="AJ205">
        <v>0</v>
      </c>
      <c r="AK205">
        <v>236.55</v>
      </c>
      <c r="AN205" t="s">
        <v>2926</v>
      </c>
      <c r="AO205">
        <v>40000</v>
      </c>
      <c r="AP205" t="s">
        <v>18094</v>
      </c>
      <c r="AU205" t="s">
        <v>13051</v>
      </c>
      <c r="AW205" t="s">
        <v>3060</v>
      </c>
    </row>
    <row r="206" spans="1:50">
      <c r="A206" s="1" t="s">
        <v>82</v>
      </c>
      <c r="B206" t="s">
        <v>163</v>
      </c>
      <c r="C206" t="s">
        <v>3416</v>
      </c>
      <c r="D206" t="s">
        <v>1999</v>
      </c>
      <c r="F206" t="s">
        <v>542</v>
      </c>
      <c r="G206" t="s">
        <v>7976</v>
      </c>
      <c r="H206" t="s">
        <v>9482</v>
      </c>
      <c r="I206" t="s">
        <v>10981</v>
      </c>
      <c r="J206" t="s">
        <v>1644</v>
      </c>
      <c r="K206">
        <v>11233</v>
      </c>
      <c r="L206" t="s">
        <v>1670</v>
      </c>
      <c r="M206" t="s">
        <v>1672</v>
      </c>
      <c r="O206" t="s">
        <v>1937</v>
      </c>
      <c r="P206" t="s">
        <v>1962</v>
      </c>
      <c r="R206" t="s">
        <v>50</v>
      </c>
      <c r="S206" t="s">
        <v>1670</v>
      </c>
      <c r="U206" t="s">
        <v>1972</v>
      </c>
      <c r="V206" t="s">
        <v>1984</v>
      </c>
      <c r="W206" t="s">
        <v>221</v>
      </c>
      <c r="X206">
        <v>1400</v>
      </c>
      <c r="Y206" t="s">
        <v>2009</v>
      </c>
      <c r="Z206" t="s">
        <v>2017</v>
      </c>
      <c r="AB206" t="s">
        <v>13221</v>
      </c>
      <c r="AE206">
        <v>359</v>
      </c>
      <c r="AF206" t="s">
        <v>2902</v>
      </c>
      <c r="AH206" t="s">
        <v>13051</v>
      </c>
      <c r="AI206">
        <v>2</v>
      </c>
      <c r="AJ206">
        <v>0</v>
      </c>
      <c r="AK206">
        <v>236.55</v>
      </c>
      <c r="AN206" t="s">
        <v>2926</v>
      </c>
      <c r="AO206">
        <v>40000</v>
      </c>
      <c r="AP206" t="s">
        <v>18095</v>
      </c>
      <c r="AU206" t="s">
        <v>13051</v>
      </c>
      <c r="AW206" t="s">
        <v>3059</v>
      </c>
      <c r="AX206" t="s">
        <v>1754</v>
      </c>
    </row>
    <row r="207" spans="1:50">
      <c r="A207" s="1" t="s">
        <v>124</v>
      </c>
      <c r="B207" t="s">
        <v>163</v>
      </c>
      <c r="C207" t="s">
        <v>3417</v>
      </c>
      <c r="D207" t="s">
        <v>206</v>
      </c>
      <c r="F207" t="s">
        <v>573</v>
      </c>
      <c r="G207" t="s">
        <v>7977</v>
      </c>
      <c r="H207" t="s">
        <v>9483</v>
      </c>
      <c r="I207" t="s">
        <v>1477</v>
      </c>
      <c r="J207" t="s">
        <v>1644</v>
      </c>
      <c r="K207">
        <v>11226</v>
      </c>
      <c r="L207" t="s">
        <v>1670</v>
      </c>
      <c r="M207" t="s">
        <v>1672</v>
      </c>
      <c r="P207" t="s">
        <v>1959</v>
      </c>
      <c r="R207" t="s">
        <v>50</v>
      </c>
      <c r="S207" t="s">
        <v>1670</v>
      </c>
      <c r="U207" t="s">
        <v>1972</v>
      </c>
      <c r="W207" t="s">
        <v>206</v>
      </c>
      <c r="X207">
        <v>916</v>
      </c>
      <c r="Y207" t="s">
        <v>2009</v>
      </c>
      <c r="AB207" t="s">
        <v>13222</v>
      </c>
      <c r="AE207" t="s">
        <v>13051</v>
      </c>
      <c r="AH207" t="s">
        <v>13051</v>
      </c>
      <c r="AI207">
        <v>2</v>
      </c>
      <c r="AJ207">
        <v>0</v>
      </c>
      <c r="AK207">
        <v>236.55</v>
      </c>
      <c r="AN207" t="s">
        <v>2926</v>
      </c>
      <c r="AO207">
        <v>40000</v>
      </c>
      <c r="AU207" t="s">
        <v>13051</v>
      </c>
      <c r="AW207" t="s">
        <v>158</v>
      </c>
      <c r="AX207" t="s">
        <v>18685</v>
      </c>
    </row>
    <row r="208" spans="1:50">
      <c r="A208" s="1" t="s">
        <v>82</v>
      </c>
      <c r="B208" t="s">
        <v>163</v>
      </c>
      <c r="C208" t="s">
        <v>3418</v>
      </c>
      <c r="D208" t="s">
        <v>203</v>
      </c>
      <c r="F208" t="s">
        <v>6899</v>
      </c>
      <c r="G208" t="s">
        <v>7975</v>
      </c>
      <c r="H208" t="s">
        <v>1144</v>
      </c>
      <c r="I208" t="s">
        <v>10980</v>
      </c>
      <c r="J208" t="s">
        <v>1644</v>
      </c>
      <c r="K208">
        <v>11233</v>
      </c>
      <c r="L208" t="s">
        <v>1670</v>
      </c>
      <c r="M208" t="s">
        <v>1671</v>
      </c>
      <c r="O208" t="s">
        <v>1938</v>
      </c>
      <c r="P208" t="s">
        <v>1961</v>
      </c>
      <c r="R208" t="s">
        <v>50</v>
      </c>
      <c r="S208" t="s">
        <v>1670</v>
      </c>
      <c r="U208" t="s">
        <v>1972</v>
      </c>
      <c r="V208" t="s">
        <v>1984</v>
      </c>
      <c r="W208" t="s">
        <v>248</v>
      </c>
      <c r="X208">
        <v>924.1799999999999</v>
      </c>
      <c r="Y208" t="s">
        <v>2009</v>
      </c>
      <c r="Z208" t="s">
        <v>2025</v>
      </c>
      <c r="AB208" t="s">
        <v>13220</v>
      </c>
      <c r="AE208">
        <v>359</v>
      </c>
      <c r="AF208" t="s">
        <v>2902</v>
      </c>
      <c r="AH208">
        <v>3</v>
      </c>
      <c r="AI208">
        <v>2</v>
      </c>
      <c r="AJ208">
        <v>0</v>
      </c>
      <c r="AK208">
        <v>236.55</v>
      </c>
      <c r="AN208" t="s">
        <v>2926</v>
      </c>
      <c r="AO208">
        <v>40000</v>
      </c>
      <c r="AP208" t="s">
        <v>18096</v>
      </c>
      <c r="AU208" t="s">
        <v>13051</v>
      </c>
      <c r="AW208" t="s">
        <v>3060</v>
      </c>
    </row>
    <row r="209" spans="1:50">
      <c r="A209" s="1" t="s">
        <v>82</v>
      </c>
      <c r="B209" t="s">
        <v>163</v>
      </c>
      <c r="C209" t="s">
        <v>3419</v>
      </c>
      <c r="D209" t="s">
        <v>1999</v>
      </c>
      <c r="F209" t="s">
        <v>542</v>
      </c>
      <c r="G209" t="s">
        <v>7976</v>
      </c>
      <c r="H209" t="s">
        <v>9482</v>
      </c>
      <c r="I209" t="s">
        <v>10981</v>
      </c>
      <c r="J209" t="s">
        <v>1644</v>
      </c>
      <c r="K209">
        <v>11233</v>
      </c>
      <c r="L209" t="s">
        <v>1670</v>
      </c>
      <c r="M209" t="s">
        <v>1672</v>
      </c>
      <c r="O209" t="s">
        <v>1938</v>
      </c>
      <c r="P209" t="s">
        <v>1961</v>
      </c>
      <c r="R209" t="s">
        <v>50</v>
      </c>
      <c r="S209" t="s">
        <v>1670</v>
      </c>
      <c r="U209" t="s">
        <v>1972</v>
      </c>
      <c r="V209" t="s">
        <v>1984</v>
      </c>
      <c r="W209" t="s">
        <v>248</v>
      </c>
      <c r="X209">
        <v>1400</v>
      </c>
      <c r="Y209" t="s">
        <v>2009</v>
      </c>
      <c r="Z209" t="s">
        <v>2017</v>
      </c>
      <c r="AB209" t="s">
        <v>13221</v>
      </c>
      <c r="AE209">
        <v>359</v>
      </c>
      <c r="AF209" t="s">
        <v>2902</v>
      </c>
      <c r="AH209" t="s">
        <v>13051</v>
      </c>
      <c r="AI209">
        <v>2</v>
      </c>
      <c r="AJ209">
        <v>0</v>
      </c>
      <c r="AK209">
        <v>236.55</v>
      </c>
      <c r="AN209" t="s">
        <v>2926</v>
      </c>
      <c r="AO209">
        <v>40000</v>
      </c>
      <c r="AP209" t="s">
        <v>18097</v>
      </c>
      <c r="AU209" t="s">
        <v>13051</v>
      </c>
      <c r="AW209" t="s">
        <v>3059</v>
      </c>
      <c r="AX209" t="s">
        <v>1754</v>
      </c>
    </row>
    <row r="210" spans="1:50">
      <c r="A210" s="1" t="s">
        <v>124</v>
      </c>
      <c r="B210" t="s">
        <v>163</v>
      </c>
      <c r="C210" t="s">
        <v>3420</v>
      </c>
      <c r="D210" t="s">
        <v>203</v>
      </c>
      <c r="F210" t="s">
        <v>573</v>
      </c>
      <c r="G210" t="s">
        <v>7977</v>
      </c>
      <c r="H210" t="s">
        <v>9483</v>
      </c>
      <c r="I210" t="s">
        <v>1477</v>
      </c>
      <c r="J210" t="s">
        <v>1644</v>
      </c>
      <c r="K210">
        <v>11226</v>
      </c>
      <c r="L210" t="s">
        <v>1670</v>
      </c>
      <c r="M210" t="s">
        <v>1670</v>
      </c>
      <c r="O210" t="s">
        <v>1939</v>
      </c>
      <c r="P210" t="s">
        <v>1960</v>
      </c>
      <c r="R210" t="s">
        <v>50</v>
      </c>
      <c r="S210" t="s">
        <v>1670</v>
      </c>
      <c r="U210" t="s">
        <v>1972</v>
      </c>
      <c r="W210" t="s">
        <v>186</v>
      </c>
      <c r="X210">
        <v>916</v>
      </c>
      <c r="Y210" t="s">
        <v>2009</v>
      </c>
      <c r="AB210" t="s">
        <v>13222</v>
      </c>
      <c r="AE210" t="s">
        <v>13051</v>
      </c>
      <c r="AH210" t="s">
        <v>13051</v>
      </c>
      <c r="AI210">
        <v>2</v>
      </c>
      <c r="AJ210">
        <v>0</v>
      </c>
      <c r="AK210">
        <v>236.55</v>
      </c>
      <c r="AN210" t="s">
        <v>2926</v>
      </c>
      <c r="AO210">
        <v>40000</v>
      </c>
      <c r="AU210">
        <v>35.7</v>
      </c>
      <c r="AV210" t="s">
        <v>392</v>
      </c>
      <c r="AW210" t="s">
        <v>158</v>
      </c>
    </row>
    <row r="211" spans="1:50">
      <c r="A211" s="1" t="s">
        <v>124</v>
      </c>
      <c r="B211" t="s">
        <v>163</v>
      </c>
      <c r="C211" t="s">
        <v>3421</v>
      </c>
      <c r="D211" t="s">
        <v>272</v>
      </c>
      <c r="F211" t="s">
        <v>573</v>
      </c>
      <c r="G211" t="s">
        <v>7977</v>
      </c>
      <c r="H211" t="s">
        <v>9483</v>
      </c>
      <c r="I211" t="s">
        <v>1477</v>
      </c>
      <c r="J211" t="s">
        <v>1644</v>
      </c>
      <c r="K211">
        <v>11226</v>
      </c>
      <c r="L211" t="s">
        <v>1670</v>
      </c>
      <c r="M211" t="s">
        <v>1672</v>
      </c>
      <c r="P211" t="s">
        <v>1960</v>
      </c>
      <c r="R211" t="s">
        <v>50</v>
      </c>
      <c r="S211" t="s">
        <v>1670</v>
      </c>
      <c r="U211" t="s">
        <v>1972</v>
      </c>
      <c r="W211" t="s">
        <v>272</v>
      </c>
      <c r="X211" t="s">
        <v>13051</v>
      </c>
      <c r="Y211" t="s">
        <v>2009</v>
      </c>
      <c r="AB211" t="s">
        <v>13222</v>
      </c>
      <c r="AE211" t="s">
        <v>13051</v>
      </c>
      <c r="AH211" t="s">
        <v>13051</v>
      </c>
      <c r="AI211">
        <v>2</v>
      </c>
      <c r="AJ211">
        <v>0</v>
      </c>
      <c r="AK211">
        <v>236.55</v>
      </c>
      <c r="AN211" t="s">
        <v>2926</v>
      </c>
      <c r="AO211">
        <v>40000</v>
      </c>
      <c r="AU211">
        <v>24.4</v>
      </c>
      <c r="AV211" t="s">
        <v>400</v>
      </c>
      <c r="AW211" t="s">
        <v>158</v>
      </c>
      <c r="AX211" t="s">
        <v>18685</v>
      </c>
    </row>
    <row r="212" spans="1:50">
      <c r="A212" s="1" t="s">
        <v>132</v>
      </c>
      <c r="B212" t="s">
        <v>163</v>
      </c>
      <c r="C212" t="s">
        <v>3422</v>
      </c>
      <c r="D212" t="s">
        <v>325</v>
      </c>
      <c r="F212" t="s">
        <v>6900</v>
      </c>
      <c r="G212" t="s">
        <v>7602</v>
      </c>
      <c r="H212" t="s">
        <v>1290</v>
      </c>
      <c r="I212" t="s">
        <v>1484</v>
      </c>
      <c r="J212" t="s">
        <v>1644</v>
      </c>
      <c r="K212">
        <v>11221</v>
      </c>
      <c r="L212" t="s">
        <v>1671</v>
      </c>
      <c r="M212" t="s">
        <v>1672</v>
      </c>
      <c r="N212" t="s">
        <v>1754</v>
      </c>
      <c r="O212" t="s">
        <v>1937</v>
      </c>
      <c r="P212" t="s">
        <v>1962</v>
      </c>
      <c r="R212" t="s">
        <v>50</v>
      </c>
      <c r="S212" t="s">
        <v>1670</v>
      </c>
      <c r="U212" t="s">
        <v>1977</v>
      </c>
      <c r="V212" t="s">
        <v>1984</v>
      </c>
      <c r="W212" t="s">
        <v>266</v>
      </c>
      <c r="X212">
        <v>880.65</v>
      </c>
      <c r="Y212" t="s">
        <v>2009</v>
      </c>
      <c r="Z212" t="s">
        <v>2015</v>
      </c>
      <c r="AB212" t="s">
        <v>13223</v>
      </c>
      <c r="AC212" t="s">
        <v>1754</v>
      </c>
      <c r="AD212" t="s">
        <v>15818</v>
      </c>
      <c r="AE212">
        <v>12</v>
      </c>
      <c r="AF212" t="s">
        <v>2902</v>
      </c>
      <c r="AG212" t="s">
        <v>1754</v>
      </c>
      <c r="AH212">
        <v>17</v>
      </c>
      <c r="AI212">
        <v>1</v>
      </c>
      <c r="AJ212">
        <v>1</v>
      </c>
      <c r="AK212">
        <v>236.55</v>
      </c>
      <c r="AN212" t="s">
        <v>2926</v>
      </c>
      <c r="AO212">
        <v>40000</v>
      </c>
      <c r="AU212" t="s">
        <v>13051</v>
      </c>
      <c r="AW212" t="s">
        <v>3060</v>
      </c>
      <c r="AX212" t="s">
        <v>1754</v>
      </c>
    </row>
    <row r="213" spans="1:50">
      <c r="A213" s="1" t="s">
        <v>143</v>
      </c>
      <c r="B213" t="s">
        <v>163</v>
      </c>
      <c r="C213" t="s">
        <v>3423</v>
      </c>
      <c r="D213" t="s">
        <v>326</v>
      </c>
      <c r="F213" t="s">
        <v>6900</v>
      </c>
      <c r="G213" t="s">
        <v>7602</v>
      </c>
      <c r="H213" t="s">
        <v>1290</v>
      </c>
      <c r="I213" t="s">
        <v>1484</v>
      </c>
      <c r="J213" t="s">
        <v>1644</v>
      </c>
      <c r="K213">
        <v>11221</v>
      </c>
      <c r="L213" t="s">
        <v>1671</v>
      </c>
      <c r="M213" t="s">
        <v>1671</v>
      </c>
      <c r="O213" t="s">
        <v>1946</v>
      </c>
      <c r="P213" t="s">
        <v>1964</v>
      </c>
      <c r="R213" t="s">
        <v>50</v>
      </c>
      <c r="S213" t="s">
        <v>1670</v>
      </c>
      <c r="U213" t="s">
        <v>1978</v>
      </c>
      <c r="W213" t="s">
        <v>326</v>
      </c>
      <c r="X213">
        <v>880.65</v>
      </c>
      <c r="Y213" t="s">
        <v>2009</v>
      </c>
      <c r="Z213" t="s">
        <v>2015</v>
      </c>
      <c r="AB213" t="s">
        <v>13223</v>
      </c>
      <c r="AC213" t="s">
        <v>1754</v>
      </c>
      <c r="AD213" t="s">
        <v>15818</v>
      </c>
      <c r="AE213">
        <v>12</v>
      </c>
      <c r="AF213" t="s">
        <v>2902</v>
      </c>
      <c r="AG213" t="s">
        <v>1754</v>
      </c>
      <c r="AH213">
        <v>17</v>
      </c>
      <c r="AI213">
        <v>1</v>
      </c>
      <c r="AJ213">
        <v>1</v>
      </c>
      <c r="AK213">
        <v>236.55</v>
      </c>
      <c r="AN213" t="s">
        <v>2926</v>
      </c>
      <c r="AO213">
        <v>40000</v>
      </c>
      <c r="AU213" t="s">
        <v>13051</v>
      </c>
      <c r="AW213" t="s">
        <v>3060</v>
      </c>
      <c r="AX213" t="s">
        <v>1754</v>
      </c>
    </row>
    <row r="214" spans="1:50">
      <c r="A214" s="1" t="s">
        <v>143</v>
      </c>
      <c r="B214" t="s">
        <v>163</v>
      </c>
      <c r="C214" t="s">
        <v>3424</v>
      </c>
      <c r="D214" t="s">
        <v>325</v>
      </c>
      <c r="F214" t="s">
        <v>6900</v>
      </c>
      <c r="G214" t="s">
        <v>7602</v>
      </c>
      <c r="H214" t="s">
        <v>1290</v>
      </c>
      <c r="I214" t="s">
        <v>1484</v>
      </c>
      <c r="J214" t="s">
        <v>1644</v>
      </c>
      <c r="K214">
        <v>11221</v>
      </c>
      <c r="L214" t="s">
        <v>1671</v>
      </c>
      <c r="M214" t="s">
        <v>1672</v>
      </c>
      <c r="N214" t="s">
        <v>11889</v>
      </c>
      <c r="O214" t="s">
        <v>1936</v>
      </c>
      <c r="P214" t="s">
        <v>1960</v>
      </c>
      <c r="R214" t="s">
        <v>50</v>
      </c>
      <c r="S214" t="s">
        <v>1671</v>
      </c>
      <c r="U214" t="s">
        <v>1972</v>
      </c>
      <c r="V214" t="s">
        <v>1984</v>
      </c>
      <c r="W214" t="s">
        <v>266</v>
      </c>
      <c r="X214">
        <v>880.65</v>
      </c>
      <c r="Y214" t="s">
        <v>2009</v>
      </c>
      <c r="Z214" t="s">
        <v>2015</v>
      </c>
      <c r="AB214" t="s">
        <v>13223</v>
      </c>
      <c r="AC214" t="s">
        <v>1754</v>
      </c>
      <c r="AD214" t="s">
        <v>15818</v>
      </c>
      <c r="AE214">
        <v>12</v>
      </c>
      <c r="AF214" t="s">
        <v>2902</v>
      </c>
      <c r="AG214" t="s">
        <v>1754</v>
      </c>
      <c r="AH214">
        <v>17</v>
      </c>
      <c r="AI214">
        <v>1</v>
      </c>
      <c r="AJ214">
        <v>1</v>
      </c>
      <c r="AK214">
        <v>236.55</v>
      </c>
      <c r="AN214" t="s">
        <v>2926</v>
      </c>
      <c r="AO214">
        <v>40000</v>
      </c>
      <c r="AU214" t="s">
        <v>13051</v>
      </c>
      <c r="AW214" t="s">
        <v>3060</v>
      </c>
      <c r="AX214" t="s">
        <v>1754</v>
      </c>
    </row>
    <row r="215" spans="1:50">
      <c r="A215" s="1" t="s">
        <v>57</v>
      </c>
      <c r="B215" t="s">
        <v>164</v>
      </c>
      <c r="C215" t="s">
        <v>3425</v>
      </c>
      <c r="D215" t="s">
        <v>1999</v>
      </c>
      <c r="E215" t="s">
        <v>400</v>
      </c>
      <c r="F215" t="s">
        <v>604</v>
      </c>
      <c r="G215" t="s">
        <v>7978</v>
      </c>
      <c r="H215" t="s">
        <v>9484</v>
      </c>
      <c r="I215">
        <v>205</v>
      </c>
      <c r="J215" t="s">
        <v>1641</v>
      </c>
      <c r="K215">
        <v>10457</v>
      </c>
      <c r="L215" t="s">
        <v>1670</v>
      </c>
      <c r="M215" t="s">
        <v>1672</v>
      </c>
      <c r="P215" t="s">
        <v>1958</v>
      </c>
      <c r="Q215" t="s">
        <v>1965</v>
      </c>
      <c r="R215" t="s">
        <v>50</v>
      </c>
      <c r="S215" t="s">
        <v>1671</v>
      </c>
      <c r="U215" t="s">
        <v>1972</v>
      </c>
      <c r="W215" t="s">
        <v>1991</v>
      </c>
      <c r="X215">
        <v>530</v>
      </c>
      <c r="Y215" t="s">
        <v>2006</v>
      </c>
      <c r="Z215" t="s">
        <v>2015</v>
      </c>
      <c r="AA215" t="s">
        <v>2029</v>
      </c>
      <c r="AB215" t="s">
        <v>13224</v>
      </c>
      <c r="AD215" t="s">
        <v>15819</v>
      </c>
      <c r="AE215">
        <v>2</v>
      </c>
      <c r="AF215" t="s">
        <v>2904</v>
      </c>
      <c r="AG215" t="s">
        <v>2915</v>
      </c>
      <c r="AH215">
        <v>1</v>
      </c>
      <c r="AI215">
        <v>2</v>
      </c>
      <c r="AJ215">
        <v>0</v>
      </c>
      <c r="AK215">
        <v>236.64</v>
      </c>
      <c r="AN215" t="s">
        <v>2926</v>
      </c>
      <c r="AO215">
        <v>40016</v>
      </c>
      <c r="AU215">
        <v>0.1</v>
      </c>
      <c r="AV215" t="s">
        <v>400</v>
      </c>
      <c r="AW215" t="s">
        <v>3046</v>
      </c>
      <c r="AX215" t="s">
        <v>18685</v>
      </c>
    </row>
    <row r="216" spans="1:50">
      <c r="A216" s="1" t="s">
        <v>94</v>
      </c>
      <c r="B216" t="s">
        <v>164</v>
      </c>
      <c r="C216" t="s">
        <v>3426</v>
      </c>
      <c r="D216" t="s">
        <v>207</v>
      </c>
      <c r="E216" t="s">
        <v>174</v>
      </c>
      <c r="F216" t="s">
        <v>6901</v>
      </c>
      <c r="G216" t="s">
        <v>7979</v>
      </c>
      <c r="H216" t="s">
        <v>1199</v>
      </c>
      <c r="I216">
        <v>311</v>
      </c>
      <c r="J216" t="s">
        <v>1643</v>
      </c>
      <c r="K216">
        <v>10029</v>
      </c>
      <c r="L216" t="s">
        <v>1670</v>
      </c>
      <c r="M216" t="s">
        <v>1671</v>
      </c>
      <c r="N216" t="s">
        <v>11890</v>
      </c>
      <c r="O216" t="s">
        <v>1936</v>
      </c>
      <c r="P216" t="s">
        <v>1960</v>
      </c>
      <c r="Q216" t="s">
        <v>1969</v>
      </c>
      <c r="R216" t="s">
        <v>50</v>
      </c>
      <c r="S216" t="s">
        <v>1671</v>
      </c>
      <c r="U216" t="s">
        <v>1972</v>
      </c>
      <c r="W216" t="s">
        <v>216</v>
      </c>
      <c r="X216" t="s">
        <v>13051</v>
      </c>
      <c r="Y216" t="s">
        <v>2008</v>
      </c>
      <c r="Z216" t="s">
        <v>2020</v>
      </c>
      <c r="AA216" t="s">
        <v>2037</v>
      </c>
      <c r="AB216" t="s">
        <v>13225</v>
      </c>
      <c r="AE216">
        <v>108</v>
      </c>
      <c r="AF216" t="s">
        <v>2909</v>
      </c>
      <c r="AG216" t="s">
        <v>2915</v>
      </c>
      <c r="AH216">
        <v>8</v>
      </c>
      <c r="AI216">
        <v>1</v>
      </c>
      <c r="AJ216">
        <v>2</v>
      </c>
      <c r="AK216">
        <v>236.7</v>
      </c>
      <c r="AL216" t="s">
        <v>340</v>
      </c>
      <c r="AM216" t="s">
        <v>18031</v>
      </c>
      <c r="AN216" t="s">
        <v>2926</v>
      </c>
      <c r="AO216">
        <v>49187</v>
      </c>
      <c r="AP216" t="s">
        <v>18098</v>
      </c>
      <c r="AU216">
        <v>12.7</v>
      </c>
      <c r="AV216" t="s">
        <v>331</v>
      </c>
      <c r="AW216" t="s">
        <v>3051</v>
      </c>
    </row>
    <row r="217" spans="1:50">
      <c r="A217" s="1" t="s">
        <v>96</v>
      </c>
      <c r="B217" t="s">
        <v>163</v>
      </c>
      <c r="C217" t="s">
        <v>3427</v>
      </c>
      <c r="D217" t="s">
        <v>371</v>
      </c>
      <c r="F217" t="s">
        <v>6902</v>
      </c>
      <c r="G217" t="s">
        <v>7887</v>
      </c>
      <c r="H217" t="s">
        <v>1276</v>
      </c>
      <c r="I217">
        <v>10</v>
      </c>
      <c r="J217" t="s">
        <v>1644</v>
      </c>
      <c r="K217">
        <v>11238</v>
      </c>
      <c r="L217" t="s">
        <v>1670</v>
      </c>
      <c r="M217" t="s">
        <v>1670</v>
      </c>
      <c r="O217" t="s">
        <v>1937</v>
      </c>
      <c r="P217" t="s">
        <v>1959</v>
      </c>
      <c r="R217" t="s">
        <v>50</v>
      </c>
      <c r="S217" t="s">
        <v>1670</v>
      </c>
      <c r="U217" t="s">
        <v>1972</v>
      </c>
      <c r="V217" t="s">
        <v>1984</v>
      </c>
      <c r="W217" t="s">
        <v>223</v>
      </c>
      <c r="X217" t="s">
        <v>13051</v>
      </c>
      <c r="Y217" t="s">
        <v>2009</v>
      </c>
      <c r="AB217" t="s">
        <v>13226</v>
      </c>
      <c r="AE217">
        <v>41</v>
      </c>
      <c r="AF217" t="s">
        <v>2902</v>
      </c>
      <c r="AH217" t="s">
        <v>13051</v>
      </c>
      <c r="AI217">
        <v>2</v>
      </c>
      <c r="AJ217">
        <v>0</v>
      </c>
      <c r="AK217">
        <v>236.94</v>
      </c>
      <c r="AN217" t="s">
        <v>2926</v>
      </c>
      <c r="AO217">
        <v>39000</v>
      </c>
      <c r="AU217">
        <v>0.5</v>
      </c>
      <c r="AV217" t="s">
        <v>338</v>
      </c>
      <c r="AW217" t="s">
        <v>3049</v>
      </c>
    </row>
    <row r="218" spans="1:50">
      <c r="A218" s="1" t="s">
        <v>96</v>
      </c>
      <c r="B218" t="s">
        <v>163</v>
      </c>
      <c r="C218" t="s">
        <v>3428</v>
      </c>
      <c r="D218" t="s">
        <v>3040</v>
      </c>
      <c r="F218" t="s">
        <v>6902</v>
      </c>
      <c r="G218" t="s">
        <v>7887</v>
      </c>
      <c r="H218" t="s">
        <v>1276</v>
      </c>
      <c r="I218">
        <v>10</v>
      </c>
      <c r="J218" t="s">
        <v>1644</v>
      </c>
      <c r="K218">
        <v>11238</v>
      </c>
      <c r="L218" t="s">
        <v>1670</v>
      </c>
      <c r="M218" t="s">
        <v>1672</v>
      </c>
      <c r="O218" t="s">
        <v>1936</v>
      </c>
      <c r="P218" t="s">
        <v>1959</v>
      </c>
      <c r="R218" t="s">
        <v>50</v>
      </c>
      <c r="U218" t="s">
        <v>1972</v>
      </c>
      <c r="W218" t="s">
        <v>3040</v>
      </c>
      <c r="X218" t="s">
        <v>13051</v>
      </c>
      <c r="Y218" t="s">
        <v>2009</v>
      </c>
      <c r="AB218" t="s">
        <v>13226</v>
      </c>
      <c r="AD218" t="s">
        <v>15820</v>
      </c>
      <c r="AE218" t="s">
        <v>13051</v>
      </c>
      <c r="AH218" t="s">
        <v>13051</v>
      </c>
      <c r="AI218">
        <v>2</v>
      </c>
      <c r="AJ218">
        <v>0</v>
      </c>
      <c r="AK218">
        <v>236.94</v>
      </c>
      <c r="AN218" t="s">
        <v>2926</v>
      </c>
      <c r="AO218">
        <v>39000</v>
      </c>
      <c r="AU218">
        <v>4.5</v>
      </c>
      <c r="AV218" t="s">
        <v>223</v>
      </c>
      <c r="AW218" t="s">
        <v>96</v>
      </c>
      <c r="AX218" t="s">
        <v>18685</v>
      </c>
    </row>
    <row r="219" spans="1:50">
      <c r="A219" s="1" t="s">
        <v>79</v>
      </c>
      <c r="B219" t="s">
        <v>164</v>
      </c>
      <c r="C219" t="s">
        <v>3429</v>
      </c>
      <c r="D219" t="s">
        <v>307</v>
      </c>
      <c r="E219" t="s">
        <v>271</v>
      </c>
      <c r="F219" t="s">
        <v>6903</v>
      </c>
      <c r="G219" t="s">
        <v>941</v>
      </c>
      <c r="H219" t="s">
        <v>9485</v>
      </c>
      <c r="I219" t="s">
        <v>10982</v>
      </c>
      <c r="J219" t="s">
        <v>1644</v>
      </c>
      <c r="K219">
        <v>11238</v>
      </c>
      <c r="L219" t="s">
        <v>1670</v>
      </c>
      <c r="M219" t="s">
        <v>1670</v>
      </c>
      <c r="N219" t="s">
        <v>1675</v>
      </c>
      <c r="P219" t="s">
        <v>1962</v>
      </c>
      <c r="Q219" t="s">
        <v>1968</v>
      </c>
      <c r="R219" t="s">
        <v>50</v>
      </c>
      <c r="S219" t="s">
        <v>1671</v>
      </c>
      <c r="U219" t="s">
        <v>1980</v>
      </c>
      <c r="W219" t="s">
        <v>243</v>
      </c>
      <c r="X219">
        <v>1270.18</v>
      </c>
      <c r="Y219" t="s">
        <v>2009</v>
      </c>
      <c r="Z219" t="s">
        <v>2017</v>
      </c>
      <c r="AA219" t="s">
        <v>2034</v>
      </c>
      <c r="AB219" t="s">
        <v>13227</v>
      </c>
      <c r="AD219" t="s">
        <v>15821</v>
      </c>
      <c r="AE219">
        <v>14</v>
      </c>
      <c r="AF219" t="s">
        <v>2902</v>
      </c>
      <c r="AG219" t="s">
        <v>1754</v>
      </c>
      <c r="AH219">
        <v>19</v>
      </c>
      <c r="AI219">
        <v>1</v>
      </c>
      <c r="AJ219">
        <v>1</v>
      </c>
      <c r="AK219">
        <v>236.94</v>
      </c>
      <c r="AN219" t="s">
        <v>2926</v>
      </c>
      <c r="AO219">
        <v>39000</v>
      </c>
      <c r="AU219">
        <v>0.1</v>
      </c>
      <c r="AV219" t="s">
        <v>271</v>
      </c>
      <c r="AW219" t="s">
        <v>3059</v>
      </c>
    </row>
    <row r="220" spans="1:50">
      <c r="A220" s="1" t="s">
        <v>75</v>
      </c>
      <c r="B220" t="s">
        <v>164</v>
      </c>
      <c r="C220" t="s">
        <v>3430</v>
      </c>
      <c r="D220" t="s">
        <v>6139</v>
      </c>
      <c r="E220" t="s">
        <v>266</v>
      </c>
      <c r="F220" t="s">
        <v>6904</v>
      </c>
      <c r="G220" t="s">
        <v>7980</v>
      </c>
      <c r="H220" t="s">
        <v>1278</v>
      </c>
      <c r="I220" t="s">
        <v>10983</v>
      </c>
      <c r="J220" t="s">
        <v>1643</v>
      </c>
      <c r="K220">
        <v>10029</v>
      </c>
      <c r="L220" t="s">
        <v>1670</v>
      </c>
      <c r="M220" t="s">
        <v>1670</v>
      </c>
      <c r="N220" t="s">
        <v>11891</v>
      </c>
      <c r="O220" t="s">
        <v>1936</v>
      </c>
      <c r="P220" t="s">
        <v>1960</v>
      </c>
      <c r="Q220" t="s">
        <v>1969</v>
      </c>
      <c r="R220" t="s">
        <v>50</v>
      </c>
      <c r="S220" t="s">
        <v>1671</v>
      </c>
      <c r="U220" t="s">
        <v>1972</v>
      </c>
      <c r="V220" t="s">
        <v>1984</v>
      </c>
      <c r="W220" t="s">
        <v>6764</v>
      </c>
      <c r="X220">
        <v>1335</v>
      </c>
      <c r="Y220" t="s">
        <v>2008</v>
      </c>
      <c r="Z220" t="s">
        <v>2027</v>
      </c>
      <c r="AA220" t="s">
        <v>2032</v>
      </c>
      <c r="AB220" t="s">
        <v>13228</v>
      </c>
      <c r="AD220" t="s">
        <v>15822</v>
      </c>
      <c r="AE220">
        <v>42</v>
      </c>
      <c r="AF220" t="s">
        <v>2904</v>
      </c>
      <c r="AG220" t="s">
        <v>2915</v>
      </c>
      <c r="AH220">
        <v>3</v>
      </c>
      <c r="AI220">
        <v>1</v>
      </c>
      <c r="AJ220">
        <v>0</v>
      </c>
      <c r="AK220">
        <v>237.23</v>
      </c>
      <c r="AL220" t="s">
        <v>340</v>
      </c>
      <c r="AM220" t="s">
        <v>18031</v>
      </c>
      <c r="AN220" t="s">
        <v>2926</v>
      </c>
      <c r="AO220">
        <v>28800</v>
      </c>
      <c r="AU220">
        <v>17.38</v>
      </c>
      <c r="AV220" t="s">
        <v>202</v>
      </c>
      <c r="AW220" t="s">
        <v>3043</v>
      </c>
    </row>
    <row r="221" spans="1:50">
      <c r="A221" s="1" t="s">
        <v>3154</v>
      </c>
      <c r="B221" t="s">
        <v>163</v>
      </c>
      <c r="C221" t="s">
        <v>3431</v>
      </c>
      <c r="D221" t="s">
        <v>6140</v>
      </c>
      <c r="F221" t="s">
        <v>6905</v>
      </c>
      <c r="G221" t="s">
        <v>1043</v>
      </c>
      <c r="H221" t="s">
        <v>9486</v>
      </c>
      <c r="I221" t="s">
        <v>10984</v>
      </c>
      <c r="J221" t="s">
        <v>1643</v>
      </c>
      <c r="K221">
        <v>10034</v>
      </c>
      <c r="L221" t="s">
        <v>1670</v>
      </c>
      <c r="M221" t="s">
        <v>1672</v>
      </c>
      <c r="O221" t="s">
        <v>1675</v>
      </c>
      <c r="P221" t="s">
        <v>1963</v>
      </c>
      <c r="R221" t="s">
        <v>50</v>
      </c>
      <c r="S221" t="s">
        <v>1671</v>
      </c>
      <c r="U221" t="s">
        <v>1972</v>
      </c>
      <c r="W221" t="s">
        <v>1989</v>
      </c>
      <c r="X221">
        <v>1033.79</v>
      </c>
      <c r="Y221" t="s">
        <v>2008</v>
      </c>
      <c r="Z221" t="s">
        <v>2013</v>
      </c>
      <c r="AB221" t="s">
        <v>13229</v>
      </c>
      <c r="AD221" t="s">
        <v>15823</v>
      </c>
      <c r="AE221" t="s">
        <v>13051</v>
      </c>
      <c r="AF221" t="s">
        <v>2902</v>
      </c>
      <c r="AG221" t="s">
        <v>1754</v>
      </c>
      <c r="AH221">
        <v>30</v>
      </c>
      <c r="AI221">
        <v>2</v>
      </c>
      <c r="AJ221">
        <v>0</v>
      </c>
      <c r="AK221">
        <v>237.5</v>
      </c>
      <c r="AL221" t="s">
        <v>1998</v>
      </c>
      <c r="AN221" t="s">
        <v>2927</v>
      </c>
      <c r="AO221">
        <v>38570.8</v>
      </c>
      <c r="AU221">
        <v>1</v>
      </c>
      <c r="AV221" t="s">
        <v>6140</v>
      </c>
      <c r="AW221" t="s">
        <v>3051</v>
      </c>
    </row>
    <row r="222" spans="1:50">
      <c r="A222" s="1" t="s">
        <v>68</v>
      </c>
      <c r="B222" t="s">
        <v>163</v>
      </c>
      <c r="C222" t="s">
        <v>3432</v>
      </c>
      <c r="D222" t="s">
        <v>236</v>
      </c>
      <c r="F222" t="s">
        <v>6906</v>
      </c>
      <c r="G222" t="s">
        <v>7981</v>
      </c>
      <c r="H222" t="s">
        <v>9487</v>
      </c>
      <c r="I222" t="s">
        <v>1519</v>
      </c>
      <c r="J222" t="s">
        <v>1643</v>
      </c>
      <c r="K222">
        <v>10040</v>
      </c>
      <c r="L222" t="s">
        <v>1670</v>
      </c>
      <c r="M222" t="s">
        <v>1670</v>
      </c>
      <c r="O222" t="s">
        <v>1941</v>
      </c>
      <c r="P222" t="s">
        <v>1960</v>
      </c>
      <c r="R222" t="s">
        <v>50</v>
      </c>
      <c r="S222" t="s">
        <v>1671</v>
      </c>
      <c r="U222" t="s">
        <v>1972</v>
      </c>
      <c r="W222" t="s">
        <v>236</v>
      </c>
      <c r="X222">
        <v>887.22</v>
      </c>
      <c r="Y222" t="s">
        <v>2008</v>
      </c>
      <c r="Z222" t="s">
        <v>2013</v>
      </c>
      <c r="AB222" t="s">
        <v>13230</v>
      </c>
      <c r="AD222" t="s">
        <v>15824</v>
      </c>
      <c r="AE222">
        <v>150</v>
      </c>
      <c r="AF222" t="s">
        <v>2902</v>
      </c>
      <c r="AG222" t="s">
        <v>1754</v>
      </c>
      <c r="AH222">
        <v>22</v>
      </c>
      <c r="AI222">
        <v>4</v>
      </c>
      <c r="AJ222">
        <v>0</v>
      </c>
      <c r="AK222">
        <v>237.67</v>
      </c>
      <c r="AN222" t="s">
        <v>2927</v>
      </c>
      <c r="AO222">
        <v>61200</v>
      </c>
      <c r="AU222">
        <v>67.84999999999999</v>
      </c>
      <c r="AV222" t="s">
        <v>405</v>
      </c>
      <c r="AW222" t="s">
        <v>3042</v>
      </c>
    </row>
    <row r="223" spans="1:50">
      <c r="A223" s="1" t="s">
        <v>99</v>
      </c>
      <c r="B223" t="s">
        <v>164</v>
      </c>
      <c r="C223" t="s">
        <v>3433</v>
      </c>
      <c r="D223" t="s">
        <v>170</v>
      </c>
      <c r="E223" t="s">
        <v>170</v>
      </c>
      <c r="F223" t="s">
        <v>419</v>
      </c>
      <c r="G223" t="s">
        <v>7982</v>
      </c>
      <c r="H223" t="s">
        <v>9488</v>
      </c>
      <c r="I223" t="s">
        <v>1634</v>
      </c>
      <c r="J223" t="s">
        <v>1666</v>
      </c>
      <c r="K223">
        <v>11368</v>
      </c>
      <c r="L223" t="s">
        <v>1670</v>
      </c>
      <c r="M223" t="s">
        <v>1670</v>
      </c>
      <c r="N223" t="s">
        <v>1691</v>
      </c>
      <c r="O223" t="s">
        <v>1675</v>
      </c>
      <c r="P223" t="s">
        <v>1958</v>
      </c>
      <c r="Q223" t="s">
        <v>1965</v>
      </c>
      <c r="R223" t="s">
        <v>51</v>
      </c>
      <c r="S223" t="s">
        <v>1671</v>
      </c>
      <c r="U223" t="s">
        <v>1972</v>
      </c>
      <c r="V223" t="s">
        <v>1984</v>
      </c>
      <c r="W223" t="s">
        <v>170</v>
      </c>
      <c r="X223">
        <v>1620</v>
      </c>
      <c r="Y223" t="s">
        <v>2007</v>
      </c>
      <c r="Z223" t="s">
        <v>2012</v>
      </c>
      <c r="AA223" t="s">
        <v>2029</v>
      </c>
      <c r="AB223" t="s">
        <v>13231</v>
      </c>
      <c r="AD223" t="s">
        <v>15825</v>
      </c>
      <c r="AE223">
        <v>3</v>
      </c>
      <c r="AF223" t="s">
        <v>2903</v>
      </c>
      <c r="AG223" t="s">
        <v>1754</v>
      </c>
      <c r="AH223">
        <v>4</v>
      </c>
      <c r="AI223">
        <v>1</v>
      </c>
      <c r="AJ223">
        <v>2</v>
      </c>
      <c r="AK223">
        <v>237.98</v>
      </c>
      <c r="AL223" t="s">
        <v>2923</v>
      </c>
      <c r="AM223" t="s">
        <v>2924</v>
      </c>
      <c r="AN223" t="s">
        <v>2926</v>
      </c>
      <c r="AO223">
        <v>50761.38</v>
      </c>
      <c r="AU223">
        <v>1.45</v>
      </c>
      <c r="AV223" t="s">
        <v>170</v>
      </c>
      <c r="AW223" t="s">
        <v>99</v>
      </c>
    </row>
    <row r="224" spans="1:50">
      <c r="A224" s="1" t="s">
        <v>109</v>
      </c>
      <c r="B224" t="s">
        <v>163</v>
      </c>
      <c r="C224" t="s">
        <v>3434</v>
      </c>
      <c r="D224" t="s">
        <v>6141</v>
      </c>
      <c r="F224" t="s">
        <v>6907</v>
      </c>
      <c r="G224" t="s">
        <v>7983</v>
      </c>
      <c r="H224" t="s">
        <v>9489</v>
      </c>
      <c r="I224" t="s">
        <v>10985</v>
      </c>
      <c r="J224" t="s">
        <v>1646</v>
      </c>
      <c r="K224">
        <v>10301</v>
      </c>
      <c r="L224" t="s">
        <v>1670</v>
      </c>
      <c r="M224" t="s">
        <v>1670</v>
      </c>
      <c r="N224" t="s">
        <v>1693</v>
      </c>
      <c r="O224" t="s">
        <v>1940</v>
      </c>
      <c r="P224" t="s">
        <v>1959</v>
      </c>
      <c r="R224" t="s">
        <v>50</v>
      </c>
      <c r="S224" t="s">
        <v>1671</v>
      </c>
      <c r="U224" t="s">
        <v>1972</v>
      </c>
      <c r="V224" t="s">
        <v>1984</v>
      </c>
      <c r="W224" t="s">
        <v>352</v>
      </c>
      <c r="X224">
        <v>1532</v>
      </c>
      <c r="Y224" t="s">
        <v>2010</v>
      </c>
      <c r="Z224" t="s">
        <v>2011</v>
      </c>
      <c r="AB224" t="s">
        <v>13232</v>
      </c>
      <c r="AC224" t="s">
        <v>1691</v>
      </c>
      <c r="AD224" t="s">
        <v>15826</v>
      </c>
      <c r="AE224">
        <v>200</v>
      </c>
      <c r="AF224" t="s">
        <v>2902</v>
      </c>
      <c r="AG224" t="s">
        <v>1754</v>
      </c>
      <c r="AH224">
        <v>22</v>
      </c>
      <c r="AI224">
        <v>2</v>
      </c>
      <c r="AJ224">
        <v>0</v>
      </c>
      <c r="AK224">
        <v>238.52</v>
      </c>
      <c r="AL224" t="s">
        <v>18020</v>
      </c>
      <c r="AM224" t="s">
        <v>18031</v>
      </c>
      <c r="AN224" t="s">
        <v>2926</v>
      </c>
      <c r="AO224">
        <v>53988</v>
      </c>
      <c r="AP224" t="s">
        <v>18099</v>
      </c>
      <c r="AR224" t="s">
        <v>18450</v>
      </c>
      <c r="AS224" t="s">
        <v>2992</v>
      </c>
      <c r="AT224" t="s">
        <v>18503</v>
      </c>
      <c r="AU224">
        <v>2.3</v>
      </c>
      <c r="AV224" t="s">
        <v>378</v>
      </c>
      <c r="AW224" t="s">
        <v>3056</v>
      </c>
    </row>
    <row r="225" spans="1:50">
      <c r="A225" s="1" t="s">
        <v>129</v>
      </c>
      <c r="B225" t="s">
        <v>163</v>
      </c>
      <c r="C225" t="s">
        <v>3435</v>
      </c>
      <c r="D225" t="s">
        <v>240</v>
      </c>
      <c r="F225" t="s">
        <v>595</v>
      </c>
      <c r="G225" t="s">
        <v>7984</v>
      </c>
      <c r="H225" t="s">
        <v>9401</v>
      </c>
      <c r="J225" t="s">
        <v>1644</v>
      </c>
      <c r="K225">
        <v>11213</v>
      </c>
      <c r="L225" t="s">
        <v>1670</v>
      </c>
      <c r="M225" t="s">
        <v>1670</v>
      </c>
      <c r="N225" t="s">
        <v>11892</v>
      </c>
      <c r="O225" t="s">
        <v>1936</v>
      </c>
      <c r="P225" t="s">
        <v>1960</v>
      </c>
      <c r="R225" t="s">
        <v>50</v>
      </c>
      <c r="S225" t="s">
        <v>1671</v>
      </c>
      <c r="U225" t="s">
        <v>1972</v>
      </c>
      <c r="W225" t="s">
        <v>255</v>
      </c>
      <c r="X225">
        <v>1513.39</v>
      </c>
      <c r="Y225" t="s">
        <v>2009</v>
      </c>
      <c r="Z225" t="s">
        <v>2016</v>
      </c>
      <c r="AB225" t="s">
        <v>13233</v>
      </c>
      <c r="AE225">
        <v>31</v>
      </c>
      <c r="AF225" t="s">
        <v>2902</v>
      </c>
      <c r="AG225" t="s">
        <v>1754</v>
      </c>
      <c r="AH225" t="s">
        <v>13051</v>
      </c>
      <c r="AI225">
        <v>2</v>
      </c>
      <c r="AJ225">
        <v>0</v>
      </c>
      <c r="AK225">
        <v>238.79</v>
      </c>
      <c r="AL225" t="s">
        <v>390</v>
      </c>
      <c r="AM225" t="s">
        <v>18031</v>
      </c>
      <c r="AN225" t="s">
        <v>2926</v>
      </c>
      <c r="AO225">
        <v>40380</v>
      </c>
      <c r="AU225">
        <v>19.7</v>
      </c>
      <c r="AV225" t="s">
        <v>337</v>
      </c>
      <c r="AW225" t="s">
        <v>3059</v>
      </c>
    </row>
    <row r="226" spans="1:50">
      <c r="A226" s="1" t="s">
        <v>3155</v>
      </c>
      <c r="B226" t="s">
        <v>164</v>
      </c>
      <c r="C226" t="s">
        <v>3436</v>
      </c>
      <c r="D226" t="s">
        <v>6142</v>
      </c>
      <c r="E226" t="s">
        <v>203</v>
      </c>
      <c r="F226" t="s">
        <v>6908</v>
      </c>
      <c r="G226" t="s">
        <v>846</v>
      </c>
      <c r="H226" t="s">
        <v>9490</v>
      </c>
      <c r="I226" t="s">
        <v>10986</v>
      </c>
      <c r="J226" t="s">
        <v>1644</v>
      </c>
      <c r="K226">
        <v>11208</v>
      </c>
      <c r="L226" t="s">
        <v>1670</v>
      </c>
      <c r="M226" t="s">
        <v>1670</v>
      </c>
      <c r="N226" t="s">
        <v>11893</v>
      </c>
      <c r="O226" t="s">
        <v>1936</v>
      </c>
      <c r="P226" t="s">
        <v>1960</v>
      </c>
      <c r="Q226" t="s">
        <v>1969</v>
      </c>
      <c r="R226" t="s">
        <v>50</v>
      </c>
      <c r="U226" t="s">
        <v>1972</v>
      </c>
      <c r="W226" t="s">
        <v>1992</v>
      </c>
      <c r="X226">
        <v>11</v>
      </c>
      <c r="Y226" t="s">
        <v>2009</v>
      </c>
      <c r="Z226" t="s">
        <v>2023</v>
      </c>
      <c r="AA226" t="s">
        <v>2037</v>
      </c>
      <c r="AB226" t="s">
        <v>13234</v>
      </c>
      <c r="AC226" t="s">
        <v>15079</v>
      </c>
      <c r="AD226" t="s">
        <v>15827</v>
      </c>
      <c r="AE226">
        <v>60</v>
      </c>
      <c r="AF226" t="s">
        <v>2902</v>
      </c>
      <c r="AG226" t="s">
        <v>2915</v>
      </c>
      <c r="AH226">
        <v>22</v>
      </c>
      <c r="AI226">
        <v>1</v>
      </c>
      <c r="AJ226">
        <v>0</v>
      </c>
      <c r="AK226">
        <v>238.88</v>
      </c>
      <c r="AL226" t="s">
        <v>172</v>
      </c>
      <c r="AN226" t="s">
        <v>2926</v>
      </c>
      <c r="AO226">
        <v>29000</v>
      </c>
      <c r="AU226">
        <v>10</v>
      </c>
      <c r="AV226" t="s">
        <v>6198</v>
      </c>
      <c r="AW226" t="s">
        <v>3079</v>
      </c>
    </row>
    <row r="227" spans="1:50">
      <c r="A227" s="1" t="s">
        <v>128</v>
      </c>
      <c r="B227" t="s">
        <v>164</v>
      </c>
      <c r="C227" t="s">
        <v>3437</v>
      </c>
      <c r="D227" t="s">
        <v>336</v>
      </c>
      <c r="E227" t="s">
        <v>310</v>
      </c>
      <c r="F227" t="s">
        <v>412</v>
      </c>
      <c r="G227" t="s">
        <v>810</v>
      </c>
      <c r="H227" t="s">
        <v>9491</v>
      </c>
      <c r="I227">
        <v>206</v>
      </c>
      <c r="J227" t="s">
        <v>1641</v>
      </c>
      <c r="K227">
        <v>10453</v>
      </c>
      <c r="L227" t="s">
        <v>1670</v>
      </c>
      <c r="M227" t="s">
        <v>1670</v>
      </c>
      <c r="O227" t="s">
        <v>1941</v>
      </c>
      <c r="P227" t="s">
        <v>1958</v>
      </c>
      <c r="Q227" t="s">
        <v>1965</v>
      </c>
      <c r="R227" t="s">
        <v>50</v>
      </c>
      <c r="S227" t="s">
        <v>1671</v>
      </c>
      <c r="U227" t="s">
        <v>1972</v>
      </c>
      <c r="W227" t="s">
        <v>336</v>
      </c>
      <c r="X227" t="s">
        <v>13051</v>
      </c>
      <c r="Y227" t="s">
        <v>2006</v>
      </c>
      <c r="Z227" t="s">
        <v>2015</v>
      </c>
      <c r="AA227" t="s">
        <v>2029</v>
      </c>
      <c r="AB227" t="s">
        <v>13235</v>
      </c>
      <c r="AD227" t="s">
        <v>15828</v>
      </c>
      <c r="AE227">
        <v>54</v>
      </c>
      <c r="AF227" t="s">
        <v>2902</v>
      </c>
      <c r="AG227" t="s">
        <v>1754</v>
      </c>
      <c r="AH227" t="s">
        <v>13051</v>
      </c>
      <c r="AI227">
        <v>3</v>
      </c>
      <c r="AJ227">
        <v>0</v>
      </c>
      <c r="AK227">
        <v>239.1</v>
      </c>
      <c r="AN227" t="s">
        <v>2926</v>
      </c>
      <c r="AO227">
        <v>51000</v>
      </c>
      <c r="AU227">
        <v>1.15</v>
      </c>
      <c r="AV227" t="s">
        <v>310</v>
      </c>
      <c r="AW227" t="s">
        <v>3046</v>
      </c>
    </row>
    <row r="228" spans="1:50">
      <c r="A228" s="1" t="s">
        <v>102</v>
      </c>
      <c r="B228" t="s">
        <v>164</v>
      </c>
      <c r="C228" t="s">
        <v>3438</v>
      </c>
      <c r="D228" t="s">
        <v>6137</v>
      </c>
      <c r="E228" t="s">
        <v>367</v>
      </c>
      <c r="F228" t="s">
        <v>6796</v>
      </c>
      <c r="G228" t="s">
        <v>7985</v>
      </c>
      <c r="H228" t="s">
        <v>9492</v>
      </c>
      <c r="I228" t="s">
        <v>1486</v>
      </c>
      <c r="J228" t="s">
        <v>1643</v>
      </c>
      <c r="K228">
        <v>10029</v>
      </c>
      <c r="L228" t="s">
        <v>1670</v>
      </c>
      <c r="M228" t="s">
        <v>1670</v>
      </c>
      <c r="O228" t="s">
        <v>1675</v>
      </c>
      <c r="P228" t="s">
        <v>1958</v>
      </c>
      <c r="Q228" t="s">
        <v>1965</v>
      </c>
      <c r="R228" t="s">
        <v>50</v>
      </c>
      <c r="S228" t="s">
        <v>1671</v>
      </c>
      <c r="U228" t="s">
        <v>1972</v>
      </c>
      <c r="V228" t="s">
        <v>1984</v>
      </c>
      <c r="W228" t="s">
        <v>292</v>
      </c>
      <c r="X228">
        <v>900</v>
      </c>
      <c r="Y228" t="s">
        <v>2008</v>
      </c>
      <c r="Z228" t="s">
        <v>2024</v>
      </c>
      <c r="AA228" t="s">
        <v>2029</v>
      </c>
      <c r="AB228" t="s">
        <v>13236</v>
      </c>
      <c r="AD228" t="s">
        <v>15829</v>
      </c>
      <c r="AE228">
        <v>42</v>
      </c>
      <c r="AF228" t="s">
        <v>2902</v>
      </c>
      <c r="AG228" t="s">
        <v>1754</v>
      </c>
      <c r="AH228">
        <v>10</v>
      </c>
      <c r="AI228">
        <v>1</v>
      </c>
      <c r="AJ228">
        <v>0</v>
      </c>
      <c r="AK228">
        <v>239.6</v>
      </c>
      <c r="AL228" t="s">
        <v>340</v>
      </c>
      <c r="AM228" t="s">
        <v>18031</v>
      </c>
      <c r="AN228" t="s">
        <v>2926</v>
      </c>
      <c r="AO228">
        <v>29088</v>
      </c>
      <c r="AU228">
        <v>2</v>
      </c>
      <c r="AV228" t="s">
        <v>292</v>
      </c>
      <c r="AW228" t="s">
        <v>18658</v>
      </c>
      <c r="AX228" t="s">
        <v>18685</v>
      </c>
    </row>
    <row r="229" spans="1:50">
      <c r="A229" s="1" t="s">
        <v>3156</v>
      </c>
      <c r="B229" t="s">
        <v>164</v>
      </c>
      <c r="C229" t="s">
        <v>3439</v>
      </c>
      <c r="D229" t="s">
        <v>6143</v>
      </c>
      <c r="E229" t="s">
        <v>296</v>
      </c>
      <c r="F229" t="s">
        <v>6909</v>
      </c>
      <c r="G229" t="s">
        <v>7986</v>
      </c>
      <c r="H229" t="s">
        <v>9493</v>
      </c>
      <c r="I229" t="s">
        <v>10987</v>
      </c>
      <c r="J229" t="s">
        <v>1644</v>
      </c>
      <c r="K229">
        <v>11210</v>
      </c>
      <c r="L229" t="s">
        <v>1670</v>
      </c>
      <c r="M229" t="s">
        <v>1670</v>
      </c>
      <c r="N229" t="s">
        <v>11894</v>
      </c>
      <c r="O229" t="s">
        <v>1940</v>
      </c>
      <c r="P229" t="s">
        <v>1960</v>
      </c>
      <c r="Q229" t="s">
        <v>1969</v>
      </c>
      <c r="R229" t="s">
        <v>50</v>
      </c>
      <c r="T229" t="s">
        <v>13028</v>
      </c>
      <c r="U229" t="s">
        <v>1972</v>
      </c>
      <c r="W229" t="s">
        <v>1989</v>
      </c>
      <c r="X229">
        <v>901</v>
      </c>
      <c r="Y229" t="s">
        <v>2009</v>
      </c>
      <c r="Z229" t="s">
        <v>2023</v>
      </c>
      <c r="AA229" t="s">
        <v>2032</v>
      </c>
      <c r="AB229" t="s">
        <v>13237</v>
      </c>
      <c r="AC229" t="s">
        <v>15080</v>
      </c>
      <c r="AD229" t="s">
        <v>15830</v>
      </c>
      <c r="AE229">
        <v>36</v>
      </c>
      <c r="AF229" t="s">
        <v>2902</v>
      </c>
      <c r="AG229" t="s">
        <v>1754</v>
      </c>
      <c r="AH229">
        <v>14</v>
      </c>
      <c r="AI229">
        <v>2</v>
      </c>
      <c r="AJ229">
        <v>0</v>
      </c>
      <c r="AK229">
        <v>240.15</v>
      </c>
      <c r="AN229" t="s">
        <v>2926</v>
      </c>
      <c r="AO229">
        <v>39000</v>
      </c>
      <c r="AQ229" t="s">
        <v>2979</v>
      </c>
      <c r="AR229" t="s">
        <v>2988</v>
      </c>
      <c r="AS229" t="s">
        <v>2992</v>
      </c>
      <c r="AT229" t="s">
        <v>18504</v>
      </c>
      <c r="AU229">
        <v>65.45</v>
      </c>
      <c r="AV229" t="s">
        <v>6200</v>
      </c>
      <c r="AW229" t="s">
        <v>3069</v>
      </c>
      <c r="AX229" t="s">
        <v>18686</v>
      </c>
    </row>
    <row r="230" spans="1:50">
      <c r="A230" s="1" t="s">
        <v>73</v>
      </c>
      <c r="B230" t="s">
        <v>164</v>
      </c>
      <c r="C230" t="s">
        <v>3440</v>
      </c>
      <c r="D230" t="s">
        <v>266</v>
      </c>
      <c r="E230" t="s">
        <v>253</v>
      </c>
      <c r="F230" t="s">
        <v>6910</v>
      </c>
      <c r="G230" t="s">
        <v>7987</v>
      </c>
      <c r="H230" t="s">
        <v>9494</v>
      </c>
      <c r="J230" t="s">
        <v>1655</v>
      </c>
      <c r="K230">
        <v>11370</v>
      </c>
      <c r="L230" t="s">
        <v>1670</v>
      </c>
      <c r="M230" t="s">
        <v>1670</v>
      </c>
      <c r="O230" t="s">
        <v>1675</v>
      </c>
      <c r="P230" t="s">
        <v>1958</v>
      </c>
      <c r="Q230" t="s">
        <v>1965</v>
      </c>
      <c r="R230" t="s">
        <v>50</v>
      </c>
      <c r="S230" t="s">
        <v>1671</v>
      </c>
      <c r="U230" t="s">
        <v>1972</v>
      </c>
      <c r="W230" t="s">
        <v>316</v>
      </c>
      <c r="X230" t="s">
        <v>13051</v>
      </c>
      <c r="Y230" t="s">
        <v>2007</v>
      </c>
      <c r="Z230" t="s">
        <v>2015</v>
      </c>
      <c r="AA230" t="s">
        <v>2029</v>
      </c>
      <c r="AB230" t="s">
        <v>13238</v>
      </c>
      <c r="AC230" t="s">
        <v>15077</v>
      </c>
      <c r="AD230" t="s">
        <v>15077</v>
      </c>
      <c r="AE230" t="s">
        <v>13051</v>
      </c>
      <c r="AF230" t="s">
        <v>2904</v>
      </c>
      <c r="AG230" t="s">
        <v>1754</v>
      </c>
      <c r="AH230" t="s">
        <v>13051</v>
      </c>
      <c r="AI230">
        <v>1</v>
      </c>
      <c r="AJ230">
        <v>0</v>
      </c>
      <c r="AK230">
        <v>240.19</v>
      </c>
      <c r="AN230" t="s">
        <v>2926</v>
      </c>
      <c r="AO230">
        <v>30000</v>
      </c>
      <c r="AU230">
        <v>0.05</v>
      </c>
      <c r="AV230" t="s">
        <v>253</v>
      </c>
      <c r="AW230" t="s">
        <v>73</v>
      </c>
    </row>
    <row r="231" spans="1:50">
      <c r="A231" s="1" t="s">
        <v>119</v>
      </c>
      <c r="B231" t="s">
        <v>164</v>
      </c>
      <c r="C231" t="s">
        <v>3441</v>
      </c>
      <c r="D231" t="s">
        <v>2001</v>
      </c>
      <c r="E231" t="s">
        <v>266</v>
      </c>
      <c r="F231" t="s">
        <v>686</v>
      </c>
      <c r="G231" t="s">
        <v>7988</v>
      </c>
      <c r="H231" t="s">
        <v>9495</v>
      </c>
      <c r="I231" t="s">
        <v>1553</v>
      </c>
      <c r="J231" t="s">
        <v>1644</v>
      </c>
      <c r="K231">
        <v>11207</v>
      </c>
      <c r="L231" t="s">
        <v>1670</v>
      </c>
      <c r="M231" t="s">
        <v>1670</v>
      </c>
      <c r="N231" t="s">
        <v>11895</v>
      </c>
      <c r="O231" t="s">
        <v>1940</v>
      </c>
      <c r="P231" t="s">
        <v>1958</v>
      </c>
      <c r="Q231" t="s">
        <v>1965</v>
      </c>
      <c r="R231" t="s">
        <v>50</v>
      </c>
      <c r="S231" t="s">
        <v>1671</v>
      </c>
      <c r="U231" t="s">
        <v>1972</v>
      </c>
      <c r="W231" t="s">
        <v>266</v>
      </c>
      <c r="X231">
        <v>500</v>
      </c>
      <c r="Y231" t="s">
        <v>2009</v>
      </c>
      <c r="Z231" t="s">
        <v>2025</v>
      </c>
      <c r="AA231" t="s">
        <v>2029</v>
      </c>
      <c r="AB231" t="s">
        <v>13239</v>
      </c>
      <c r="AD231" t="s">
        <v>15831</v>
      </c>
      <c r="AE231">
        <v>2</v>
      </c>
      <c r="AF231" t="s">
        <v>2903</v>
      </c>
      <c r="AG231" t="s">
        <v>1754</v>
      </c>
      <c r="AH231">
        <v>2</v>
      </c>
      <c r="AI231">
        <v>1</v>
      </c>
      <c r="AJ231">
        <v>0</v>
      </c>
      <c r="AK231">
        <v>240.19</v>
      </c>
      <c r="AN231" t="s">
        <v>2926</v>
      </c>
      <c r="AO231">
        <v>30000</v>
      </c>
      <c r="AU231">
        <v>1.4</v>
      </c>
      <c r="AV231" t="s">
        <v>266</v>
      </c>
      <c r="AW231" t="s">
        <v>3059</v>
      </c>
    </row>
    <row r="232" spans="1:50">
      <c r="A232" s="1" t="s">
        <v>91</v>
      </c>
      <c r="B232" t="s">
        <v>163</v>
      </c>
      <c r="C232" t="s">
        <v>3442</v>
      </c>
      <c r="D232" t="s">
        <v>189</v>
      </c>
      <c r="F232" t="s">
        <v>6911</v>
      </c>
      <c r="G232" t="s">
        <v>7989</v>
      </c>
      <c r="H232" t="s">
        <v>9496</v>
      </c>
      <c r="I232" t="s">
        <v>10988</v>
      </c>
      <c r="J232" t="s">
        <v>1643</v>
      </c>
      <c r="K232">
        <v>10033</v>
      </c>
      <c r="L232" t="s">
        <v>1670</v>
      </c>
      <c r="M232" t="s">
        <v>1670</v>
      </c>
      <c r="O232" t="s">
        <v>1675</v>
      </c>
      <c r="P232" t="s">
        <v>1958</v>
      </c>
      <c r="R232" t="s">
        <v>50</v>
      </c>
      <c r="S232" t="s">
        <v>1671</v>
      </c>
      <c r="U232" t="s">
        <v>1972</v>
      </c>
      <c r="W232" t="s">
        <v>189</v>
      </c>
      <c r="X232">
        <v>1895</v>
      </c>
      <c r="Y232" t="s">
        <v>2008</v>
      </c>
      <c r="Z232" t="s">
        <v>2013</v>
      </c>
      <c r="AA232" t="s">
        <v>2029</v>
      </c>
      <c r="AB232" t="s">
        <v>13240</v>
      </c>
      <c r="AE232">
        <v>91</v>
      </c>
      <c r="AF232" t="s">
        <v>2902</v>
      </c>
      <c r="AG232" t="s">
        <v>1754</v>
      </c>
      <c r="AH232">
        <v>17</v>
      </c>
      <c r="AI232">
        <v>1</v>
      </c>
      <c r="AJ232">
        <v>0</v>
      </c>
      <c r="AK232">
        <v>240.19</v>
      </c>
      <c r="AN232" t="s">
        <v>2926</v>
      </c>
      <c r="AO232">
        <v>30000</v>
      </c>
      <c r="AU232">
        <v>2</v>
      </c>
      <c r="AV232" t="s">
        <v>369</v>
      </c>
      <c r="AW232" t="s">
        <v>3042</v>
      </c>
    </row>
    <row r="233" spans="1:50">
      <c r="A233" s="1" t="s">
        <v>64</v>
      </c>
      <c r="B233" t="s">
        <v>164</v>
      </c>
      <c r="C233" t="s">
        <v>3443</v>
      </c>
      <c r="D233" t="s">
        <v>266</v>
      </c>
      <c r="E233" t="s">
        <v>401</v>
      </c>
      <c r="F233" t="s">
        <v>6912</v>
      </c>
      <c r="G233" t="s">
        <v>7990</v>
      </c>
      <c r="H233" t="s">
        <v>9497</v>
      </c>
      <c r="I233" t="s">
        <v>1506</v>
      </c>
      <c r="J233" t="s">
        <v>1643</v>
      </c>
      <c r="K233">
        <v>10034</v>
      </c>
      <c r="L233" t="s">
        <v>1670</v>
      </c>
      <c r="M233" t="s">
        <v>1670</v>
      </c>
      <c r="O233" t="s">
        <v>1939</v>
      </c>
      <c r="P233" t="s">
        <v>1962</v>
      </c>
      <c r="Q233" t="s">
        <v>1968</v>
      </c>
      <c r="R233" t="s">
        <v>50</v>
      </c>
      <c r="S233" t="s">
        <v>1671</v>
      </c>
      <c r="U233" t="s">
        <v>1972</v>
      </c>
      <c r="W233" t="s">
        <v>266</v>
      </c>
      <c r="X233">
        <v>1040.34</v>
      </c>
      <c r="Y233" t="s">
        <v>2008</v>
      </c>
      <c r="Z233" t="s">
        <v>2013</v>
      </c>
      <c r="AA233" t="s">
        <v>2029</v>
      </c>
      <c r="AB233" t="s">
        <v>13241</v>
      </c>
      <c r="AD233" t="s">
        <v>15832</v>
      </c>
      <c r="AE233">
        <v>48</v>
      </c>
      <c r="AF233" t="s">
        <v>2902</v>
      </c>
      <c r="AG233" t="s">
        <v>1754</v>
      </c>
      <c r="AH233">
        <v>25</v>
      </c>
      <c r="AI233">
        <v>1</v>
      </c>
      <c r="AJ233">
        <v>0</v>
      </c>
      <c r="AK233">
        <v>240.19</v>
      </c>
      <c r="AN233" t="s">
        <v>2926</v>
      </c>
      <c r="AO233">
        <v>30000</v>
      </c>
      <c r="AU233">
        <v>0.3</v>
      </c>
      <c r="AV233" t="s">
        <v>404</v>
      </c>
      <c r="AW233" t="s">
        <v>3042</v>
      </c>
      <c r="AX233" t="s">
        <v>18685</v>
      </c>
    </row>
    <row r="234" spans="1:50">
      <c r="A234" s="1" t="s">
        <v>3157</v>
      </c>
      <c r="B234" t="s">
        <v>163</v>
      </c>
      <c r="C234" t="s">
        <v>3444</v>
      </c>
      <c r="D234" t="s">
        <v>404</v>
      </c>
      <c r="F234" t="s">
        <v>660</v>
      </c>
      <c r="G234" t="s">
        <v>7991</v>
      </c>
      <c r="H234" t="s">
        <v>9498</v>
      </c>
      <c r="I234">
        <v>53</v>
      </c>
      <c r="J234" t="s">
        <v>1643</v>
      </c>
      <c r="K234">
        <v>10033</v>
      </c>
      <c r="L234" t="s">
        <v>1670</v>
      </c>
      <c r="M234" t="s">
        <v>1672</v>
      </c>
      <c r="O234" t="s">
        <v>1941</v>
      </c>
      <c r="P234" t="s">
        <v>1962</v>
      </c>
      <c r="R234" t="s">
        <v>50</v>
      </c>
      <c r="S234" t="s">
        <v>1671</v>
      </c>
      <c r="U234" t="s">
        <v>1972</v>
      </c>
      <c r="W234" t="s">
        <v>404</v>
      </c>
      <c r="X234">
        <v>2050</v>
      </c>
      <c r="Y234" t="s">
        <v>2008</v>
      </c>
      <c r="Z234" t="s">
        <v>2013</v>
      </c>
      <c r="AB234" t="s">
        <v>13242</v>
      </c>
      <c r="AD234" t="s">
        <v>15833</v>
      </c>
      <c r="AE234">
        <v>58</v>
      </c>
      <c r="AF234" t="s">
        <v>2902</v>
      </c>
      <c r="AG234" t="s">
        <v>1754</v>
      </c>
      <c r="AH234">
        <v>8</v>
      </c>
      <c r="AI234">
        <v>1</v>
      </c>
      <c r="AJ234">
        <v>0</v>
      </c>
      <c r="AK234">
        <v>240.19</v>
      </c>
      <c r="AN234" t="s">
        <v>2926</v>
      </c>
      <c r="AO234">
        <v>30000</v>
      </c>
      <c r="AU234">
        <v>0.25</v>
      </c>
      <c r="AV234" t="s">
        <v>379</v>
      </c>
      <c r="AW234" t="s">
        <v>3042</v>
      </c>
      <c r="AX234" t="s">
        <v>18685</v>
      </c>
    </row>
    <row r="235" spans="1:50">
      <c r="A235" s="1" t="s">
        <v>3150</v>
      </c>
      <c r="B235" t="s">
        <v>163</v>
      </c>
      <c r="C235" t="s">
        <v>3445</v>
      </c>
      <c r="D235" t="s">
        <v>206</v>
      </c>
      <c r="F235" t="s">
        <v>555</v>
      </c>
      <c r="G235" t="s">
        <v>7992</v>
      </c>
      <c r="H235" t="s">
        <v>9499</v>
      </c>
      <c r="I235" t="s">
        <v>10989</v>
      </c>
      <c r="J235" t="s">
        <v>1643</v>
      </c>
      <c r="K235">
        <v>10035</v>
      </c>
      <c r="L235" t="s">
        <v>1670</v>
      </c>
      <c r="M235" t="s">
        <v>1672</v>
      </c>
      <c r="N235" t="s">
        <v>11896</v>
      </c>
      <c r="O235" t="s">
        <v>1936</v>
      </c>
      <c r="P235" t="s">
        <v>1963</v>
      </c>
      <c r="R235" t="s">
        <v>50</v>
      </c>
      <c r="S235" t="s">
        <v>1671</v>
      </c>
      <c r="U235" t="s">
        <v>1972</v>
      </c>
      <c r="V235" t="s">
        <v>1984</v>
      </c>
      <c r="W235" t="s">
        <v>206</v>
      </c>
      <c r="X235">
        <v>2900</v>
      </c>
      <c r="Y235" t="s">
        <v>2008</v>
      </c>
      <c r="Z235" t="s">
        <v>2019</v>
      </c>
      <c r="AB235" t="s">
        <v>13243</v>
      </c>
      <c r="AD235" t="s">
        <v>15834</v>
      </c>
      <c r="AE235">
        <v>45</v>
      </c>
      <c r="AF235" t="s">
        <v>2904</v>
      </c>
      <c r="AG235" t="s">
        <v>1754</v>
      </c>
      <c r="AH235">
        <v>10</v>
      </c>
      <c r="AI235">
        <v>1</v>
      </c>
      <c r="AJ235">
        <v>0</v>
      </c>
      <c r="AK235">
        <v>240.19</v>
      </c>
      <c r="AN235" t="s">
        <v>2926</v>
      </c>
      <c r="AO235">
        <v>30000</v>
      </c>
      <c r="AU235" t="s">
        <v>13051</v>
      </c>
      <c r="AW235" t="s">
        <v>3051</v>
      </c>
      <c r="AX235" t="s">
        <v>18685</v>
      </c>
    </row>
    <row r="236" spans="1:50">
      <c r="A236" s="1" t="s">
        <v>57</v>
      </c>
      <c r="B236" t="s">
        <v>163</v>
      </c>
      <c r="C236" t="s">
        <v>3446</v>
      </c>
      <c r="D236" t="s">
        <v>266</v>
      </c>
      <c r="F236" t="s">
        <v>6913</v>
      </c>
      <c r="G236" t="s">
        <v>7993</v>
      </c>
      <c r="H236" t="s">
        <v>9500</v>
      </c>
      <c r="I236" t="s">
        <v>10990</v>
      </c>
      <c r="J236" t="s">
        <v>1641</v>
      </c>
      <c r="K236">
        <v>10453</v>
      </c>
      <c r="L236" t="s">
        <v>1670</v>
      </c>
      <c r="M236" t="s">
        <v>1670</v>
      </c>
      <c r="O236" t="s">
        <v>1938</v>
      </c>
      <c r="P236" t="s">
        <v>1961</v>
      </c>
      <c r="R236" t="s">
        <v>50</v>
      </c>
      <c r="S236" t="s">
        <v>1670</v>
      </c>
      <c r="U236" t="s">
        <v>1972</v>
      </c>
      <c r="W236" t="s">
        <v>283</v>
      </c>
      <c r="X236">
        <v>688.0599999999999</v>
      </c>
      <c r="Y236" t="s">
        <v>2006</v>
      </c>
      <c r="Z236" t="s">
        <v>2016</v>
      </c>
      <c r="AB236" t="s">
        <v>13244</v>
      </c>
      <c r="AD236" t="s">
        <v>15835</v>
      </c>
      <c r="AE236">
        <v>170</v>
      </c>
      <c r="AF236" t="s">
        <v>2902</v>
      </c>
      <c r="AG236" t="s">
        <v>1754</v>
      </c>
      <c r="AH236">
        <v>25</v>
      </c>
      <c r="AI236">
        <v>1</v>
      </c>
      <c r="AJ236">
        <v>0</v>
      </c>
      <c r="AK236">
        <v>240.19</v>
      </c>
      <c r="AN236" t="s">
        <v>2926</v>
      </c>
      <c r="AO236">
        <v>30000</v>
      </c>
      <c r="AU236" t="s">
        <v>13051</v>
      </c>
      <c r="AW236" t="s">
        <v>3045</v>
      </c>
    </row>
    <row r="237" spans="1:50">
      <c r="A237" s="1" t="s">
        <v>57</v>
      </c>
      <c r="B237" t="s">
        <v>163</v>
      </c>
      <c r="C237" t="s">
        <v>3447</v>
      </c>
      <c r="D237" t="s">
        <v>254</v>
      </c>
      <c r="F237" t="s">
        <v>6914</v>
      </c>
      <c r="G237" t="s">
        <v>685</v>
      </c>
      <c r="H237" t="s">
        <v>1112</v>
      </c>
      <c r="I237" t="s">
        <v>10991</v>
      </c>
      <c r="J237" t="s">
        <v>1641</v>
      </c>
      <c r="K237">
        <v>10453</v>
      </c>
      <c r="L237" t="s">
        <v>1670</v>
      </c>
      <c r="M237" t="s">
        <v>1670</v>
      </c>
      <c r="O237" t="s">
        <v>1938</v>
      </c>
      <c r="P237" t="s">
        <v>1961</v>
      </c>
      <c r="R237" t="s">
        <v>50</v>
      </c>
      <c r="S237" t="s">
        <v>1670</v>
      </c>
      <c r="U237" t="s">
        <v>1972</v>
      </c>
      <c r="W237" t="s">
        <v>283</v>
      </c>
      <c r="X237">
        <v>956</v>
      </c>
      <c r="Y237" t="s">
        <v>2006</v>
      </c>
      <c r="Z237" t="s">
        <v>2015</v>
      </c>
      <c r="AB237" t="s">
        <v>13245</v>
      </c>
      <c r="AD237" t="s">
        <v>15836</v>
      </c>
      <c r="AE237">
        <v>167</v>
      </c>
      <c r="AF237" t="s">
        <v>2902</v>
      </c>
      <c r="AG237" t="s">
        <v>1754</v>
      </c>
      <c r="AH237">
        <v>20</v>
      </c>
      <c r="AI237">
        <v>1</v>
      </c>
      <c r="AJ237">
        <v>0</v>
      </c>
      <c r="AK237">
        <v>240.19</v>
      </c>
      <c r="AN237" t="s">
        <v>2926</v>
      </c>
      <c r="AO237">
        <v>30000</v>
      </c>
      <c r="AU237" t="s">
        <v>13051</v>
      </c>
      <c r="AW237" t="s">
        <v>3046</v>
      </c>
    </row>
    <row r="238" spans="1:50">
      <c r="A238" s="1" t="s">
        <v>57</v>
      </c>
      <c r="B238" t="s">
        <v>163</v>
      </c>
      <c r="C238" t="s">
        <v>3448</v>
      </c>
      <c r="D238" t="s">
        <v>165</v>
      </c>
      <c r="F238" t="s">
        <v>6913</v>
      </c>
      <c r="G238" t="s">
        <v>7993</v>
      </c>
      <c r="H238" t="s">
        <v>9500</v>
      </c>
      <c r="I238" t="s">
        <v>10990</v>
      </c>
      <c r="J238" t="s">
        <v>1641</v>
      </c>
      <c r="K238">
        <v>10453</v>
      </c>
      <c r="L238" t="s">
        <v>1670</v>
      </c>
      <c r="M238" t="s">
        <v>1670</v>
      </c>
      <c r="N238" t="s">
        <v>1677</v>
      </c>
      <c r="O238" t="s">
        <v>1939</v>
      </c>
      <c r="P238" t="s">
        <v>1960</v>
      </c>
      <c r="R238" t="s">
        <v>50</v>
      </c>
      <c r="S238" t="s">
        <v>1670</v>
      </c>
      <c r="U238" t="s">
        <v>1972</v>
      </c>
      <c r="W238" t="s">
        <v>283</v>
      </c>
      <c r="X238">
        <v>688.0599999999999</v>
      </c>
      <c r="Y238" t="s">
        <v>2006</v>
      </c>
      <c r="Z238" t="s">
        <v>2016</v>
      </c>
      <c r="AB238" t="s">
        <v>13244</v>
      </c>
      <c r="AD238" t="s">
        <v>15835</v>
      </c>
      <c r="AE238">
        <v>170</v>
      </c>
      <c r="AF238" t="s">
        <v>2902</v>
      </c>
      <c r="AG238" t="s">
        <v>1754</v>
      </c>
      <c r="AH238">
        <v>25</v>
      </c>
      <c r="AI238">
        <v>1</v>
      </c>
      <c r="AJ238">
        <v>0</v>
      </c>
      <c r="AK238">
        <v>240.19</v>
      </c>
      <c r="AN238" t="s">
        <v>2926</v>
      </c>
      <c r="AO238">
        <v>30000</v>
      </c>
      <c r="AU238" t="s">
        <v>13051</v>
      </c>
      <c r="AW238" t="s">
        <v>3045</v>
      </c>
    </row>
    <row r="239" spans="1:50">
      <c r="A239" s="1" t="s">
        <v>57</v>
      </c>
      <c r="B239" t="s">
        <v>163</v>
      </c>
      <c r="C239" t="s">
        <v>3449</v>
      </c>
      <c r="D239" t="s">
        <v>254</v>
      </c>
      <c r="F239" t="s">
        <v>6914</v>
      </c>
      <c r="G239" t="s">
        <v>685</v>
      </c>
      <c r="H239" t="s">
        <v>1112</v>
      </c>
      <c r="I239" t="s">
        <v>10991</v>
      </c>
      <c r="J239" t="s">
        <v>1641</v>
      </c>
      <c r="K239">
        <v>10453</v>
      </c>
      <c r="L239" t="s">
        <v>1670</v>
      </c>
      <c r="M239" t="s">
        <v>1670</v>
      </c>
      <c r="N239" t="s">
        <v>1677</v>
      </c>
      <c r="O239" t="s">
        <v>1939</v>
      </c>
      <c r="P239" t="s">
        <v>1960</v>
      </c>
      <c r="R239" t="s">
        <v>50</v>
      </c>
      <c r="S239" t="s">
        <v>1670</v>
      </c>
      <c r="U239" t="s">
        <v>1972</v>
      </c>
      <c r="W239" t="s">
        <v>283</v>
      </c>
      <c r="X239">
        <v>956</v>
      </c>
      <c r="Y239" t="s">
        <v>2006</v>
      </c>
      <c r="Z239" t="s">
        <v>2015</v>
      </c>
      <c r="AB239" t="s">
        <v>13245</v>
      </c>
      <c r="AD239" t="s">
        <v>15836</v>
      </c>
      <c r="AE239">
        <v>167</v>
      </c>
      <c r="AF239" t="s">
        <v>2902</v>
      </c>
      <c r="AG239" t="s">
        <v>1754</v>
      </c>
      <c r="AH239">
        <v>20</v>
      </c>
      <c r="AI239">
        <v>1</v>
      </c>
      <c r="AJ239">
        <v>0</v>
      </c>
      <c r="AK239">
        <v>240.19</v>
      </c>
      <c r="AN239" t="s">
        <v>2926</v>
      </c>
      <c r="AO239">
        <v>30000</v>
      </c>
      <c r="AU239" t="s">
        <v>13051</v>
      </c>
      <c r="AW239" t="s">
        <v>3046</v>
      </c>
    </row>
    <row r="240" spans="1:50">
      <c r="A240" s="1" t="s">
        <v>88</v>
      </c>
      <c r="B240" t="s">
        <v>164</v>
      </c>
      <c r="C240" t="s">
        <v>3450</v>
      </c>
      <c r="D240" t="s">
        <v>271</v>
      </c>
      <c r="E240" t="s">
        <v>379</v>
      </c>
      <c r="F240" t="s">
        <v>6857</v>
      </c>
      <c r="G240" t="s">
        <v>7943</v>
      </c>
      <c r="H240" t="s">
        <v>9448</v>
      </c>
      <c r="I240">
        <v>414</v>
      </c>
      <c r="J240" t="s">
        <v>1644</v>
      </c>
      <c r="K240">
        <v>11207</v>
      </c>
      <c r="L240" t="s">
        <v>1670</v>
      </c>
      <c r="M240" t="s">
        <v>1670</v>
      </c>
      <c r="N240" t="s">
        <v>11866</v>
      </c>
      <c r="O240" t="s">
        <v>1936</v>
      </c>
      <c r="P240" t="s">
        <v>1960</v>
      </c>
      <c r="Q240" t="s">
        <v>1969</v>
      </c>
      <c r="R240" t="s">
        <v>50</v>
      </c>
      <c r="S240" t="s">
        <v>1671</v>
      </c>
      <c r="U240" t="s">
        <v>1972</v>
      </c>
      <c r="V240" t="s">
        <v>1983</v>
      </c>
      <c r="W240" t="s">
        <v>266</v>
      </c>
      <c r="X240">
        <v>1275</v>
      </c>
      <c r="Y240" t="s">
        <v>2009</v>
      </c>
      <c r="Z240" t="s">
        <v>2014</v>
      </c>
      <c r="AA240" t="s">
        <v>2032</v>
      </c>
      <c r="AB240" t="s">
        <v>13169</v>
      </c>
      <c r="AC240" t="s">
        <v>15081</v>
      </c>
      <c r="AD240" t="s">
        <v>15780</v>
      </c>
      <c r="AE240">
        <v>88</v>
      </c>
      <c r="AF240" t="s">
        <v>2902</v>
      </c>
      <c r="AG240" t="s">
        <v>2917</v>
      </c>
      <c r="AH240">
        <v>1</v>
      </c>
      <c r="AI240">
        <v>3</v>
      </c>
      <c r="AJ240">
        <v>1</v>
      </c>
      <c r="AK240">
        <v>240.49</v>
      </c>
      <c r="AL240" t="s">
        <v>390</v>
      </c>
      <c r="AM240" t="s">
        <v>18031</v>
      </c>
      <c r="AN240" t="s">
        <v>2935</v>
      </c>
      <c r="AO240">
        <v>60364</v>
      </c>
      <c r="AQ240" t="s">
        <v>2976</v>
      </c>
      <c r="AR240" t="s">
        <v>2989</v>
      </c>
      <c r="AS240" t="s">
        <v>2992</v>
      </c>
      <c r="AT240" t="s">
        <v>2999</v>
      </c>
      <c r="AU240">
        <v>31.9</v>
      </c>
      <c r="AV240" t="s">
        <v>322</v>
      </c>
      <c r="AW240" t="s">
        <v>3059</v>
      </c>
      <c r="AX240" t="s">
        <v>18685</v>
      </c>
    </row>
    <row r="241" spans="1:50">
      <c r="A241" s="1" t="s">
        <v>132</v>
      </c>
      <c r="B241" t="s">
        <v>164</v>
      </c>
      <c r="C241" t="s">
        <v>3451</v>
      </c>
      <c r="D241" t="s">
        <v>373</v>
      </c>
      <c r="E241" t="s">
        <v>395</v>
      </c>
      <c r="F241" t="s">
        <v>6893</v>
      </c>
      <c r="G241" t="s">
        <v>7970</v>
      </c>
      <c r="H241" t="s">
        <v>1248</v>
      </c>
      <c r="I241" t="s">
        <v>1534</v>
      </c>
      <c r="J241" t="s">
        <v>1644</v>
      </c>
      <c r="K241">
        <v>11213</v>
      </c>
      <c r="L241" t="s">
        <v>1670</v>
      </c>
      <c r="M241" t="s">
        <v>1670</v>
      </c>
      <c r="O241" t="s">
        <v>1937</v>
      </c>
      <c r="P241" t="s">
        <v>1962</v>
      </c>
      <c r="Q241" t="s">
        <v>1968</v>
      </c>
      <c r="R241" t="s">
        <v>50</v>
      </c>
      <c r="S241" t="s">
        <v>1670</v>
      </c>
      <c r="U241" t="s">
        <v>1972</v>
      </c>
      <c r="W241" t="s">
        <v>408</v>
      </c>
      <c r="X241">
        <v>693</v>
      </c>
      <c r="Y241" t="s">
        <v>2009</v>
      </c>
      <c r="Z241" t="s">
        <v>2027</v>
      </c>
      <c r="AA241" t="s">
        <v>2031</v>
      </c>
      <c r="AB241" t="s">
        <v>13212</v>
      </c>
      <c r="AD241" t="s">
        <v>15812</v>
      </c>
      <c r="AE241">
        <v>19</v>
      </c>
      <c r="AF241" t="s">
        <v>2902</v>
      </c>
      <c r="AG241" t="s">
        <v>1754</v>
      </c>
      <c r="AH241">
        <v>20</v>
      </c>
      <c r="AI241">
        <v>2</v>
      </c>
      <c r="AJ241">
        <v>1</v>
      </c>
      <c r="AK241">
        <v>240.62</v>
      </c>
      <c r="AN241" t="s">
        <v>2926</v>
      </c>
      <c r="AO241">
        <v>50000</v>
      </c>
      <c r="AU241">
        <v>0.08</v>
      </c>
      <c r="AV241" t="s">
        <v>332</v>
      </c>
      <c r="AW241" t="s">
        <v>3059</v>
      </c>
    </row>
    <row r="242" spans="1:50">
      <c r="A242" s="1" t="s">
        <v>132</v>
      </c>
      <c r="B242" t="s">
        <v>163</v>
      </c>
      <c r="C242" t="s">
        <v>3452</v>
      </c>
      <c r="D242" t="s">
        <v>373</v>
      </c>
      <c r="F242" t="s">
        <v>6893</v>
      </c>
      <c r="G242" t="s">
        <v>7970</v>
      </c>
      <c r="H242" t="s">
        <v>1248</v>
      </c>
      <c r="I242" t="s">
        <v>1534</v>
      </c>
      <c r="J242" t="s">
        <v>1644</v>
      </c>
      <c r="K242">
        <v>11213</v>
      </c>
      <c r="L242" t="s">
        <v>1670</v>
      </c>
      <c r="M242" t="s">
        <v>1670</v>
      </c>
      <c r="O242" t="s">
        <v>1938</v>
      </c>
      <c r="P242" t="s">
        <v>1961</v>
      </c>
      <c r="R242" t="s">
        <v>50</v>
      </c>
      <c r="S242" t="s">
        <v>1670</v>
      </c>
      <c r="U242" t="s">
        <v>1972</v>
      </c>
      <c r="W242" t="s">
        <v>408</v>
      </c>
      <c r="X242">
        <v>693</v>
      </c>
      <c r="Y242" t="s">
        <v>2009</v>
      </c>
      <c r="Z242" t="s">
        <v>2027</v>
      </c>
      <c r="AB242" t="s">
        <v>13212</v>
      </c>
      <c r="AD242" t="s">
        <v>15812</v>
      </c>
      <c r="AE242">
        <v>19</v>
      </c>
      <c r="AF242" t="s">
        <v>2902</v>
      </c>
      <c r="AG242" t="s">
        <v>1754</v>
      </c>
      <c r="AH242">
        <v>20</v>
      </c>
      <c r="AI242">
        <v>2</v>
      </c>
      <c r="AJ242">
        <v>1</v>
      </c>
      <c r="AK242">
        <v>240.62</v>
      </c>
      <c r="AL242" t="s">
        <v>18021</v>
      </c>
      <c r="AM242" t="s">
        <v>18031</v>
      </c>
      <c r="AN242" t="s">
        <v>2926</v>
      </c>
      <c r="AO242">
        <v>50000</v>
      </c>
      <c r="AU242" t="s">
        <v>13051</v>
      </c>
      <c r="AW242" t="s">
        <v>3059</v>
      </c>
    </row>
    <row r="243" spans="1:50">
      <c r="A243" s="1" t="s">
        <v>132</v>
      </c>
      <c r="B243" t="s">
        <v>163</v>
      </c>
      <c r="C243" t="s">
        <v>3453</v>
      </c>
      <c r="D243" t="s">
        <v>344</v>
      </c>
      <c r="F243" t="s">
        <v>6893</v>
      </c>
      <c r="G243" t="s">
        <v>7970</v>
      </c>
      <c r="H243" t="s">
        <v>1248</v>
      </c>
      <c r="I243" t="s">
        <v>1534</v>
      </c>
      <c r="J243" t="s">
        <v>1644</v>
      </c>
      <c r="K243">
        <v>11213</v>
      </c>
      <c r="L243" t="s">
        <v>1670</v>
      </c>
      <c r="M243" t="s">
        <v>1670</v>
      </c>
      <c r="N243" t="s">
        <v>1813</v>
      </c>
      <c r="O243" t="s">
        <v>1939</v>
      </c>
      <c r="P243" t="s">
        <v>1960</v>
      </c>
      <c r="R243" t="s">
        <v>50</v>
      </c>
      <c r="S243" t="s">
        <v>1670</v>
      </c>
      <c r="U243" t="s">
        <v>1972</v>
      </c>
      <c r="W243" t="s">
        <v>408</v>
      </c>
      <c r="X243">
        <v>693</v>
      </c>
      <c r="Y243" t="s">
        <v>2009</v>
      </c>
      <c r="Z243" t="s">
        <v>2027</v>
      </c>
      <c r="AB243" t="s">
        <v>13212</v>
      </c>
      <c r="AD243" t="s">
        <v>15812</v>
      </c>
      <c r="AE243">
        <v>19</v>
      </c>
      <c r="AF243" t="s">
        <v>2902</v>
      </c>
      <c r="AG243" t="s">
        <v>1754</v>
      </c>
      <c r="AH243">
        <v>20</v>
      </c>
      <c r="AI243">
        <v>2</v>
      </c>
      <c r="AJ243">
        <v>1</v>
      </c>
      <c r="AK243">
        <v>240.62</v>
      </c>
      <c r="AL243" t="s">
        <v>399</v>
      </c>
      <c r="AM243" t="s">
        <v>18031</v>
      </c>
      <c r="AN243" t="s">
        <v>2926</v>
      </c>
      <c r="AO243">
        <v>50000</v>
      </c>
      <c r="AU243" t="s">
        <v>13051</v>
      </c>
      <c r="AW243" t="s">
        <v>129</v>
      </c>
    </row>
    <row r="244" spans="1:50">
      <c r="A244" s="1" t="s">
        <v>97</v>
      </c>
      <c r="B244" t="s">
        <v>163</v>
      </c>
      <c r="C244" t="s">
        <v>3454</v>
      </c>
      <c r="D244" t="s">
        <v>332</v>
      </c>
      <c r="F244" t="s">
        <v>529</v>
      </c>
      <c r="G244" t="s">
        <v>568</v>
      </c>
      <c r="H244" t="s">
        <v>1244</v>
      </c>
      <c r="I244">
        <v>1</v>
      </c>
      <c r="J244" t="s">
        <v>1643</v>
      </c>
      <c r="K244">
        <v>10034</v>
      </c>
      <c r="L244" t="s">
        <v>1670</v>
      </c>
      <c r="M244" t="s">
        <v>1670</v>
      </c>
      <c r="N244" t="s">
        <v>1771</v>
      </c>
      <c r="O244" t="s">
        <v>1939</v>
      </c>
      <c r="P244" t="s">
        <v>1960</v>
      </c>
      <c r="R244" t="s">
        <v>50</v>
      </c>
      <c r="S244" t="s">
        <v>1670</v>
      </c>
      <c r="U244" t="s">
        <v>1972</v>
      </c>
      <c r="W244" t="s">
        <v>332</v>
      </c>
      <c r="X244">
        <v>1679</v>
      </c>
      <c r="Y244" t="s">
        <v>2008</v>
      </c>
      <c r="Z244" t="s">
        <v>2013</v>
      </c>
      <c r="AB244" t="s">
        <v>13246</v>
      </c>
      <c r="AD244" t="s">
        <v>15837</v>
      </c>
      <c r="AE244">
        <v>25</v>
      </c>
      <c r="AF244" t="s">
        <v>2902</v>
      </c>
      <c r="AG244" t="s">
        <v>1754</v>
      </c>
      <c r="AH244">
        <v>9</v>
      </c>
      <c r="AI244">
        <v>2</v>
      </c>
      <c r="AJ244">
        <v>1</v>
      </c>
      <c r="AK244">
        <v>240.62</v>
      </c>
      <c r="AN244" t="s">
        <v>2926</v>
      </c>
      <c r="AO244">
        <v>50000</v>
      </c>
      <c r="AU244">
        <v>0.6</v>
      </c>
      <c r="AV244" t="s">
        <v>6191</v>
      </c>
      <c r="AW244" t="s">
        <v>3042</v>
      </c>
    </row>
    <row r="245" spans="1:50">
      <c r="A245" s="1" t="s">
        <v>64</v>
      </c>
      <c r="B245" t="s">
        <v>163</v>
      </c>
      <c r="C245" t="s">
        <v>3455</v>
      </c>
      <c r="D245" t="s">
        <v>169</v>
      </c>
      <c r="F245" t="s">
        <v>624</v>
      </c>
      <c r="G245" t="s">
        <v>808</v>
      </c>
      <c r="H245" t="s">
        <v>1243</v>
      </c>
      <c r="I245" t="s">
        <v>10992</v>
      </c>
      <c r="J245" t="s">
        <v>1643</v>
      </c>
      <c r="K245">
        <v>10033</v>
      </c>
      <c r="L245" t="s">
        <v>1670</v>
      </c>
      <c r="M245" t="s">
        <v>1670</v>
      </c>
      <c r="O245" t="s">
        <v>1939</v>
      </c>
      <c r="P245" t="s">
        <v>1962</v>
      </c>
      <c r="R245" t="s">
        <v>50</v>
      </c>
      <c r="S245" t="s">
        <v>1670</v>
      </c>
      <c r="U245" t="s">
        <v>1972</v>
      </c>
      <c r="W245" t="s">
        <v>169</v>
      </c>
      <c r="X245">
        <v>1431.7</v>
      </c>
      <c r="Y245" t="s">
        <v>2008</v>
      </c>
      <c r="Z245" t="s">
        <v>2016</v>
      </c>
      <c r="AB245" t="s">
        <v>13247</v>
      </c>
      <c r="AD245" t="s">
        <v>15838</v>
      </c>
      <c r="AE245">
        <v>232</v>
      </c>
      <c r="AF245" t="s">
        <v>2902</v>
      </c>
      <c r="AG245" t="s">
        <v>1754</v>
      </c>
      <c r="AH245">
        <v>24</v>
      </c>
      <c r="AI245">
        <v>3</v>
      </c>
      <c r="AJ245">
        <v>0</v>
      </c>
      <c r="AK245">
        <v>241.1</v>
      </c>
      <c r="AN245" t="s">
        <v>2926</v>
      </c>
      <c r="AO245">
        <v>50100</v>
      </c>
      <c r="AU245">
        <v>33.6</v>
      </c>
      <c r="AV245" t="s">
        <v>397</v>
      </c>
      <c r="AW245" t="s">
        <v>3042</v>
      </c>
    </row>
    <row r="246" spans="1:50">
      <c r="A246" s="1" t="s">
        <v>79</v>
      </c>
      <c r="B246" t="s">
        <v>164</v>
      </c>
      <c r="C246" t="s">
        <v>3456</v>
      </c>
      <c r="D246" t="s">
        <v>242</v>
      </c>
      <c r="E246" t="s">
        <v>330</v>
      </c>
      <c r="F246" t="s">
        <v>6915</v>
      </c>
      <c r="G246" t="s">
        <v>7939</v>
      </c>
      <c r="H246" t="s">
        <v>1140</v>
      </c>
      <c r="I246" t="s">
        <v>10993</v>
      </c>
      <c r="J246" t="s">
        <v>1644</v>
      </c>
      <c r="K246">
        <v>11233</v>
      </c>
      <c r="L246" t="s">
        <v>1670</v>
      </c>
      <c r="M246" t="s">
        <v>1670</v>
      </c>
      <c r="N246" t="s">
        <v>11897</v>
      </c>
      <c r="O246" t="s">
        <v>1940</v>
      </c>
      <c r="P246" t="s">
        <v>1960</v>
      </c>
      <c r="Q246" t="s">
        <v>1969</v>
      </c>
      <c r="R246" t="s">
        <v>50</v>
      </c>
      <c r="S246" t="s">
        <v>1670</v>
      </c>
      <c r="U246" t="s">
        <v>1972</v>
      </c>
      <c r="V246" t="s">
        <v>1984</v>
      </c>
      <c r="W246" t="s">
        <v>242</v>
      </c>
      <c r="X246">
        <v>594.33</v>
      </c>
      <c r="Y246" t="s">
        <v>2009</v>
      </c>
      <c r="Z246" t="s">
        <v>2017</v>
      </c>
      <c r="AA246" t="s">
        <v>2032</v>
      </c>
      <c r="AB246" t="s">
        <v>13248</v>
      </c>
      <c r="AD246" t="s">
        <v>15839</v>
      </c>
      <c r="AE246">
        <v>6</v>
      </c>
      <c r="AF246" t="s">
        <v>2902</v>
      </c>
      <c r="AH246">
        <v>42</v>
      </c>
      <c r="AI246">
        <v>2</v>
      </c>
      <c r="AJ246">
        <v>1</v>
      </c>
      <c r="AK246">
        <v>241.83</v>
      </c>
      <c r="AN246" t="s">
        <v>2926</v>
      </c>
      <c r="AO246">
        <v>50252.28</v>
      </c>
      <c r="AU246">
        <v>6</v>
      </c>
      <c r="AV246" t="s">
        <v>330</v>
      </c>
      <c r="AW246" t="s">
        <v>79</v>
      </c>
    </row>
    <row r="247" spans="1:50">
      <c r="A247" s="1" t="s">
        <v>101</v>
      </c>
      <c r="B247" t="s">
        <v>163</v>
      </c>
      <c r="C247" t="s">
        <v>3457</v>
      </c>
      <c r="D247" t="s">
        <v>174</v>
      </c>
      <c r="F247" t="s">
        <v>6916</v>
      </c>
      <c r="G247" t="s">
        <v>7951</v>
      </c>
      <c r="H247" t="s">
        <v>1466</v>
      </c>
      <c r="I247">
        <v>4</v>
      </c>
      <c r="J247" t="s">
        <v>1643</v>
      </c>
      <c r="K247">
        <v>10029</v>
      </c>
      <c r="L247" t="s">
        <v>1670</v>
      </c>
      <c r="M247" t="s">
        <v>1670</v>
      </c>
      <c r="N247" t="s">
        <v>1931</v>
      </c>
      <c r="O247" t="s">
        <v>1939</v>
      </c>
      <c r="P247" t="s">
        <v>1960</v>
      </c>
      <c r="R247" t="s">
        <v>50</v>
      </c>
      <c r="S247" t="s">
        <v>1670</v>
      </c>
      <c r="U247" t="s">
        <v>1972</v>
      </c>
      <c r="V247" t="s">
        <v>1984</v>
      </c>
      <c r="W247" t="s">
        <v>174</v>
      </c>
      <c r="X247">
        <v>1081</v>
      </c>
      <c r="Y247" t="s">
        <v>2008</v>
      </c>
      <c r="Z247" t="s">
        <v>2016</v>
      </c>
      <c r="AB247" t="s">
        <v>13249</v>
      </c>
      <c r="AD247" t="s">
        <v>15840</v>
      </c>
      <c r="AE247">
        <v>6</v>
      </c>
      <c r="AF247" t="s">
        <v>2902</v>
      </c>
      <c r="AG247" t="s">
        <v>1754</v>
      </c>
      <c r="AH247">
        <v>21</v>
      </c>
      <c r="AI247">
        <v>2</v>
      </c>
      <c r="AJ247">
        <v>2</v>
      </c>
      <c r="AK247">
        <v>242.07</v>
      </c>
      <c r="AN247" t="s">
        <v>2926</v>
      </c>
      <c r="AO247">
        <v>60760</v>
      </c>
      <c r="AU247">
        <v>0.75</v>
      </c>
      <c r="AV247" t="s">
        <v>393</v>
      </c>
      <c r="AW247" t="s">
        <v>3051</v>
      </c>
    </row>
    <row r="248" spans="1:50">
      <c r="A248" s="1" t="s">
        <v>57</v>
      </c>
      <c r="B248" t="s">
        <v>163</v>
      </c>
      <c r="C248" t="s">
        <v>3458</v>
      </c>
      <c r="D248" t="s">
        <v>181</v>
      </c>
      <c r="F248" t="s">
        <v>474</v>
      </c>
      <c r="G248" t="s">
        <v>873</v>
      </c>
      <c r="H248" t="s">
        <v>1112</v>
      </c>
      <c r="I248" t="s">
        <v>10960</v>
      </c>
      <c r="J248" t="s">
        <v>1641</v>
      </c>
      <c r="K248">
        <v>10453</v>
      </c>
      <c r="L248" t="s">
        <v>1670</v>
      </c>
      <c r="M248" t="s">
        <v>1670</v>
      </c>
      <c r="N248" t="s">
        <v>1677</v>
      </c>
      <c r="O248" t="s">
        <v>1939</v>
      </c>
      <c r="P248" t="s">
        <v>1960</v>
      </c>
      <c r="R248" t="s">
        <v>50</v>
      </c>
      <c r="S248" t="s">
        <v>1670</v>
      </c>
      <c r="U248" t="s">
        <v>1972</v>
      </c>
      <c r="W248" t="s">
        <v>283</v>
      </c>
      <c r="X248">
        <v>1233</v>
      </c>
      <c r="Y248" t="s">
        <v>2006</v>
      </c>
      <c r="Z248" t="s">
        <v>2016</v>
      </c>
      <c r="AB248" t="s">
        <v>13250</v>
      </c>
      <c r="AD248" t="s">
        <v>15841</v>
      </c>
      <c r="AE248">
        <v>172</v>
      </c>
      <c r="AF248" t="s">
        <v>2902</v>
      </c>
      <c r="AG248" t="s">
        <v>1754</v>
      </c>
      <c r="AH248">
        <v>4</v>
      </c>
      <c r="AI248">
        <v>4</v>
      </c>
      <c r="AJ248">
        <v>0</v>
      </c>
      <c r="AK248">
        <v>242.33</v>
      </c>
      <c r="AN248" t="s">
        <v>2927</v>
      </c>
      <c r="AO248">
        <v>62400</v>
      </c>
      <c r="AU248" t="s">
        <v>13051</v>
      </c>
      <c r="AW248" t="s">
        <v>3045</v>
      </c>
    </row>
    <row r="249" spans="1:50">
      <c r="A249" s="1" t="s">
        <v>64</v>
      </c>
      <c r="B249" t="s">
        <v>163</v>
      </c>
      <c r="C249" t="s">
        <v>3459</v>
      </c>
      <c r="D249" t="s">
        <v>232</v>
      </c>
      <c r="F249" t="s">
        <v>6917</v>
      </c>
      <c r="G249" t="s">
        <v>7994</v>
      </c>
      <c r="H249" t="s">
        <v>1243</v>
      </c>
      <c r="I249" t="s">
        <v>10994</v>
      </c>
      <c r="J249" t="s">
        <v>1643</v>
      </c>
      <c r="K249">
        <v>10033</v>
      </c>
      <c r="L249" t="s">
        <v>1670</v>
      </c>
      <c r="M249" t="s">
        <v>1670</v>
      </c>
      <c r="O249" t="s">
        <v>1939</v>
      </c>
      <c r="P249" t="s">
        <v>1962</v>
      </c>
      <c r="R249" t="s">
        <v>50</v>
      </c>
      <c r="S249" t="s">
        <v>1670</v>
      </c>
      <c r="U249" t="s">
        <v>1972</v>
      </c>
      <c r="W249" t="s">
        <v>232</v>
      </c>
      <c r="X249">
        <v>1540</v>
      </c>
      <c r="Y249" t="s">
        <v>2008</v>
      </c>
      <c r="Z249" t="s">
        <v>2013</v>
      </c>
      <c r="AB249" t="s">
        <v>13251</v>
      </c>
      <c r="AD249" t="s">
        <v>15842</v>
      </c>
      <c r="AE249">
        <v>232</v>
      </c>
      <c r="AF249" t="s">
        <v>2902</v>
      </c>
      <c r="AG249" t="s">
        <v>1754</v>
      </c>
      <c r="AH249">
        <v>41</v>
      </c>
      <c r="AI249">
        <v>2</v>
      </c>
      <c r="AJ249">
        <v>0</v>
      </c>
      <c r="AK249">
        <v>243.01</v>
      </c>
      <c r="AN249" t="s">
        <v>2926</v>
      </c>
      <c r="AO249">
        <v>40000</v>
      </c>
      <c r="AU249">
        <v>1.1</v>
      </c>
      <c r="AV249" t="s">
        <v>206</v>
      </c>
      <c r="AW249" t="s">
        <v>3042</v>
      </c>
    </row>
    <row r="250" spans="1:50">
      <c r="A250" s="1" t="s">
        <v>59</v>
      </c>
      <c r="B250" t="s">
        <v>163</v>
      </c>
      <c r="C250" t="s">
        <v>3460</v>
      </c>
      <c r="D250" t="s">
        <v>173</v>
      </c>
      <c r="F250" t="s">
        <v>6918</v>
      </c>
      <c r="G250" t="s">
        <v>864</v>
      </c>
      <c r="H250" t="s">
        <v>1114</v>
      </c>
      <c r="I250" t="s">
        <v>1554</v>
      </c>
      <c r="J250" t="s">
        <v>1641</v>
      </c>
      <c r="K250">
        <v>10456</v>
      </c>
      <c r="L250" t="s">
        <v>1670</v>
      </c>
      <c r="M250" t="s">
        <v>1670</v>
      </c>
      <c r="N250" t="s">
        <v>1681</v>
      </c>
      <c r="O250" t="s">
        <v>1939</v>
      </c>
      <c r="P250" t="s">
        <v>1960</v>
      </c>
      <c r="R250" t="s">
        <v>50</v>
      </c>
      <c r="S250" t="s">
        <v>1670</v>
      </c>
      <c r="U250" t="s">
        <v>1972</v>
      </c>
      <c r="W250" t="s">
        <v>173</v>
      </c>
      <c r="X250">
        <v>980</v>
      </c>
      <c r="Y250" t="s">
        <v>2006</v>
      </c>
      <c r="Z250" t="s">
        <v>2015</v>
      </c>
      <c r="AB250" t="s">
        <v>13252</v>
      </c>
      <c r="AD250" t="s">
        <v>15843</v>
      </c>
      <c r="AE250">
        <v>131</v>
      </c>
      <c r="AF250" t="s">
        <v>2902</v>
      </c>
      <c r="AG250" t="s">
        <v>1754</v>
      </c>
      <c r="AH250">
        <v>4</v>
      </c>
      <c r="AI250">
        <v>2</v>
      </c>
      <c r="AJ250">
        <v>0</v>
      </c>
      <c r="AK250">
        <v>243.01</v>
      </c>
      <c r="AN250" t="s">
        <v>2926</v>
      </c>
      <c r="AO250">
        <v>40000</v>
      </c>
      <c r="AU250" t="s">
        <v>13051</v>
      </c>
      <c r="AW250" t="s">
        <v>3047</v>
      </c>
    </row>
    <row r="251" spans="1:50">
      <c r="A251" s="1" t="s">
        <v>97</v>
      </c>
      <c r="B251" t="s">
        <v>163</v>
      </c>
      <c r="C251" t="s">
        <v>3461</v>
      </c>
      <c r="D251" t="s">
        <v>332</v>
      </c>
      <c r="F251" t="s">
        <v>6919</v>
      </c>
      <c r="G251" t="s">
        <v>7995</v>
      </c>
      <c r="H251" t="s">
        <v>1244</v>
      </c>
      <c r="I251">
        <v>3</v>
      </c>
      <c r="J251" t="s">
        <v>1643</v>
      </c>
      <c r="K251">
        <v>10034</v>
      </c>
      <c r="L251" t="s">
        <v>1670</v>
      </c>
      <c r="M251" t="s">
        <v>1670</v>
      </c>
      <c r="N251" t="s">
        <v>1771</v>
      </c>
      <c r="O251" t="s">
        <v>1939</v>
      </c>
      <c r="P251" t="s">
        <v>1960</v>
      </c>
      <c r="R251" t="s">
        <v>50</v>
      </c>
      <c r="S251" t="s">
        <v>1670</v>
      </c>
      <c r="U251" t="s">
        <v>1972</v>
      </c>
      <c r="W251" t="s">
        <v>332</v>
      </c>
      <c r="X251">
        <v>1217</v>
      </c>
      <c r="Y251" t="s">
        <v>2008</v>
      </c>
      <c r="Z251" t="s">
        <v>2013</v>
      </c>
      <c r="AB251" t="s">
        <v>13253</v>
      </c>
      <c r="AD251" t="s">
        <v>15844</v>
      </c>
      <c r="AE251">
        <v>25</v>
      </c>
      <c r="AF251" t="s">
        <v>2902</v>
      </c>
      <c r="AG251" t="s">
        <v>1754</v>
      </c>
      <c r="AH251">
        <v>17</v>
      </c>
      <c r="AI251">
        <v>2</v>
      </c>
      <c r="AJ251">
        <v>0</v>
      </c>
      <c r="AK251">
        <v>243.01</v>
      </c>
      <c r="AN251" t="s">
        <v>2927</v>
      </c>
      <c r="AO251">
        <v>40000</v>
      </c>
      <c r="AU251" t="s">
        <v>13051</v>
      </c>
      <c r="AW251" t="s">
        <v>3042</v>
      </c>
      <c r="AX251" t="s">
        <v>18685</v>
      </c>
    </row>
    <row r="252" spans="1:50">
      <c r="A252" s="1" t="s">
        <v>132</v>
      </c>
      <c r="B252" t="s">
        <v>164</v>
      </c>
      <c r="C252" t="s">
        <v>3462</v>
      </c>
      <c r="D252" t="s">
        <v>232</v>
      </c>
      <c r="E252" t="s">
        <v>394</v>
      </c>
      <c r="F252" t="s">
        <v>6900</v>
      </c>
      <c r="G252" t="s">
        <v>7602</v>
      </c>
      <c r="H252" t="s">
        <v>1290</v>
      </c>
      <c r="I252" t="s">
        <v>1484</v>
      </c>
      <c r="J252" t="s">
        <v>1644</v>
      </c>
      <c r="K252">
        <v>11221</v>
      </c>
      <c r="L252" t="s">
        <v>1670</v>
      </c>
      <c r="M252" t="s">
        <v>1670</v>
      </c>
      <c r="P252" t="s">
        <v>1962</v>
      </c>
      <c r="Q252" t="s">
        <v>1968</v>
      </c>
      <c r="R252" t="s">
        <v>50</v>
      </c>
      <c r="U252" t="s">
        <v>1972</v>
      </c>
      <c r="W252" t="s">
        <v>197</v>
      </c>
      <c r="X252">
        <v>880.65</v>
      </c>
      <c r="Y252" t="s">
        <v>2009</v>
      </c>
      <c r="Z252" t="s">
        <v>2015</v>
      </c>
      <c r="AA252" t="s">
        <v>13060</v>
      </c>
      <c r="AB252" t="s">
        <v>13223</v>
      </c>
      <c r="AD252" t="s">
        <v>15818</v>
      </c>
      <c r="AE252">
        <v>12</v>
      </c>
      <c r="AF252" t="s">
        <v>2902</v>
      </c>
      <c r="AG252" t="s">
        <v>1754</v>
      </c>
      <c r="AH252">
        <v>17</v>
      </c>
      <c r="AI252">
        <v>1</v>
      </c>
      <c r="AJ252">
        <v>1</v>
      </c>
      <c r="AK252">
        <v>243.01</v>
      </c>
      <c r="AN252" t="s">
        <v>2926</v>
      </c>
      <c r="AO252">
        <v>40000</v>
      </c>
      <c r="AU252">
        <v>3</v>
      </c>
      <c r="AV252" t="s">
        <v>360</v>
      </c>
      <c r="AW252" t="s">
        <v>3060</v>
      </c>
    </row>
    <row r="253" spans="1:50">
      <c r="A253" s="1" t="s">
        <v>132</v>
      </c>
      <c r="B253" t="s">
        <v>163</v>
      </c>
      <c r="C253" t="s">
        <v>3463</v>
      </c>
      <c r="D253" t="s">
        <v>343</v>
      </c>
      <c r="F253" t="s">
        <v>6900</v>
      </c>
      <c r="G253" t="s">
        <v>7602</v>
      </c>
      <c r="H253" t="s">
        <v>1290</v>
      </c>
      <c r="I253" t="s">
        <v>1484</v>
      </c>
      <c r="J253" t="s">
        <v>1644</v>
      </c>
      <c r="K253">
        <v>11221</v>
      </c>
      <c r="L253" t="s">
        <v>1670</v>
      </c>
      <c r="M253" t="s">
        <v>1670</v>
      </c>
      <c r="O253" t="s">
        <v>1938</v>
      </c>
      <c r="P253" t="s">
        <v>1961</v>
      </c>
      <c r="R253" t="s">
        <v>50</v>
      </c>
      <c r="U253" t="s">
        <v>1972</v>
      </c>
      <c r="W253" t="s">
        <v>197</v>
      </c>
      <c r="X253">
        <v>880.65</v>
      </c>
      <c r="Y253" t="s">
        <v>2009</v>
      </c>
      <c r="Z253" t="s">
        <v>2015</v>
      </c>
      <c r="AB253" t="s">
        <v>13223</v>
      </c>
      <c r="AD253" t="s">
        <v>15818</v>
      </c>
      <c r="AE253">
        <v>12</v>
      </c>
      <c r="AF253" t="s">
        <v>2902</v>
      </c>
      <c r="AG253" t="s">
        <v>1754</v>
      </c>
      <c r="AH253">
        <v>17</v>
      </c>
      <c r="AI253">
        <v>1</v>
      </c>
      <c r="AJ253">
        <v>1</v>
      </c>
      <c r="AK253">
        <v>243.01</v>
      </c>
      <c r="AN253" t="s">
        <v>2926</v>
      </c>
      <c r="AO253">
        <v>40000</v>
      </c>
      <c r="AP253" t="s">
        <v>18100</v>
      </c>
      <c r="AU253">
        <v>6.5</v>
      </c>
      <c r="AV253" t="s">
        <v>329</v>
      </c>
      <c r="AW253" t="s">
        <v>3060</v>
      </c>
    </row>
    <row r="254" spans="1:50">
      <c r="A254" s="1" t="s">
        <v>66</v>
      </c>
      <c r="B254" t="s">
        <v>163</v>
      </c>
      <c r="C254" t="s">
        <v>3464</v>
      </c>
      <c r="D254" t="s">
        <v>184</v>
      </c>
      <c r="F254" t="s">
        <v>6920</v>
      </c>
      <c r="G254" t="s">
        <v>1002</v>
      </c>
      <c r="H254" t="s">
        <v>9501</v>
      </c>
      <c r="I254" t="s">
        <v>10995</v>
      </c>
      <c r="J254" t="s">
        <v>1644</v>
      </c>
      <c r="K254">
        <v>11233</v>
      </c>
      <c r="L254" t="s">
        <v>1670</v>
      </c>
      <c r="M254" t="s">
        <v>1670</v>
      </c>
      <c r="N254" t="s">
        <v>11898</v>
      </c>
      <c r="O254" t="s">
        <v>1940</v>
      </c>
      <c r="P254" t="s">
        <v>1960</v>
      </c>
      <c r="R254" t="s">
        <v>50</v>
      </c>
      <c r="S254" t="s">
        <v>1671</v>
      </c>
      <c r="U254" t="s">
        <v>1972</v>
      </c>
      <c r="W254" t="s">
        <v>215</v>
      </c>
      <c r="X254">
        <v>1029.2</v>
      </c>
      <c r="Y254" t="s">
        <v>2009</v>
      </c>
      <c r="Z254" t="s">
        <v>2013</v>
      </c>
      <c r="AB254" t="s">
        <v>13254</v>
      </c>
      <c r="AD254" t="s">
        <v>15845</v>
      </c>
      <c r="AE254">
        <v>151</v>
      </c>
      <c r="AF254" t="s">
        <v>2902</v>
      </c>
      <c r="AG254" t="s">
        <v>1754</v>
      </c>
      <c r="AH254">
        <v>10</v>
      </c>
      <c r="AI254">
        <v>1</v>
      </c>
      <c r="AJ254">
        <v>1</v>
      </c>
      <c r="AK254">
        <v>243.01</v>
      </c>
      <c r="AL254" t="s">
        <v>271</v>
      </c>
      <c r="AM254" t="s">
        <v>18031</v>
      </c>
      <c r="AN254" t="s">
        <v>2926</v>
      </c>
      <c r="AO254">
        <v>40000</v>
      </c>
      <c r="AU254">
        <v>50.5</v>
      </c>
      <c r="AV254" t="s">
        <v>236</v>
      </c>
      <c r="AW254" t="s">
        <v>3060</v>
      </c>
    </row>
    <row r="255" spans="1:50">
      <c r="A255" s="1" t="s">
        <v>132</v>
      </c>
      <c r="B255" t="s">
        <v>163</v>
      </c>
      <c r="C255" t="s">
        <v>3465</v>
      </c>
      <c r="D255" t="s">
        <v>343</v>
      </c>
      <c r="F255" t="s">
        <v>6900</v>
      </c>
      <c r="G255" t="s">
        <v>7602</v>
      </c>
      <c r="H255" t="s">
        <v>1290</v>
      </c>
      <c r="I255" t="s">
        <v>1484</v>
      </c>
      <c r="J255" t="s">
        <v>1644</v>
      </c>
      <c r="K255">
        <v>11221</v>
      </c>
      <c r="L255" t="s">
        <v>1670</v>
      </c>
      <c r="M255" t="s">
        <v>1670</v>
      </c>
      <c r="O255" t="s">
        <v>1939</v>
      </c>
      <c r="P255" t="s">
        <v>1960</v>
      </c>
      <c r="R255" t="s">
        <v>50</v>
      </c>
      <c r="U255" t="s">
        <v>1972</v>
      </c>
      <c r="W255" t="s">
        <v>197</v>
      </c>
      <c r="X255">
        <v>880.65</v>
      </c>
      <c r="Y255" t="s">
        <v>2009</v>
      </c>
      <c r="Z255" t="s">
        <v>2015</v>
      </c>
      <c r="AB255" t="s">
        <v>13223</v>
      </c>
      <c r="AD255" t="s">
        <v>15818</v>
      </c>
      <c r="AE255">
        <v>12</v>
      </c>
      <c r="AF255" t="s">
        <v>2902</v>
      </c>
      <c r="AG255" t="s">
        <v>1754</v>
      </c>
      <c r="AH255">
        <v>17</v>
      </c>
      <c r="AI255">
        <v>1</v>
      </c>
      <c r="AJ255">
        <v>1</v>
      </c>
      <c r="AK255">
        <v>243.01</v>
      </c>
      <c r="AN255" t="s">
        <v>2926</v>
      </c>
      <c r="AO255">
        <v>40000</v>
      </c>
      <c r="AP255" t="s">
        <v>18100</v>
      </c>
      <c r="AU255">
        <v>12.08</v>
      </c>
      <c r="AV255" t="s">
        <v>384</v>
      </c>
      <c r="AW255" t="s">
        <v>3060</v>
      </c>
    </row>
    <row r="256" spans="1:50">
      <c r="A256" s="1" t="s">
        <v>114</v>
      </c>
      <c r="B256" t="s">
        <v>164</v>
      </c>
      <c r="C256" t="s">
        <v>3466</v>
      </c>
      <c r="D256" t="s">
        <v>270</v>
      </c>
      <c r="E256" t="s">
        <v>243</v>
      </c>
      <c r="F256" t="s">
        <v>6921</v>
      </c>
      <c r="G256" t="s">
        <v>7996</v>
      </c>
      <c r="H256" t="s">
        <v>1118</v>
      </c>
      <c r="I256" t="s">
        <v>10996</v>
      </c>
      <c r="J256" t="s">
        <v>1641</v>
      </c>
      <c r="K256">
        <v>10452</v>
      </c>
      <c r="L256" t="s">
        <v>1670</v>
      </c>
      <c r="M256" t="s">
        <v>1670</v>
      </c>
      <c r="N256" t="s">
        <v>11899</v>
      </c>
      <c r="O256" t="s">
        <v>1936</v>
      </c>
      <c r="P256" t="s">
        <v>1958</v>
      </c>
      <c r="Q256" t="s">
        <v>1965</v>
      </c>
      <c r="R256" t="s">
        <v>50</v>
      </c>
      <c r="S256" t="s">
        <v>1671</v>
      </c>
      <c r="U256" t="s">
        <v>1972</v>
      </c>
      <c r="V256" t="s">
        <v>1985</v>
      </c>
      <c r="W256" t="s">
        <v>270</v>
      </c>
      <c r="X256">
        <v>1200</v>
      </c>
      <c r="Y256" t="s">
        <v>2006</v>
      </c>
      <c r="Z256" t="s">
        <v>2013</v>
      </c>
      <c r="AA256" t="s">
        <v>2029</v>
      </c>
      <c r="AB256" t="s">
        <v>13255</v>
      </c>
      <c r="AD256" t="s">
        <v>15846</v>
      </c>
      <c r="AE256">
        <v>59</v>
      </c>
      <c r="AG256" t="s">
        <v>1754</v>
      </c>
      <c r="AH256">
        <v>10</v>
      </c>
      <c r="AI256">
        <v>2</v>
      </c>
      <c r="AJ256">
        <v>2</v>
      </c>
      <c r="AK256">
        <v>243.03</v>
      </c>
      <c r="AN256" t="s">
        <v>18037</v>
      </c>
      <c r="AO256">
        <v>61000</v>
      </c>
      <c r="AU256">
        <v>0.8</v>
      </c>
      <c r="AV256" t="s">
        <v>270</v>
      </c>
      <c r="AW256" t="s">
        <v>114</v>
      </c>
    </row>
    <row r="257" spans="1:50">
      <c r="A257" s="1" t="s">
        <v>153</v>
      </c>
      <c r="B257" t="s">
        <v>163</v>
      </c>
      <c r="C257" t="s">
        <v>3467</v>
      </c>
      <c r="D257" t="s">
        <v>291</v>
      </c>
      <c r="F257" t="s">
        <v>563</v>
      </c>
      <c r="G257" t="s">
        <v>7997</v>
      </c>
      <c r="H257" t="s">
        <v>9502</v>
      </c>
      <c r="I257" t="s">
        <v>10997</v>
      </c>
      <c r="J257" t="s">
        <v>1641</v>
      </c>
      <c r="K257">
        <v>10455</v>
      </c>
      <c r="L257" t="s">
        <v>1670</v>
      </c>
      <c r="M257" t="s">
        <v>1672</v>
      </c>
      <c r="O257" t="s">
        <v>12744</v>
      </c>
      <c r="P257" t="s">
        <v>1958</v>
      </c>
      <c r="R257" t="s">
        <v>50</v>
      </c>
      <c r="S257" t="s">
        <v>1671</v>
      </c>
      <c r="U257" t="s">
        <v>1972</v>
      </c>
      <c r="W257" t="s">
        <v>1991</v>
      </c>
      <c r="X257">
        <v>1008</v>
      </c>
      <c r="Y257" t="s">
        <v>2006</v>
      </c>
      <c r="Z257" t="s">
        <v>2011</v>
      </c>
      <c r="AB257" t="s">
        <v>13256</v>
      </c>
      <c r="AD257" t="s">
        <v>15847</v>
      </c>
      <c r="AE257">
        <v>143</v>
      </c>
      <c r="AF257" t="s">
        <v>2905</v>
      </c>
      <c r="AG257" t="s">
        <v>1754</v>
      </c>
      <c r="AH257">
        <v>5</v>
      </c>
      <c r="AI257">
        <v>1</v>
      </c>
      <c r="AJ257">
        <v>0</v>
      </c>
      <c r="AK257">
        <v>243.49</v>
      </c>
      <c r="AN257" t="s">
        <v>2926</v>
      </c>
      <c r="AO257">
        <v>30411.84</v>
      </c>
      <c r="AU257" t="s">
        <v>13051</v>
      </c>
      <c r="AW257" t="s">
        <v>3046</v>
      </c>
      <c r="AX257" t="s">
        <v>18685</v>
      </c>
    </row>
    <row r="258" spans="1:50">
      <c r="A258" s="1" t="s">
        <v>3158</v>
      </c>
      <c r="B258" t="s">
        <v>164</v>
      </c>
      <c r="C258" t="s">
        <v>3468</v>
      </c>
      <c r="D258" t="s">
        <v>251</v>
      </c>
      <c r="E258" t="s">
        <v>228</v>
      </c>
      <c r="F258" t="s">
        <v>479</v>
      </c>
      <c r="G258" t="s">
        <v>780</v>
      </c>
      <c r="H258" t="s">
        <v>9503</v>
      </c>
      <c r="I258" t="s">
        <v>1520</v>
      </c>
      <c r="J258" t="s">
        <v>1643</v>
      </c>
      <c r="K258">
        <v>10032</v>
      </c>
      <c r="L258" t="s">
        <v>1670</v>
      </c>
      <c r="M258" t="s">
        <v>1670</v>
      </c>
      <c r="O258" t="s">
        <v>1939</v>
      </c>
      <c r="P258" t="s">
        <v>1958</v>
      </c>
      <c r="Q258" t="s">
        <v>1965</v>
      </c>
      <c r="R258" t="s">
        <v>50</v>
      </c>
      <c r="S258" t="s">
        <v>1671</v>
      </c>
      <c r="U258" t="s">
        <v>1972</v>
      </c>
      <c r="W258" t="s">
        <v>251</v>
      </c>
      <c r="X258">
        <v>457.5</v>
      </c>
      <c r="Y258" t="s">
        <v>2008</v>
      </c>
      <c r="Z258" t="s">
        <v>2013</v>
      </c>
      <c r="AA258" t="s">
        <v>2029</v>
      </c>
      <c r="AB258" t="s">
        <v>13257</v>
      </c>
      <c r="AD258" t="s">
        <v>15848</v>
      </c>
      <c r="AE258">
        <v>20</v>
      </c>
      <c r="AF258" t="s">
        <v>2908</v>
      </c>
      <c r="AG258" t="s">
        <v>1754</v>
      </c>
      <c r="AH258">
        <v>14</v>
      </c>
      <c r="AI258">
        <v>2</v>
      </c>
      <c r="AJ258">
        <v>1</v>
      </c>
      <c r="AK258">
        <v>243.98</v>
      </c>
      <c r="AL258" t="s">
        <v>340</v>
      </c>
      <c r="AM258" t="s">
        <v>18031</v>
      </c>
      <c r="AN258" t="s">
        <v>2926</v>
      </c>
      <c r="AO258">
        <v>50700</v>
      </c>
      <c r="AU258">
        <v>0.3</v>
      </c>
      <c r="AV258" t="s">
        <v>228</v>
      </c>
      <c r="AW258" t="s">
        <v>3042</v>
      </c>
    </row>
    <row r="259" spans="1:50">
      <c r="A259" s="1" t="s">
        <v>96</v>
      </c>
      <c r="B259" t="s">
        <v>163</v>
      </c>
      <c r="C259" t="s">
        <v>3469</v>
      </c>
      <c r="D259" t="s">
        <v>3040</v>
      </c>
      <c r="F259" t="s">
        <v>508</v>
      </c>
      <c r="G259" t="s">
        <v>7998</v>
      </c>
      <c r="H259" t="s">
        <v>9504</v>
      </c>
      <c r="I259" t="s">
        <v>10998</v>
      </c>
      <c r="J259" t="s">
        <v>1644</v>
      </c>
      <c r="K259">
        <v>11203</v>
      </c>
      <c r="L259" t="s">
        <v>1670</v>
      </c>
      <c r="M259" t="s">
        <v>1670</v>
      </c>
      <c r="N259" t="s">
        <v>11900</v>
      </c>
      <c r="O259" t="s">
        <v>1940</v>
      </c>
      <c r="P259" t="s">
        <v>1960</v>
      </c>
      <c r="R259" t="s">
        <v>50</v>
      </c>
      <c r="S259" t="s">
        <v>1671</v>
      </c>
      <c r="U259" t="s">
        <v>1972</v>
      </c>
      <c r="V259" t="s">
        <v>1987</v>
      </c>
      <c r="W259" t="s">
        <v>3040</v>
      </c>
      <c r="X259">
        <v>1290.27</v>
      </c>
      <c r="Y259" t="s">
        <v>2009</v>
      </c>
      <c r="Z259" t="s">
        <v>2011</v>
      </c>
      <c r="AB259" t="s">
        <v>13258</v>
      </c>
      <c r="AD259" t="s">
        <v>15849</v>
      </c>
      <c r="AE259">
        <v>103</v>
      </c>
      <c r="AF259" t="s">
        <v>2902</v>
      </c>
      <c r="AG259" t="s">
        <v>1754</v>
      </c>
      <c r="AH259">
        <v>7</v>
      </c>
      <c r="AI259">
        <v>1</v>
      </c>
      <c r="AJ259">
        <v>1</v>
      </c>
      <c r="AK259">
        <v>244.45</v>
      </c>
      <c r="AL259" t="s">
        <v>271</v>
      </c>
      <c r="AM259" t="s">
        <v>18031</v>
      </c>
      <c r="AN259" t="s">
        <v>2926</v>
      </c>
      <c r="AO259">
        <v>40236</v>
      </c>
      <c r="AQ259" t="s">
        <v>2977</v>
      </c>
      <c r="AU259">
        <v>88</v>
      </c>
      <c r="AV259" t="s">
        <v>1994</v>
      </c>
      <c r="AW259" t="s">
        <v>69</v>
      </c>
      <c r="AX259" t="s">
        <v>18685</v>
      </c>
    </row>
    <row r="260" spans="1:50">
      <c r="A260" s="1" t="s">
        <v>3158</v>
      </c>
      <c r="B260" t="s">
        <v>164</v>
      </c>
      <c r="C260" t="s">
        <v>3470</v>
      </c>
      <c r="D260" t="s">
        <v>387</v>
      </c>
      <c r="E260" t="s">
        <v>349</v>
      </c>
      <c r="F260" t="s">
        <v>728</v>
      </c>
      <c r="G260" t="s">
        <v>7999</v>
      </c>
      <c r="H260" t="s">
        <v>1243</v>
      </c>
      <c r="I260" t="s">
        <v>10999</v>
      </c>
      <c r="J260" t="s">
        <v>1643</v>
      </c>
      <c r="K260">
        <v>10033</v>
      </c>
      <c r="L260" t="s">
        <v>1670</v>
      </c>
      <c r="M260" t="s">
        <v>1670</v>
      </c>
      <c r="O260" t="s">
        <v>1940</v>
      </c>
      <c r="P260" t="s">
        <v>1958</v>
      </c>
      <c r="Q260" t="s">
        <v>1965</v>
      </c>
      <c r="R260" t="s">
        <v>50</v>
      </c>
      <c r="S260" t="s">
        <v>1671</v>
      </c>
      <c r="U260" t="s">
        <v>1972</v>
      </c>
      <c r="W260" t="s">
        <v>387</v>
      </c>
      <c r="X260">
        <v>1516.69</v>
      </c>
      <c r="Y260" t="s">
        <v>2008</v>
      </c>
      <c r="Z260" t="s">
        <v>2013</v>
      </c>
      <c r="AA260" t="s">
        <v>2029</v>
      </c>
      <c r="AB260" t="s">
        <v>13259</v>
      </c>
      <c r="AD260" t="s">
        <v>15850</v>
      </c>
      <c r="AE260">
        <v>232</v>
      </c>
      <c r="AF260" t="s">
        <v>2902</v>
      </c>
      <c r="AG260" t="s">
        <v>1754</v>
      </c>
      <c r="AH260">
        <v>27</v>
      </c>
      <c r="AI260">
        <v>5</v>
      </c>
      <c r="AJ260">
        <v>0</v>
      </c>
      <c r="AK260">
        <v>244.73</v>
      </c>
      <c r="AL260" t="s">
        <v>340</v>
      </c>
      <c r="AM260" t="s">
        <v>18031</v>
      </c>
      <c r="AN260" t="s">
        <v>2927</v>
      </c>
      <c r="AO260">
        <v>72000</v>
      </c>
      <c r="AU260">
        <v>3.3</v>
      </c>
      <c r="AV260" t="s">
        <v>362</v>
      </c>
      <c r="AW260" t="s">
        <v>3042</v>
      </c>
    </row>
    <row r="261" spans="1:50">
      <c r="A261" s="1" t="s">
        <v>123</v>
      </c>
      <c r="B261" t="s">
        <v>163</v>
      </c>
      <c r="C261" t="s">
        <v>3471</v>
      </c>
      <c r="D261" t="s">
        <v>6144</v>
      </c>
      <c r="F261" t="s">
        <v>535</v>
      </c>
      <c r="G261" t="s">
        <v>8000</v>
      </c>
      <c r="H261" t="s">
        <v>1234</v>
      </c>
      <c r="I261" t="s">
        <v>11000</v>
      </c>
      <c r="J261" t="s">
        <v>1641</v>
      </c>
      <c r="K261">
        <v>10452</v>
      </c>
      <c r="L261" t="s">
        <v>1670</v>
      </c>
      <c r="M261" t="s">
        <v>1672</v>
      </c>
      <c r="N261" t="s">
        <v>1765</v>
      </c>
      <c r="O261" t="s">
        <v>1949</v>
      </c>
      <c r="P261" t="s">
        <v>1961</v>
      </c>
      <c r="R261" t="s">
        <v>50</v>
      </c>
      <c r="S261" t="s">
        <v>1670</v>
      </c>
      <c r="U261" t="s">
        <v>1972</v>
      </c>
      <c r="W261" t="s">
        <v>218</v>
      </c>
      <c r="X261">
        <v>818.46</v>
      </c>
      <c r="Y261" t="s">
        <v>2006</v>
      </c>
      <c r="Z261" t="s">
        <v>2015</v>
      </c>
      <c r="AB261" t="s">
        <v>13260</v>
      </c>
      <c r="AD261" t="s">
        <v>15851</v>
      </c>
      <c r="AE261">
        <v>122</v>
      </c>
      <c r="AF261" t="s">
        <v>2902</v>
      </c>
      <c r="AG261" t="s">
        <v>1754</v>
      </c>
      <c r="AH261">
        <v>25</v>
      </c>
      <c r="AI261">
        <v>3</v>
      </c>
      <c r="AJ261">
        <v>0</v>
      </c>
      <c r="AK261">
        <v>244.86</v>
      </c>
      <c r="AN261" t="s">
        <v>2926</v>
      </c>
      <c r="AO261">
        <v>100000</v>
      </c>
      <c r="AP261" t="s">
        <v>2950</v>
      </c>
      <c r="AU261" t="s">
        <v>13051</v>
      </c>
      <c r="AW261" t="s">
        <v>3054</v>
      </c>
    </row>
    <row r="262" spans="1:50">
      <c r="A262" s="1" t="s">
        <v>119</v>
      </c>
      <c r="B262" t="s">
        <v>164</v>
      </c>
      <c r="C262" t="s">
        <v>3472</v>
      </c>
      <c r="D262" t="s">
        <v>344</v>
      </c>
      <c r="E262" t="s">
        <v>238</v>
      </c>
      <c r="F262" t="s">
        <v>668</v>
      </c>
      <c r="G262" t="s">
        <v>890</v>
      </c>
      <c r="H262" t="s">
        <v>9505</v>
      </c>
      <c r="I262" t="s">
        <v>1540</v>
      </c>
      <c r="J262" t="s">
        <v>1644</v>
      </c>
      <c r="K262">
        <v>11239</v>
      </c>
      <c r="L262" t="s">
        <v>1670</v>
      </c>
      <c r="M262" t="s">
        <v>1670</v>
      </c>
      <c r="N262" t="s">
        <v>11901</v>
      </c>
      <c r="O262" t="s">
        <v>1936</v>
      </c>
      <c r="P262" t="s">
        <v>1958</v>
      </c>
      <c r="Q262" t="s">
        <v>1965</v>
      </c>
      <c r="R262" t="s">
        <v>50</v>
      </c>
      <c r="S262" t="s">
        <v>1671</v>
      </c>
      <c r="U262" t="s">
        <v>1972</v>
      </c>
      <c r="V262" t="s">
        <v>1985</v>
      </c>
      <c r="W262" t="s">
        <v>344</v>
      </c>
      <c r="X262">
        <v>1518</v>
      </c>
      <c r="Y262" t="s">
        <v>2009</v>
      </c>
      <c r="Z262" t="s">
        <v>2020</v>
      </c>
      <c r="AA262" t="s">
        <v>2029</v>
      </c>
      <c r="AB262" t="s">
        <v>13261</v>
      </c>
      <c r="AD262" t="s">
        <v>15852</v>
      </c>
      <c r="AE262">
        <v>2229</v>
      </c>
      <c r="AF262" t="s">
        <v>2909</v>
      </c>
      <c r="AG262" t="s">
        <v>2915</v>
      </c>
      <c r="AH262">
        <v>13</v>
      </c>
      <c r="AI262">
        <v>2</v>
      </c>
      <c r="AJ262">
        <v>1</v>
      </c>
      <c r="AK262">
        <v>245.43</v>
      </c>
      <c r="AL262" t="s">
        <v>18022</v>
      </c>
      <c r="AM262" t="s">
        <v>18031</v>
      </c>
      <c r="AN262" t="s">
        <v>2926</v>
      </c>
      <c r="AO262">
        <v>51000</v>
      </c>
      <c r="AU262">
        <v>2.5</v>
      </c>
      <c r="AV262" t="s">
        <v>318</v>
      </c>
      <c r="AW262" t="s">
        <v>3060</v>
      </c>
    </row>
    <row r="263" spans="1:50">
      <c r="A263" s="1" t="s">
        <v>94</v>
      </c>
      <c r="B263" t="s">
        <v>164</v>
      </c>
      <c r="C263" t="s">
        <v>3473</v>
      </c>
      <c r="D263" t="s">
        <v>165</v>
      </c>
      <c r="E263" t="s">
        <v>286</v>
      </c>
      <c r="F263" t="s">
        <v>6922</v>
      </c>
      <c r="G263" t="s">
        <v>780</v>
      </c>
      <c r="H263" t="s">
        <v>9506</v>
      </c>
      <c r="I263">
        <v>10</v>
      </c>
      <c r="J263" t="s">
        <v>1643</v>
      </c>
      <c r="K263">
        <v>10034</v>
      </c>
      <c r="L263" t="s">
        <v>1670</v>
      </c>
      <c r="M263" t="s">
        <v>1670</v>
      </c>
      <c r="O263" t="s">
        <v>1941</v>
      </c>
      <c r="P263" t="s">
        <v>1958</v>
      </c>
      <c r="Q263" t="s">
        <v>1965</v>
      </c>
      <c r="R263" t="s">
        <v>50</v>
      </c>
      <c r="S263" t="s">
        <v>1671</v>
      </c>
      <c r="U263" t="s">
        <v>1972</v>
      </c>
      <c r="W263" t="s">
        <v>165</v>
      </c>
      <c r="X263">
        <v>1246.98</v>
      </c>
      <c r="Y263" t="s">
        <v>2008</v>
      </c>
      <c r="Z263" t="s">
        <v>2020</v>
      </c>
      <c r="AA263" t="s">
        <v>2029</v>
      </c>
      <c r="AB263" t="s">
        <v>13262</v>
      </c>
      <c r="AD263" t="s">
        <v>15853</v>
      </c>
      <c r="AE263" t="s">
        <v>13051</v>
      </c>
      <c r="AF263" t="s">
        <v>2902</v>
      </c>
      <c r="AG263" t="s">
        <v>1754</v>
      </c>
      <c r="AH263">
        <v>8</v>
      </c>
      <c r="AI263">
        <v>2</v>
      </c>
      <c r="AJ263">
        <v>0</v>
      </c>
      <c r="AK263">
        <v>246.75</v>
      </c>
      <c r="AN263" t="s">
        <v>2927</v>
      </c>
      <c r="AO263">
        <v>41725.28</v>
      </c>
      <c r="AU263">
        <v>1.4</v>
      </c>
      <c r="AV263" t="s">
        <v>286</v>
      </c>
      <c r="AW263" t="s">
        <v>3042</v>
      </c>
      <c r="AX263" t="s">
        <v>18685</v>
      </c>
    </row>
    <row r="264" spans="1:50">
      <c r="A264" s="1" t="s">
        <v>3158</v>
      </c>
      <c r="B264" t="s">
        <v>164</v>
      </c>
      <c r="C264" t="s">
        <v>3474</v>
      </c>
      <c r="D264" t="s">
        <v>251</v>
      </c>
      <c r="E264" t="s">
        <v>321</v>
      </c>
      <c r="F264" t="s">
        <v>6803</v>
      </c>
      <c r="G264" t="s">
        <v>914</v>
      </c>
      <c r="H264" t="s">
        <v>9507</v>
      </c>
      <c r="I264">
        <v>4</v>
      </c>
      <c r="J264" t="s">
        <v>1643</v>
      </c>
      <c r="K264">
        <v>10034</v>
      </c>
      <c r="L264" t="s">
        <v>1670</v>
      </c>
      <c r="M264" t="s">
        <v>1670</v>
      </c>
      <c r="N264" t="s">
        <v>11902</v>
      </c>
      <c r="O264" t="s">
        <v>1940</v>
      </c>
      <c r="P264" t="s">
        <v>1962</v>
      </c>
      <c r="Q264" t="s">
        <v>1968</v>
      </c>
      <c r="R264" t="s">
        <v>50</v>
      </c>
      <c r="S264" t="s">
        <v>1671</v>
      </c>
      <c r="U264" t="s">
        <v>1972</v>
      </c>
      <c r="W264" t="s">
        <v>251</v>
      </c>
      <c r="X264">
        <v>1100</v>
      </c>
      <c r="Y264" t="s">
        <v>2008</v>
      </c>
      <c r="Z264" t="s">
        <v>2013</v>
      </c>
      <c r="AA264" t="s">
        <v>2030</v>
      </c>
      <c r="AB264" t="s">
        <v>13263</v>
      </c>
      <c r="AD264" t="s">
        <v>15854</v>
      </c>
      <c r="AE264">
        <v>25</v>
      </c>
      <c r="AF264" t="s">
        <v>2902</v>
      </c>
      <c r="AG264" t="s">
        <v>1754</v>
      </c>
      <c r="AH264">
        <v>10</v>
      </c>
      <c r="AI264">
        <v>3</v>
      </c>
      <c r="AJ264">
        <v>1</v>
      </c>
      <c r="AK264">
        <v>247.01</v>
      </c>
      <c r="AL264" t="s">
        <v>340</v>
      </c>
      <c r="AM264" t="s">
        <v>18031</v>
      </c>
      <c r="AN264" t="s">
        <v>2927</v>
      </c>
      <c r="AO264">
        <v>62000</v>
      </c>
      <c r="AU264">
        <v>1</v>
      </c>
      <c r="AV264" t="s">
        <v>323</v>
      </c>
      <c r="AW264" t="s">
        <v>3042</v>
      </c>
    </row>
    <row r="265" spans="1:50">
      <c r="A265" s="1" t="s">
        <v>70</v>
      </c>
      <c r="B265" t="s">
        <v>164</v>
      </c>
      <c r="C265" t="s">
        <v>3475</v>
      </c>
      <c r="D265" t="s">
        <v>349</v>
      </c>
      <c r="E265" t="s">
        <v>273</v>
      </c>
      <c r="F265" t="s">
        <v>6923</v>
      </c>
      <c r="G265" t="s">
        <v>1016</v>
      </c>
      <c r="H265" t="s">
        <v>9508</v>
      </c>
      <c r="I265" t="s">
        <v>1501</v>
      </c>
      <c r="J265" t="s">
        <v>1641</v>
      </c>
      <c r="K265">
        <v>10452</v>
      </c>
      <c r="L265" t="s">
        <v>1670</v>
      </c>
      <c r="M265" t="s">
        <v>1670</v>
      </c>
      <c r="O265" t="s">
        <v>1675</v>
      </c>
      <c r="P265" t="s">
        <v>1958</v>
      </c>
      <c r="Q265" t="s">
        <v>1965</v>
      </c>
      <c r="R265" t="s">
        <v>50</v>
      </c>
      <c r="S265" t="s">
        <v>1671</v>
      </c>
      <c r="U265" t="s">
        <v>1972</v>
      </c>
      <c r="W265" t="s">
        <v>349</v>
      </c>
      <c r="X265">
        <v>680</v>
      </c>
      <c r="Y265" t="s">
        <v>2006</v>
      </c>
      <c r="Z265" t="s">
        <v>2015</v>
      </c>
      <c r="AA265" t="s">
        <v>2029</v>
      </c>
      <c r="AB265" t="s">
        <v>13264</v>
      </c>
      <c r="AE265">
        <v>105</v>
      </c>
      <c r="AF265" t="s">
        <v>2904</v>
      </c>
      <c r="AG265" t="s">
        <v>1754</v>
      </c>
      <c r="AH265">
        <v>26</v>
      </c>
      <c r="AI265">
        <v>1</v>
      </c>
      <c r="AJ265">
        <v>0</v>
      </c>
      <c r="AK265">
        <v>247.12</v>
      </c>
      <c r="AN265" t="s">
        <v>2926</v>
      </c>
      <c r="AO265">
        <v>30000</v>
      </c>
      <c r="AU265">
        <v>0.4</v>
      </c>
      <c r="AV265" t="s">
        <v>273</v>
      </c>
      <c r="AW265" t="s">
        <v>3047</v>
      </c>
    </row>
    <row r="266" spans="1:50">
      <c r="A266" s="1" t="s">
        <v>67</v>
      </c>
      <c r="B266" t="s">
        <v>164</v>
      </c>
      <c r="C266" t="s">
        <v>3476</v>
      </c>
      <c r="D266" t="s">
        <v>166</v>
      </c>
      <c r="E266" t="s">
        <v>173</v>
      </c>
      <c r="F266" t="s">
        <v>6924</v>
      </c>
      <c r="G266" t="s">
        <v>465</v>
      </c>
      <c r="H266" t="s">
        <v>9509</v>
      </c>
      <c r="I266">
        <v>2</v>
      </c>
      <c r="J266" t="s">
        <v>1643</v>
      </c>
      <c r="K266">
        <v>10009</v>
      </c>
      <c r="L266" t="s">
        <v>1670</v>
      </c>
      <c r="M266" t="s">
        <v>1672</v>
      </c>
      <c r="O266" t="s">
        <v>1675</v>
      </c>
      <c r="P266" t="s">
        <v>1958</v>
      </c>
      <c r="Q266" t="s">
        <v>1965</v>
      </c>
      <c r="R266" t="s">
        <v>50</v>
      </c>
      <c r="U266" t="s">
        <v>1972</v>
      </c>
      <c r="W266" t="s">
        <v>166</v>
      </c>
      <c r="X266">
        <v>665</v>
      </c>
      <c r="Y266" t="s">
        <v>2008</v>
      </c>
      <c r="Z266" t="s">
        <v>2015</v>
      </c>
      <c r="AA266" t="s">
        <v>2029</v>
      </c>
      <c r="AB266" t="s">
        <v>13265</v>
      </c>
      <c r="AD266" t="s">
        <v>15855</v>
      </c>
      <c r="AE266" t="s">
        <v>13051</v>
      </c>
      <c r="AF266" t="s">
        <v>2902</v>
      </c>
      <c r="AH266">
        <v>18</v>
      </c>
      <c r="AI266">
        <v>1</v>
      </c>
      <c r="AJ266">
        <v>0</v>
      </c>
      <c r="AK266">
        <v>247.12</v>
      </c>
      <c r="AN266" t="s">
        <v>2927</v>
      </c>
      <c r="AO266">
        <v>30000</v>
      </c>
      <c r="AU266">
        <v>1.25</v>
      </c>
      <c r="AV266" t="s">
        <v>2002</v>
      </c>
      <c r="AW266" t="s">
        <v>3065</v>
      </c>
      <c r="AX266" t="s">
        <v>18685</v>
      </c>
    </row>
    <row r="267" spans="1:50">
      <c r="A267" s="1" t="s">
        <v>130</v>
      </c>
      <c r="B267" t="s">
        <v>164</v>
      </c>
      <c r="C267" t="s">
        <v>3477</v>
      </c>
      <c r="D267" t="s">
        <v>347</v>
      </c>
      <c r="E267" t="s">
        <v>359</v>
      </c>
      <c r="F267" t="s">
        <v>530</v>
      </c>
      <c r="G267" t="s">
        <v>8001</v>
      </c>
      <c r="H267" t="s">
        <v>9510</v>
      </c>
      <c r="I267" t="s">
        <v>1501</v>
      </c>
      <c r="J267" t="s">
        <v>1644</v>
      </c>
      <c r="K267">
        <v>11233</v>
      </c>
      <c r="L267" t="s">
        <v>1670</v>
      </c>
      <c r="M267" t="s">
        <v>1670</v>
      </c>
      <c r="O267" t="s">
        <v>1937</v>
      </c>
      <c r="P267" t="s">
        <v>1962</v>
      </c>
      <c r="Q267" t="s">
        <v>1968</v>
      </c>
      <c r="R267" t="s">
        <v>50</v>
      </c>
      <c r="S267" t="s">
        <v>1670</v>
      </c>
      <c r="U267" t="s">
        <v>1972</v>
      </c>
      <c r="W267" t="s">
        <v>243</v>
      </c>
      <c r="X267">
        <v>2350</v>
      </c>
      <c r="Y267" t="s">
        <v>2009</v>
      </c>
      <c r="Z267" t="s">
        <v>2020</v>
      </c>
      <c r="AA267" t="s">
        <v>2030</v>
      </c>
      <c r="AB267" t="s">
        <v>13266</v>
      </c>
      <c r="AD267" t="s">
        <v>15856</v>
      </c>
      <c r="AE267">
        <v>7</v>
      </c>
      <c r="AF267" t="s">
        <v>2902</v>
      </c>
      <c r="AG267" t="s">
        <v>1754</v>
      </c>
      <c r="AH267">
        <v>1</v>
      </c>
      <c r="AI267">
        <v>1</v>
      </c>
      <c r="AJ267">
        <v>0</v>
      </c>
      <c r="AK267">
        <v>247.12</v>
      </c>
      <c r="AL267" t="s">
        <v>190</v>
      </c>
      <c r="AM267" t="s">
        <v>18031</v>
      </c>
      <c r="AN267" t="s">
        <v>2926</v>
      </c>
      <c r="AO267">
        <v>30000</v>
      </c>
      <c r="AR267" t="s">
        <v>2017</v>
      </c>
      <c r="AU267">
        <v>0.3</v>
      </c>
      <c r="AV267" t="s">
        <v>271</v>
      </c>
      <c r="AW267" t="s">
        <v>3059</v>
      </c>
    </row>
    <row r="268" spans="1:50">
      <c r="A268" s="1" t="s">
        <v>101</v>
      </c>
      <c r="B268" t="s">
        <v>164</v>
      </c>
      <c r="C268" t="s">
        <v>3478</v>
      </c>
      <c r="D268" t="s">
        <v>314</v>
      </c>
      <c r="E268" t="s">
        <v>405</v>
      </c>
      <c r="F268" t="s">
        <v>6847</v>
      </c>
      <c r="G268" t="s">
        <v>8002</v>
      </c>
      <c r="H268" t="s">
        <v>9511</v>
      </c>
      <c r="I268">
        <v>207</v>
      </c>
      <c r="J268" t="s">
        <v>1643</v>
      </c>
      <c r="K268">
        <v>10029</v>
      </c>
      <c r="L268" t="s">
        <v>1670</v>
      </c>
      <c r="M268" t="s">
        <v>1670</v>
      </c>
      <c r="N268" t="s">
        <v>11903</v>
      </c>
      <c r="O268" t="s">
        <v>1936</v>
      </c>
      <c r="P268" t="s">
        <v>1960</v>
      </c>
      <c r="Q268" t="s">
        <v>1969</v>
      </c>
      <c r="R268" t="s">
        <v>51</v>
      </c>
      <c r="S268" t="s">
        <v>1671</v>
      </c>
      <c r="U268" t="s">
        <v>1972</v>
      </c>
      <c r="V268" t="s">
        <v>1984</v>
      </c>
      <c r="W268" t="s">
        <v>305</v>
      </c>
      <c r="X268">
        <v>50</v>
      </c>
      <c r="Y268" t="s">
        <v>2008</v>
      </c>
      <c r="Z268" t="s">
        <v>2012</v>
      </c>
      <c r="AA268" t="s">
        <v>2032</v>
      </c>
      <c r="AB268" t="s">
        <v>13267</v>
      </c>
      <c r="AD268" t="s">
        <v>15857</v>
      </c>
      <c r="AE268">
        <v>33</v>
      </c>
      <c r="AF268" t="s">
        <v>2909</v>
      </c>
      <c r="AG268" t="s">
        <v>2915</v>
      </c>
      <c r="AH268">
        <v>10</v>
      </c>
      <c r="AI268">
        <v>1</v>
      </c>
      <c r="AJ268">
        <v>0</v>
      </c>
      <c r="AK268">
        <v>247.12</v>
      </c>
      <c r="AL268" t="s">
        <v>2923</v>
      </c>
      <c r="AM268" t="s">
        <v>2924</v>
      </c>
      <c r="AN268" t="s">
        <v>2926</v>
      </c>
      <c r="AO268">
        <v>30000</v>
      </c>
      <c r="AQ268" t="s">
        <v>2979</v>
      </c>
      <c r="AR268" t="s">
        <v>2983</v>
      </c>
      <c r="AS268" t="s">
        <v>2992</v>
      </c>
      <c r="AT268" t="s">
        <v>18505</v>
      </c>
      <c r="AU268">
        <v>12.65</v>
      </c>
      <c r="AV268" t="s">
        <v>367</v>
      </c>
      <c r="AW268" t="s">
        <v>120</v>
      </c>
      <c r="AX268" t="s">
        <v>18685</v>
      </c>
    </row>
    <row r="269" spans="1:50">
      <c r="A269" s="1" t="s">
        <v>61</v>
      </c>
      <c r="B269" t="s">
        <v>163</v>
      </c>
      <c r="C269" t="s">
        <v>3479</v>
      </c>
      <c r="D269" t="s">
        <v>6145</v>
      </c>
      <c r="F269" t="s">
        <v>513</v>
      </c>
      <c r="G269" t="s">
        <v>8003</v>
      </c>
      <c r="H269" t="s">
        <v>9414</v>
      </c>
      <c r="I269" t="s">
        <v>11001</v>
      </c>
      <c r="J269" t="s">
        <v>1644</v>
      </c>
      <c r="K269">
        <v>11230</v>
      </c>
      <c r="L269" t="s">
        <v>1670</v>
      </c>
      <c r="M269" t="s">
        <v>1670</v>
      </c>
      <c r="O269" t="s">
        <v>1675</v>
      </c>
      <c r="P269" t="s">
        <v>1959</v>
      </c>
      <c r="R269" t="s">
        <v>50</v>
      </c>
      <c r="S269" t="s">
        <v>1670</v>
      </c>
      <c r="U269" t="s">
        <v>1972</v>
      </c>
      <c r="V269" t="s">
        <v>1984</v>
      </c>
      <c r="W269" t="s">
        <v>167</v>
      </c>
      <c r="X269">
        <v>436.26</v>
      </c>
      <c r="Y269" t="s">
        <v>2009</v>
      </c>
      <c r="Z269" t="s">
        <v>2015</v>
      </c>
      <c r="AB269" t="s">
        <v>13268</v>
      </c>
      <c r="AE269">
        <v>51</v>
      </c>
      <c r="AF269" t="s">
        <v>2902</v>
      </c>
      <c r="AG269" t="s">
        <v>1754</v>
      </c>
      <c r="AH269">
        <v>40</v>
      </c>
      <c r="AI269">
        <v>1</v>
      </c>
      <c r="AJ269">
        <v>0</v>
      </c>
      <c r="AK269">
        <v>247.12</v>
      </c>
      <c r="AL269" t="s">
        <v>18023</v>
      </c>
      <c r="AM269" t="s">
        <v>18031</v>
      </c>
      <c r="AN269" t="s">
        <v>2926</v>
      </c>
      <c r="AO269">
        <v>30000</v>
      </c>
      <c r="AU269">
        <v>14.5</v>
      </c>
      <c r="AV269" t="s">
        <v>1993</v>
      </c>
      <c r="AW269" t="s">
        <v>3079</v>
      </c>
    </row>
    <row r="270" spans="1:50">
      <c r="A270" s="1" t="s">
        <v>130</v>
      </c>
      <c r="B270" t="s">
        <v>164</v>
      </c>
      <c r="C270" t="s">
        <v>3480</v>
      </c>
      <c r="D270" t="s">
        <v>347</v>
      </c>
      <c r="E270" t="s">
        <v>359</v>
      </c>
      <c r="F270" t="s">
        <v>530</v>
      </c>
      <c r="G270" t="s">
        <v>8001</v>
      </c>
      <c r="H270" t="s">
        <v>9510</v>
      </c>
      <c r="I270" t="s">
        <v>1501</v>
      </c>
      <c r="J270" t="s">
        <v>1644</v>
      </c>
      <c r="K270">
        <v>11233</v>
      </c>
      <c r="L270" t="s">
        <v>1670</v>
      </c>
      <c r="M270" t="s">
        <v>1670</v>
      </c>
      <c r="N270" t="s">
        <v>11904</v>
      </c>
      <c r="O270" t="s">
        <v>1938</v>
      </c>
      <c r="P270" t="s">
        <v>1961</v>
      </c>
      <c r="Q270" t="s">
        <v>1970</v>
      </c>
      <c r="R270" t="s">
        <v>50</v>
      </c>
      <c r="S270" t="s">
        <v>1670</v>
      </c>
      <c r="U270" t="s">
        <v>1972</v>
      </c>
      <c r="W270" t="s">
        <v>1989</v>
      </c>
      <c r="X270">
        <v>2400</v>
      </c>
      <c r="Y270" t="s">
        <v>2009</v>
      </c>
      <c r="Z270" t="s">
        <v>2020</v>
      </c>
      <c r="AA270" t="s">
        <v>2030</v>
      </c>
      <c r="AB270" t="s">
        <v>13266</v>
      </c>
      <c r="AD270" t="s">
        <v>15856</v>
      </c>
      <c r="AE270">
        <v>7</v>
      </c>
      <c r="AF270" t="s">
        <v>2902</v>
      </c>
      <c r="AG270" t="s">
        <v>1754</v>
      </c>
      <c r="AH270">
        <v>2</v>
      </c>
      <c r="AI270">
        <v>1</v>
      </c>
      <c r="AJ270">
        <v>0</v>
      </c>
      <c r="AK270">
        <v>247.12</v>
      </c>
      <c r="AL270" t="s">
        <v>190</v>
      </c>
      <c r="AM270" t="s">
        <v>18031</v>
      </c>
      <c r="AN270" t="s">
        <v>2926</v>
      </c>
      <c r="AO270">
        <v>30000</v>
      </c>
      <c r="AR270" t="s">
        <v>18451</v>
      </c>
      <c r="AU270">
        <v>0.3</v>
      </c>
      <c r="AV270" t="s">
        <v>271</v>
      </c>
      <c r="AW270" t="s">
        <v>3059</v>
      </c>
    </row>
    <row r="271" spans="1:50">
      <c r="A271" s="1" t="s">
        <v>130</v>
      </c>
      <c r="B271" t="s">
        <v>164</v>
      </c>
      <c r="C271" t="s">
        <v>3481</v>
      </c>
      <c r="D271" t="s">
        <v>347</v>
      </c>
      <c r="E271" t="s">
        <v>249</v>
      </c>
      <c r="F271" t="s">
        <v>530</v>
      </c>
      <c r="G271" t="s">
        <v>8001</v>
      </c>
      <c r="H271" t="s">
        <v>9510</v>
      </c>
      <c r="I271" t="s">
        <v>1501</v>
      </c>
      <c r="J271" t="s">
        <v>1644</v>
      </c>
      <c r="K271">
        <v>11233</v>
      </c>
      <c r="L271" t="s">
        <v>1670</v>
      </c>
      <c r="M271" t="s">
        <v>1670</v>
      </c>
      <c r="N271" t="s">
        <v>11905</v>
      </c>
      <c r="O271" t="s">
        <v>1938</v>
      </c>
      <c r="P271" t="s">
        <v>1961</v>
      </c>
      <c r="Q271" t="s">
        <v>1970</v>
      </c>
      <c r="R271" t="s">
        <v>50</v>
      </c>
      <c r="S271" t="s">
        <v>1670</v>
      </c>
      <c r="U271" t="s">
        <v>1972</v>
      </c>
      <c r="W271" t="s">
        <v>252</v>
      </c>
      <c r="X271">
        <v>2350</v>
      </c>
      <c r="Y271" t="s">
        <v>2009</v>
      </c>
      <c r="Z271" t="s">
        <v>2020</v>
      </c>
      <c r="AA271" t="s">
        <v>2031</v>
      </c>
      <c r="AB271" t="s">
        <v>13266</v>
      </c>
      <c r="AD271" t="s">
        <v>15856</v>
      </c>
      <c r="AE271">
        <v>7</v>
      </c>
      <c r="AF271" t="s">
        <v>2902</v>
      </c>
      <c r="AG271" t="s">
        <v>1754</v>
      </c>
      <c r="AH271">
        <v>1</v>
      </c>
      <c r="AI271">
        <v>1</v>
      </c>
      <c r="AJ271">
        <v>0</v>
      </c>
      <c r="AK271">
        <v>247.12</v>
      </c>
      <c r="AL271" t="s">
        <v>190</v>
      </c>
      <c r="AM271" t="s">
        <v>18031</v>
      </c>
      <c r="AN271" t="s">
        <v>2926</v>
      </c>
      <c r="AO271">
        <v>30000</v>
      </c>
      <c r="AU271">
        <v>0.8</v>
      </c>
      <c r="AV271" t="s">
        <v>326</v>
      </c>
      <c r="AW271" t="s">
        <v>3059</v>
      </c>
      <c r="AX271" t="s">
        <v>18685</v>
      </c>
    </row>
    <row r="272" spans="1:50">
      <c r="A272" s="1" t="s">
        <v>3159</v>
      </c>
      <c r="B272" t="s">
        <v>163</v>
      </c>
      <c r="C272" t="s">
        <v>3482</v>
      </c>
      <c r="D272" t="s">
        <v>375</v>
      </c>
      <c r="F272" t="s">
        <v>6925</v>
      </c>
      <c r="G272" t="s">
        <v>8004</v>
      </c>
      <c r="H272" t="s">
        <v>9512</v>
      </c>
      <c r="I272" t="s">
        <v>1633</v>
      </c>
      <c r="J272" t="s">
        <v>1641</v>
      </c>
      <c r="K272">
        <v>10453</v>
      </c>
      <c r="L272" t="s">
        <v>1670</v>
      </c>
      <c r="M272" t="s">
        <v>1670</v>
      </c>
      <c r="N272" t="s">
        <v>11906</v>
      </c>
      <c r="O272" t="s">
        <v>1940</v>
      </c>
      <c r="P272" t="s">
        <v>1960</v>
      </c>
      <c r="R272" t="s">
        <v>50</v>
      </c>
      <c r="S272" t="s">
        <v>1671</v>
      </c>
      <c r="U272" t="s">
        <v>1972</v>
      </c>
      <c r="V272" t="s">
        <v>1984</v>
      </c>
      <c r="W272" t="s">
        <v>375</v>
      </c>
      <c r="X272">
        <v>863</v>
      </c>
      <c r="Y272" t="s">
        <v>2006</v>
      </c>
      <c r="Z272" t="s">
        <v>2014</v>
      </c>
      <c r="AB272" t="s">
        <v>13269</v>
      </c>
      <c r="AD272" t="s">
        <v>15858</v>
      </c>
      <c r="AE272" t="s">
        <v>13051</v>
      </c>
      <c r="AF272" t="s">
        <v>2902</v>
      </c>
      <c r="AG272" t="s">
        <v>1754</v>
      </c>
      <c r="AH272">
        <v>38</v>
      </c>
      <c r="AI272">
        <v>1</v>
      </c>
      <c r="AJ272">
        <v>0</v>
      </c>
      <c r="AK272">
        <v>247.12</v>
      </c>
      <c r="AL272" t="s">
        <v>190</v>
      </c>
      <c r="AM272" t="s">
        <v>18031</v>
      </c>
      <c r="AN272" t="s">
        <v>2926</v>
      </c>
      <c r="AO272">
        <v>30000</v>
      </c>
      <c r="AP272" t="s">
        <v>18055</v>
      </c>
      <c r="AU272">
        <v>33.35</v>
      </c>
      <c r="AV272" t="s">
        <v>346</v>
      </c>
      <c r="AW272" t="s">
        <v>18655</v>
      </c>
    </row>
    <row r="273" spans="1:50">
      <c r="A273" s="1" t="s">
        <v>94</v>
      </c>
      <c r="B273" t="s">
        <v>163</v>
      </c>
      <c r="C273" t="s">
        <v>3483</v>
      </c>
      <c r="D273" t="s">
        <v>186</v>
      </c>
      <c r="F273" t="s">
        <v>6926</v>
      </c>
      <c r="G273" t="s">
        <v>8005</v>
      </c>
      <c r="H273" t="s">
        <v>9513</v>
      </c>
      <c r="I273" t="s">
        <v>11002</v>
      </c>
      <c r="J273" t="s">
        <v>1643</v>
      </c>
      <c r="K273">
        <v>10034</v>
      </c>
      <c r="L273" t="s">
        <v>1670</v>
      </c>
      <c r="M273" t="s">
        <v>1670</v>
      </c>
      <c r="O273" t="s">
        <v>1939</v>
      </c>
      <c r="P273" t="s">
        <v>1959</v>
      </c>
      <c r="R273" t="s">
        <v>50</v>
      </c>
      <c r="S273" t="s">
        <v>1670</v>
      </c>
      <c r="U273" t="s">
        <v>1972</v>
      </c>
      <c r="W273" t="s">
        <v>186</v>
      </c>
      <c r="X273">
        <v>333.34</v>
      </c>
      <c r="Y273" t="s">
        <v>2008</v>
      </c>
      <c r="Z273" t="s">
        <v>2013</v>
      </c>
      <c r="AB273" t="s">
        <v>13270</v>
      </c>
      <c r="AE273">
        <v>20</v>
      </c>
      <c r="AF273" t="s">
        <v>2902</v>
      </c>
      <c r="AG273" t="s">
        <v>1754</v>
      </c>
      <c r="AH273">
        <v>68</v>
      </c>
      <c r="AI273">
        <v>1</v>
      </c>
      <c r="AJ273">
        <v>0</v>
      </c>
      <c r="AK273">
        <v>247.22</v>
      </c>
      <c r="AN273" t="s">
        <v>2926</v>
      </c>
      <c r="AO273">
        <v>30878</v>
      </c>
      <c r="AU273" t="s">
        <v>13051</v>
      </c>
      <c r="AW273" t="s">
        <v>3042</v>
      </c>
    </row>
    <row r="274" spans="1:50">
      <c r="A274" s="1" t="s">
        <v>98</v>
      </c>
      <c r="B274" t="s">
        <v>164</v>
      </c>
      <c r="C274" t="s">
        <v>3484</v>
      </c>
      <c r="D274" t="s">
        <v>321</v>
      </c>
      <c r="E274" t="s">
        <v>247</v>
      </c>
      <c r="F274" t="s">
        <v>6927</v>
      </c>
      <c r="G274" t="s">
        <v>8006</v>
      </c>
      <c r="H274" t="s">
        <v>9514</v>
      </c>
      <c r="I274" t="s">
        <v>11003</v>
      </c>
      <c r="J274" t="s">
        <v>1641</v>
      </c>
      <c r="K274">
        <v>10451</v>
      </c>
      <c r="L274" t="s">
        <v>1670</v>
      </c>
      <c r="M274" t="s">
        <v>1670</v>
      </c>
      <c r="O274" t="s">
        <v>1945</v>
      </c>
      <c r="P274" t="s">
        <v>1958</v>
      </c>
      <c r="Q274" t="s">
        <v>1965</v>
      </c>
      <c r="R274" t="s">
        <v>50</v>
      </c>
      <c r="S274" t="s">
        <v>1671</v>
      </c>
      <c r="U274" t="s">
        <v>1972</v>
      </c>
      <c r="W274" t="s">
        <v>225</v>
      </c>
      <c r="X274">
        <v>1051.83</v>
      </c>
      <c r="Y274" t="s">
        <v>2006</v>
      </c>
      <c r="Z274" t="s">
        <v>2015</v>
      </c>
      <c r="AA274" t="s">
        <v>2029</v>
      </c>
      <c r="AB274" t="s">
        <v>13271</v>
      </c>
      <c r="AD274" t="s">
        <v>15859</v>
      </c>
      <c r="AE274">
        <v>110</v>
      </c>
      <c r="AF274" t="s">
        <v>2902</v>
      </c>
      <c r="AG274" t="s">
        <v>1754</v>
      </c>
      <c r="AH274">
        <v>7</v>
      </c>
      <c r="AI274">
        <v>2</v>
      </c>
      <c r="AJ274">
        <v>0</v>
      </c>
      <c r="AK274">
        <v>247.31</v>
      </c>
      <c r="AN274" t="s">
        <v>2927</v>
      </c>
      <c r="AO274">
        <v>40707.37</v>
      </c>
      <c r="AP274" t="s">
        <v>18101</v>
      </c>
      <c r="AU274">
        <v>3.4</v>
      </c>
      <c r="AV274" t="s">
        <v>247</v>
      </c>
      <c r="AW274" t="s">
        <v>98</v>
      </c>
    </row>
    <row r="275" spans="1:50">
      <c r="A275" s="1" t="s">
        <v>94</v>
      </c>
      <c r="B275" t="s">
        <v>164</v>
      </c>
      <c r="C275" t="s">
        <v>3485</v>
      </c>
      <c r="D275" t="s">
        <v>211</v>
      </c>
      <c r="E275" t="s">
        <v>186</v>
      </c>
      <c r="F275" t="s">
        <v>1085</v>
      </c>
      <c r="G275" t="s">
        <v>784</v>
      </c>
      <c r="H275" t="s">
        <v>9515</v>
      </c>
      <c r="I275" t="s">
        <v>1575</v>
      </c>
      <c r="J275" t="s">
        <v>1643</v>
      </c>
      <c r="K275">
        <v>10040</v>
      </c>
      <c r="L275" t="s">
        <v>1670</v>
      </c>
      <c r="M275" t="s">
        <v>1670</v>
      </c>
      <c r="O275" t="s">
        <v>1937</v>
      </c>
      <c r="P275" t="s">
        <v>1959</v>
      </c>
      <c r="Q275" t="s">
        <v>1966</v>
      </c>
      <c r="R275" t="s">
        <v>50</v>
      </c>
      <c r="S275" t="s">
        <v>1671</v>
      </c>
      <c r="U275" t="s">
        <v>1972</v>
      </c>
      <c r="W275" t="s">
        <v>211</v>
      </c>
      <c r="X275">
        <v>1182</v>
      </c>
      <c r="Y275" t="s">
        <v>2008</v>
      </c>
      <c r="Z275" t="s">
        <v>2013</v>
      </c>
      <c r="AA275" t="s">
        <v>13060</v>
      </c>
      <c r="AB275" t="s">
        <v>13272</v>
      </c>
      <c r="AD275" t="s">
        <v>15860</v>
      </c>
      <c r="AE275">
        <v>40</v>
      </c>
      <c r="AF275" t="s">
        <v>2902</v>
      </c>
      <c r="AG275" t="s">
        <v>2915</v>
      </c>
      <c r="AH275" t="s">
        <v>13051</v>
      </c>
      <c r="AI275">
        <v>1</v>
      </c>
      <c r="AJ275">
        <v>0</v>
      </c>
      <c r="AK275">
        <v>248.01</v>
      </c>
      <c r="AL275" t="s">
        <v>340</v>
      </c>
      <c r="AM275" t="s">
        <v>18031</v>
      </c>
      <c r="AN275" t="s">
        <v>2927</v>
      </c>
      <c r="AO275">
        <v>30108</v>
      </c>
      <c r="AU275">
        <v>6.45</v>
      </c>
      <c r="AV275" t="s">
        <v>186</v>
      </c>
      <c r="AW275" t="s">
        <v>3042</v>
      </c>
      <c r="AX275" t="s">
        <v>18685</v>
      </c>
    </row>
    <row r="276" spans="1:50">
      <c r="A276" s="1" t="s">
        <v>118</v>
      </c>
      <c r="B276" t="s">
        <v>163</v>
      </c>
      <c r="C276" t="s">
        <v>3486</v>
      </c>
      <c r="D276" t="s">
        <v>261</v>
      </c>
      <c r="F276" t="s">
        <v>6928</v>
      </c>
      <c r="G276" t="s">
        <v>780</v>
      </c>
      <c r="H276" t="s">
        <v>1214</v>
      </c>
      <c r="I276" t="s">
        <v>1488</v>
      </c>
      <c r="J276" t="s">
        <v>1641</v>
      </c>
      <c r="K276">
        <v>10452</v>
      </c>
      <c r="L276" t="s">
        <v>1670</v>
      </c>
      <c r="M276" t="s">
        <v>1670</v>
      </c>
      <c r="N276" t="s">
        <v>11907</v>
      </c>
      <c r="O276" t="s">
        <v>1938</v>
      </c>
      <c r="P276" t="s">
        <v>1961</v>
      </c>
      <c r="R276" t="s">
        <v>50</v>
      </c>
      <c r="S276" t="s">
        <v>1670</v>
      </c>
      <c r="U276" t="s">
        <v>1972</v>
      </c>
      <c r="W276" t="s">
        <v>359</v>
      </c>
      <c r="X276">
        <v>1299.48</v>
      </c>
      <c r="Y276" t="s">
        <v>2006</v>
      </c>
      <c r="Z276" t="s">
        <v>2015</v>
      </c>
      <c r="AB276" t="s">
        <v>13273</v>
      </c>
      <c r="AC276" t="s">
        <v>15082</v>
      </c>
      <c r="AD276" t="s">
        <v>15861</v>
      </c>
      <c r="AE276">
        <v>53</v>
      </c>
      <c r="AF276" t="s">
        <v>2902</v>
      </c>
      <c r="AG276" t="s">
        <v>2921</v>
      </c>
      <c r="AH276">
        <v>1</v>
      </c>
      <c r="AI276">
        <v>1</v>
      </c>
      <c r="AJ276">
        <v>0</v>
      </c>
      <c r="AK276">
        <v>248.26</v>
      </c>
      <c r="AN276" t="s">
        <v>2926</v>
      </c>
      <c r="AO276">
        <v>30139.2</v>
      </c>
      <c r="AU276">
        <v>0.1</v>
      </c>
      <c r="AV276" t="s">
        <v>191</v>
      </c>
      <c r="AW276" t="s">
        <v>3054</v>
      </c>
    </row>
    <row r="277" spans="1:50">
      <c r="A277" s="1" t="s">
        <v>95</v>
      </c>
      <c r="B277" t="s">
        <v>163</v>
      </c>
      <c r="C277" t="s">
        <v>3487</v>
      </c>
      <c r="D277" t="s">
        <v>401</v>
      </c>
      <c r="F277" t="s">
        <v>6929</v>
      </c>
      <c r="G277" t="s">
        <v>8007</v>
      </c>
      <c r="H277" t="s">
        <v>9516</v>
      </c>
      <c r="I277" t="s">
        <v>11004</v>
      </c>
      <c r="J277" t="s">
        <v>1641</v>
      </c>
      <c r="K277">
        <v>10458</v>
      </c>
      <c r="L277" t="s">
        <v>1670</v>
      </c>
      <c r="M277" t="s">
        <v>1672</v>
      </c>
      <c r="O277" t="s">
        <v>1675</v>
      </c>
      <c r="P277" t="s">
        <v>1962</v>
      </c>
      <c r="R277" t="s">
        <v>50</v>
      </c>
      <c r="S277" t="s">
        <v>1671</v>
      </c>
      <c r="U277" t="s">
        <v>1972</v>
      </c>
      <c r="W277" t="s">
        <v>1991</v>
      </c>
      <c r="X277">
        <v>1950</v>
      </c>
      <c r="Y277" t="s">
        <v>2006</v>
      </c>
      <c r="Z277" t="s">
        <v>2015</v>
      </c>
      <c r="AB277" t="s">
        <v>13274</v>
      </c>
      <c r="AE277" t="s">
        <v>13051</v>
      </c>
      <c r="AF277" t="s">
        <v>2902</v>
      </c>
      <c r="AG277" t="s">
        <v>1754</v>
      </c>
      <c r="AH277">
        <v>1</v>
      </c>
      <c r="AI277">
        <v>1</v>
      </c>
      <c r="AJ277">
        <v>1</v>
      </c>
      <c r="AK277">
        <v>248.37</v>
      </c>
      <c r="AN277" t="s">
        <v>2926</v>
      </c>
      <c r="AO277">
        <v>42000</v>
      </c>
      <c r="AU277">
        <v>1.5</v>
      </c>
      <c r="AV277" t="s">
        <v>400</v>
      </c>
      <c r="AW277" t="s">
        <v>95</v>
      </c>
      <c r="AX277" t="s">
        <v>18685</v>
      </c>
    </row>
    <row r="278" spans="1:50">
      <c r="A278" s="1" t="s">
        <v>127</v>
      </c>
      <c r="B278" t="s">
        <v>163</v>
      </c>
      <c r="C278" t="s">
        <v>3488</v>
      </c>
      <c r="D278" t="s">
        <v>326</v>
      </c>
      <c r="F278" t="s">
        <v>6930</v>
      </c>
      <c r="G278" t="s">
        <v>912</v>
      </c>
      <c r="H278" t="s">
        <v>9517</v>
      </c>
      <c r="I278" t="s">
        <v>1506</v>
      </c>
      <c r="J278" t="s">
        <v>1644</v>
      </c>
      <c r="K278">
        <v>11212</v>
      </c>
      <c r="L278" t="s">
        <v>1670</v>
      </c>
      <c r="M278" t="s">
        <v>1670</v>
      </c>
      <c r="O278" t="s">
        <v>1946</v>
      </c>
      <c r="P278" t="s">
        <v>1964</v>
      </c>
      <c r="R278" t="s">
        <v>50</v>
      </c>
      <c r="S278" t="s">
        <v>1670</v>
      </c>
      <c r="U278" t="s">
        <v>1972</v>
      </c>
      <c r="W278" t="s">
        <v>326</v>
      </c>
      <c r="X278">
        <v>839.77</v>
      </c>
      <c r="Y278" t="s">
        <v>2009</v>
      </c>
      <c r="Z278" t="s">
        <v>2016</v>
      </c>
      <c r="AB278" t="s">
        <v>13275</v>
      </c>
      <c r="AD278" t="s">
        <v>15862</v>
      </c>
      <c r="AE278">
        <v>8</v>
      </c>
      <c r="AF278" t="s">
        <v>2902</v>
      </c>
      <c r="AG278" t="s">
        <v>1754</v>
      </c>
      <c r="AH278">
        <v>24</v>
      </c>
      <c r="AI278">
        <v>1</v>
      </c>
      <c r="AJ278">
        <v>0</v>
      </c>
      <c r="AK278">
        <v>248.47</v>
      </c>
      <c r="AN278" t="s">
        <v>2926</v>
      </c>
      <c r="AO278">
        <v>31033.6</v>
      </c>
      <c r="AU278" t="s">
        <v>13051</v>
      </c>
      <c r="AW278" t="s">
        <v>3060</v>
      </c>
    </row>
    <row r="279" spans="1:50">
      <c r="A279" s="1" t="s">
        <v>124</v>
      </c>
      <c r="B279" t="s">
        <v>163</v>
      </c>
      <c r="C279" t="s">
        <v>3489</v>
      </c>
      <c r="D279" t="s">
        <v>220</v>
      </c>
      <c r="F279" t="s">
        <v>6931</v>
      </c>
      <c r="G279" t="s">
        <v>8008</v>
      </c>
      <c r="H279" t="s">
        <v>9483</v>
      </c>
      <c r="I279" t="s">
        <v>1488</v>
      </c>
      <c r="J279" t="s">
        <v>1644</v>
      </c>
      <c r="K279">
        <v>11226</v>
      </c>
      <c r="L279" t="s">
        <v>1670</v>
      </c>
      <c r="M279" t="s">
        <v>1670</v>
      </c>
      <c r="O279" t="s">
        <v>1939</v>
      </c>
      <c r="P279" t="s">
        <v>1960</v>
      </c>
      <c r="R279" t="s">
        <v>50</v>
      </c>
      <c r="S279" t="s">
        <v>1670</v>
      </c>
      <c r="U279" t="s">
        <v>1972</v>
      </c>
      <c r="W279" t="s">
        <v>327</v>
      </c>
      <c r="X279">
        <v>988.01</v>
      </c>
      <c r="Y279" t="s">
        <v>2009</v>
      </c>
      <c r="AB279" t="s">
        <v>13276</v>
      </c>
      <c r="AE279" t="s">
        <v>13051</v>
      </c>
      <c r="AH279">
        <v>30</v>
      </c>
      <c r="AI279">
        <v>4</v>
      </c>
      <c r="AJ279">
        <v>0</v>
      </c>
      <c r="AK279">
        <v>248.54</v>
      </c>
      <c r="AN279" t="s">
        <v>2926</v>
      </c>
      <c r="AO279">
        <v>64000</v>
      </c>
      <c r="AU279">
        <v>1.5</v>
      </c>
      <c r="AV279" t="s">
        <v>293</v>
      </c>
      <c r="AW279" t="s">
        <v>158</v>
      </c>
    </row>
    <row r="280" spans="1:50">
      <c r="A280" s="1" t="s">
        <v>124</v>
      </c>
      <c r="B280" t="s">
        <v>163</v>
      </c>
      <c r="C280" t="s">
        <v>3490</v>
      </c>
      <c r="D280" t="s">
        <v>179</v>
      </c>
      <c r="F280" t="s">
        <v>6931</v>
      </c>
      <c r="G280" t="s">
        <v>8008</v>
      </c>
      <c r="H280" t="s">
        <v>9483</v>
      </c>
      <c r="I280" t="s">
        <v>1488</v>
      </c>
      <c r="J280" t="s">
        <v>1644</v>
      </c>
      <c r="K280">
        <v>11226</v>
      </c>
      <c r="L280" t="s">
        <v>1670</v>
      </c>
      <c r="M280" t="s">
        <v>1672</v>
      </c>
      <c r="P280" t="s">
        <v>1960</v>
      </c>
      <c r="R280" t="s">
        <v>50</v>
      </c>
      <c r="S280" t="s">
        <v>1670</v>
      </c>
      <c r="U280" t="s">
        <v>1972</v>
      </c>
      <c r="W280" t="s">
        <v>179</v>
      </c>
      <c r="X280">
        <v>988.01</v>
      </c>
      <c r="Y280" t="s">
        <v>2009</v>
      </c>
      <c r="AB280" t="s">
        <v>13276</v>
      </c>
      <c r="AE280" t="s">
        <v>13051</v>
      </c>
      <c r="AH280">
        <v>30</v>
      </c>
      <c r="AI280">
        <v>4</v>
      </c>
      <c r="AJ280">
        <v>0</v>
      </c>
      <c r="AK280">
        <v>248.54</v>
      </c>
      <c r="AN280" t="s">
        <v>2926</v>
      </c>
      <c r="AO280">
        <v>64000</v>
      </c>
      <c r="AU280" t="s">
        <v>13051</v>
      </c>
      <c r="AW280" t="s">
        <v>158</v>
      </c>
      <c r="AX280" t="s">
        <v>18685</v>
      </c>
    </row>
    <row r="281" spans="1:50">
      <c r="A281" s="1" t="s">
        <v>124</v>
      </c>
      <c r="B281" t="s">
        <v>163</v>
      </c>
      <c r="C281" t="s">
        <v>3491</v>
      </c>
      <c r="D281" t="s">
        <v>3039</v>
      </c>
      <c r="F281" t="s">
        <v>6931</v>
      </c>
      <c r="G281" t="s">
        <v>8008</v>
      </c>
      <c r="H281" t="s">
        <v>9483</v>
      </c>
      <c r="I281" t="s">
        <v>1488</v>
      </c>
      <c r="J281" t="s">
        <v>1644</v>
      </c>
      <c r="K281">
        <v>11226</v>
      </c>
      <c r="L281" t="s">
        <v>1670</v>
      </c>
      <c r="M281" t="s">
        <v>1672</v>
      </c>
      <c r="P281" t="s">
        <v>1960</v>
      </c>
      <c r="R281" t="s">
        <v>50</v>
      </c>
      <c r="S281" t="s">
        <v>1670</v>
      </c>
      <c r="U281" t="s">
        <v>1972</v>
      </c>
      <c r="W281" t="s">
        <v>3039</v>
      </c>
      <c r="X281">
        <v>988.01</v>
      </c>
      <c r="Y281" t="s">
        <v>2009</v>
      </c>
      <c r="AB281" t="s">
        <v>13276</v>
      </c>
      <c r="AE281" t="s">
        <v>13051</v>
      </c>
      <c r="AH281">
        <v>30</v>
      </c>
      <c r="AI281">
        <v>4</v>
      </c>
      <c r="AJ281">
        <v>0</v>
      </c>
      <c r="AK281">
        <v>248.54</v>
      </c>
      <c r="AN281" t="s">
        <v>2926</v>
      </c>
      <c r="AO281">
        <v>64000</v>
      </c>
      <c r="AU281">
        <v>0.1</v>
      </c>
      <c r="AV281" t="s">
        <v>268</v>
      </c>
      <c r="AW281" t="s">
        <v>158</v>
      </c>
      <c r="AX281" t="s">
        <v>18685</v>
      </c>
    </row>
    <row r="282" spans="1:50">
      <c r="A282" s="1" t="s">
        <v>64</v>
      </c>
      <c r="B282" t="s">
        <v>164</v>
      </c>
      <c r="C282" t="s">
        <v>3492</v>
      </c>
      <c r="D282" t="s">
        <v>199</v>
      </c>
      <c r="E282" t="s">
        <v>258</v>
      </c>
      <c r="F282" t="s">
        <v>6932</v>
      </c>
      <c r="G282" t="s">
        <v>1003</v>
      </c>
      <c r="H282" t="s">
        <v>9518</v>
      </c>
      <c r="I282" t="s">
        <v>11002</v>
      </c>
      <c r="J282" t="s">
        <v>1643</v>
      </c>
      <c r="K282">
        <v>10034</v>
      </c>
      <c r="L282" t="s">
        <v>1670</v>
      </c>
      <c r="M282" t="s">
        <v>1670</v>
      </c>
      <c r="N282" t="s">
        <v>11908</v>
      </c>
      <c r="O282" t="s">
        <v>1936</v>
      </c>
      <c r="P282" t="s">
        <v>1958</v>
      </c>
      <c r="Q282" t="s">
        <v>1965</v>
      </c>
      <c r="R282" t="s">
        <v>50</v>
      </c>
      <c r="S282" t="s">
        <v>1671</v>
      </c>
      <c r="U282" t="s">
        <v>1972</v>
      </c>
      <c r="W282" t="s">
        <v>199</v>
      </c>
      <c r="X282">
        <v>209.48</v>
      </c>
      <c r="Y282" t="s">
        <v>2008</v>
      </c>
      <c r="Z282" t="s">
        <v>2020</v>
      </c>
      <c r="AA282" t="s">
        <v>2029</v>
      </c>
      <c r="AB282" t="s">
        <v>13277</v>
      </c>
      <c r="AD282" t="s">
        <v>15863</v>
      </c>
      <c r="AE282">
        <v>48</v>
      </c>
      <c r="AF282" t="s">
        <v>2908</v>
      </c>
      <c r="AG282" t="s">
        <v>1754</v>
      </c>
      <c r="AH282">
        <v>49</v>
      </c>
      <c r="AI282">
        <v>2</v>
      </c>
      <c r="AJ282">
        <v>1</v>
      </c>
      <c r="AK282">
        <v>249.41</v>
      </c>
      <c r="AN282" t="s">
        <v>2927</v>
      </c>
      <c r="AO282">
        <v>53200</v>
      </c>
      <c r="AU282">
        <v>0.7</v>
      </c>
      <c r="AV282" t="s">
        <v>189</v>
      </c>
      <c r="AW282" t="s">
        <v>3042</v>
      </c>
    </row>
    <row r="283" spans="1:50">
      <c r="A283" s="1" t="s">
        <v>97</v>
      </c>
      <c r="B283" t="s">
        <v>164</v>
      </c>
      <c r="C283" t="s">
        <v>3493</v>
      </c>
      <c r="D283" t="s">
        <v>196</v>
      </c>
      <c r="E283" t="s">
        <v>174</v>
      </c>
      <c r="F283" t="s">
        <v>6933</v>
      </c>
      <c r="G283" t="s">
        <v>8009</v>
      </c>
      <c r="H283" t="s">
        <v>1362</v>
      </c>
      <c r="I283">
        <v>34</v>
      </c>
      <c r="J283" t="s">
        <v>1643</v>
      </c>
      <c r="K283">
        <v>10034</v>
      </c>
      <c r="L283" t="s">
        <v>1670</v>
      </c>
      <c r="M283" t="s">
        <v>1670</v>
      </c>
      <c r="O283" t="s">
        <v>1945</v>
      </c>
      <c r="P283" t="s">
        <v>1962</v>
      </c>
      <c r="Q283" t="s">
        <v>1968</v>
      </c>
      <c r="R283" t="s">
        <v>50</v>
      </c>
      <c r="S283" t="s">
        <v>1671</v>
      </c>
      <c r="U283" t="s">
        <v>1972</v>
      </c>
      <c r="W283" t="s">
        <v>196</v>
      </c>
      <c r="X283">
        <v>810.26</v>
      </c>
      <c r="Y283" t="s">
        <v>2008</v>
      </c>
      <c r="Z283" t="s">
        <v>2020</v>
      </c>
      <c r="AA283" t="s">
        <v>2029</v>
      </c>
      <c r="AB283" t="s">
        <v>13278</v>
      </c>
      <c r="AD283" t="s">
        <v>15864</v>
      </c>
      <c r="AE283">
        <v>25</v>
      </c>
      <c r="AF283" t="s">
        <v>2902</v>
      </c>
      <c r="AG283" t="s">
        <v>2919</v>
      </c>
      <c r="AH283">
        <v>52</v>
      </c>
      <c r="AI283">
        <v>1</v>
      </c>
      <c r="AJ283">
        <v>0</v>
      </c>
      <c r="AK283">
        <v>249.59</v>
      </c>
      <c r="AL283" t="s">
        <v>190</v>
      </c>
      <c r="AM283" t="s">
        <v>18031</v>
      </c>
      <c r="AN283" t="s">
        <v>2927</v>
      </c>
      <c r="AO283">
        <v>30300</v>
      </c>
      <c r="AU283">
        <v>2.7</v>
      </c>
      <c r="AV283" t="s">
        <v>174</v>
      </c>
      <c r="AW283" t="s">
        <v>3042</v>
      </c>
      <c r="AX283" t="s">
        <v>18685</v>
      </c>
    </row>
    <row r="284" spans="1:50">
      <c r="A284" s="1" t="s">
        <v>97</v>
      </c>
      <c r="B284" t="s">
        <v>163</v>
      </c>
      <c r="C284" t="s">
        <v>3494</v>
      </c>
      <c r="D284" t="s">
        <v>196</v>
      </c>
      <c r="F284" t="s">
        <v>6933</v>
      </c>
      <c r="G284" t="s">
        <v>8009</v>
      </c>
      <c r="H284" t="s">
        <v>1362</v>
      </c>
      <c r="I284">
        <v>34</v>
      </c>
      <c r="J284" t="s">
        <v>1643</v>
      </c>
      <c r="K284">
        <v>10034</v>
      </c>
      <c r="L284" t="s">
        <v>1670</v>
      </c>
      <c r="M284" t="s">
        <v>1670</v>
      </c>
      <c r="O284" t="s">
        <v>1937</v>
      </c>
      <c r="P284" t="s">
        <v>1959</v>
      </c>
      <c r="R284" t="s">
        <v>50</v>
      </c>
      <c r="S284" t="s">
        <v>1671</v>
      </c>
      <c r="U284" t="s">
        <v>1972</v>
      </c>
      <c r="W284" t="s">
        <v>283</v>
      </c>
      <c r="X284">
        <v>810.26</v>
      </c>
      <c r="Y284" t="s">
        <v>2008</v>
      </c>
      <c r="Z284" t="s">
        <v>2013</v>
      </c>
      <c r="AB284" t="s">
        <v>13278</v>
      </c>
      <c r="AD284" t="s">
        <v>15864</v>
      </c>
      <c r="AE284">
        <v>25</v>
      </c>
      <c r="AF284" t="s">
        <v>2902</v>
      </c>
      <c r="AG284" t="s">
        <v>1754</v>
      </c>
      <c r="AH284">
        <v>52</v>
      </c>
      <c r="AI284">
        <v>1</v>
      </c>
      <c r="AJ284">
        <v>0</v>
      </c>
      <c r="AK284">
        <v>249.59</v>
      </c>
      <c r="AL284" t="s">
        <v>190</v>
      </c>
      <c r="AM284" t="s">
        <v>18031</v>
      </c>
      <c r="AN284" t="s">
        <v>2927</v>
      </c>
      <c r="AO284">
        <v>30300</v>
      </c>
      <c r="AU284">
        <v>10.2</v>
      </c>
      <c r="AV284" t="s">
        <v>220</v>
      </c>
      <c r="AW284" t="s">
        <v>3042</v>
      </c>
      <c r="AX284" t="s">
        <v>18685</v>
      </c>
    </row>
    <row r="285" spans="1:50">
      <c r="A285" s="1" t="s">
        <v>105</v>
      </c>
      <c r="B285" t="s">
        <v>163</v>
      </c>
      <c r="C285" t="s">
        <v>3495</v>
      </c>
      <c r="D285" t="s">
        <v>274</v>
      </c>
      <c r="F285" t="s">
        <v>6934</v>
      </c>
      <c r="G285" t="s">
        <v>808</v>
      </c>
      <c r="H285" t="s">
        <v>9519</v>
      </c>
      <c r="I285" t="s">
        <v>1486</v>
      </c>
      <c r="J285" t="s">
        <v>1641</v>
      </c>
      <c r="K285">
        <v>10452</v>
      </c>
      <c r="L285" t="s">
        <v>1670</v>
      </c>
      <c r="M285" t="s">
        <v>1670</v>
      </c>
      <c r="N285" t="s">
        <v>11909</v>
      </c>
      <c r="O285" t="s">
        <v>1940</v>
      </c>
      <c r="P285" t="s">
        <v>1958</v>
      </c>
      <c r="R285" t="s">
        <v>50</v>
      </c>
      <c r="S285" t="s">
        <v>1671</v>
      </c>
      <c r="U285" t="s">
        <v>1972</v>
      </c>
      <c r="V285" t="s">
        <v>1984</v>
      </c>
      <c r="W285" t="s">
        <v>274</v>
      </c>
      <c r="X285">
        <v>1136</v>
      </c>
      <c r="Y285" t="s">
        <v>2006</v>
      </c>
      <c r="Z285" t="s">
        <v>2016</v>
      </c>
      <c r="AB285" t="s">
        <v>13279</v>
      </c>
      <c r="AD285" t="s">
        <v>15865</v>
      </c>
      <c r="AE285" t="s">
        <v>13051</v>
      </c>
      <c r="AF285" t="s">
        <v>2902</v>
      </c>
      <c r="AG285" t="s">
        <v>1754</v>
      </c>
      <c r="AH285">
        <v>10</v>
      </c>
      <c r="AI285">
        <v>1</v>
      </c>
      <c r="AJ285">
        <v>0</v>
      </c>
      <c r="AK285">
        <v>249.8</v>
      </c>
      <c r="AN285" t="s">
        <v>2927</v>
      </c>
      <c r="AO285">
        <v>31200</v>
      </c>
      <c r="AP285" t="s">
        <v>18102</v>
      </c>
      <c r="AU285">
        <v>0.1</v>
      </c>
      <c r="AV285" t="s">
        <v>405</v>
      </c>
      <c r="AW285" t="s">
        <v>105</v>
      </c>
      <c r="AX285" t="s">
        <v>18685</v>
      </c>
    </row>
    <row r="286" spans="1:50">
      <c r="A286" s="1" t="s">
        <v>74</v>
      </c>
      <c r="B286" t="s">
        <v>163</v>
      </c>
      <c r="C286" t="s">
        <v>3496</v>
      </c>
      <c r="D286" t="s">
        <v>230</v>
      </c>
      <c r="F286" t="s">
        <v>6935</v>
      </c>
      <c r="G286" t="s">
        <v>8010</v>
      </c>
      <c r="H286" t="s">
        <v>1131</v>
      </c>
      <c r="I286" t="s">
        <v>11005</v>
      </c>
      <c r="J286" t="s">
        <v>1641</v>
      </c>
      <c r="K286">
        <v>10460</v>
      </c>
      <c r="L286" t="s">
        <v>1670</v>
      </c>
      <c r="M286" t="s">
        <v>1672</v>
      </c>
      <c r="O286" t="s">
        <v>1675</v>
      </c>
      <c r="P286" t="s">
        <v>1959</v>
      </c>
      <c r="R286" t="s">
        <v>50</v>
      </c>
      <c r="S286" t="s">
        <v>1670</v>
      </c>
      <c r="U286" t="s">
        <v>1972</v>
      </c>
      <c r="W286" t="s">
        <v>1991</v>
      </c>
      <c r="X286">
        <v>955</v>
      </c>
      <c r="Y286" t="s">
        <v>2006</v>
      </c>
      <c r="Z286" t="s">
        <v>2015</v>
      </c>
      <c r="AB286" t="s">
        <v>13280</v>
      </c>
      <c r="AD286" t="s">
        <v>15866</v>
      </c>
      <c r="AE286">
        <v>168</v>
      </c>
      <c r="AF286" t="s">
        <v>2902</v>
      </c>
      <c r="AG286" t="s">
        <v>2915</v>
      </c>
      <c r="AH286">
        <v>34</v>
      </c>
      <c r="AI286">
        <v>1</v>
      </c>
      <c r="AJ286">
        <v>0</v>
      </c>
      <c r="AK286">
        <v>249.8</v>
      </c>
      <c r="AN286" t="s">
        <v>2926</v>
      </c>
      <c r="AO286">
        <v>31200</v>
      </c>
      <c r="AU286" t="s">
        <v>13051</v>
      </c>
      <c r="AW286" t="s">
        <v>3045</v>
      </c>
      <c r="AX286" t="s">
        <v>18685</v>
      </c>
    </row>
    <row r="287" spans="1:50">
      <c r="A287" s="1" t="s">
        <v>3160</v>
      </c>
      <c r="B287" t="s">
        <v>164</v>
      </c>
      <c r="C287" t="s">
        <v>3497</v>
      </c>
      <c r="D287" t="s">
        <v>173</v>
      </c>
      <c r="E287" t="s">
        <v>383</v>
      </c>
      <c r="F287" t="s">
        <v>605</v>
      </c>
      <c r="G287" t="s">
        <v>8011</v>
      </c>
      <c r="H287" t="s">
        <v>9520</v>
      </c>
      <c r="I287" t="s">
        <v>10967</v>
      </c>
      <c r="J287" t="s">
        <v>1641</v>
      </c>
      <c r="K287">
        <v>10474</v>
      </c>
      <c r="L287" t="s">
        <v>1670</v>
      </c>
      <c r="M287" t="s">
        <v>1670</v>
      </c>
      <c r="N287" t="s">
        <v>11910</v>
      </c>
      <c r="O287" t="s">
        <v>1940</v>
      </c>
      <c r="P287" t="s">
        <v>1958</v>
      </c>
      <c r="Q287" t="s">
        <v>1965</v>
      </c>
      <c r="R287" t="s">
        <v>50</v>
      </c>
      <c r="S287" t="s">
        <v>1671</v>
      </c>
      <c r="U287" t="s">
        <v>1972</v>
      </c>
      <c r="V287" t="s">
        <v>1987</v>
      </c>
      <c r="W287" t="s">
        <v>196</v>
      </c>
      <c r="X287">
        <v>1623.96</v>
      </c>
      <c r="Y287" t="s">
        <v>2006</v>
      </c>
      <c r="AA287" t="s">
        <v>2029</v>
      </c>
      <c r="AB287" t="s">
        <v>13281</v>
      </c>
      <c r="AD287" t="s">
        <v>15867</v>
      </c>
      <c r="AE287">
        <v>37</v>
      </c>
      <c r="AF287" t="s">
        <v>2909</v>
      </c>
      <c r="AH287">
        <v>6</v>
      </c>
      <c r="AI287">
        <v>4</v>
      </c>
      <c r="AJ287">
        <v>0</v>
      </c>
      <c r="AK287">
        <v>250.06</v>
      </c>
      <c r="AN287" t="s">
        <v>2926</v>
      </c>
      <c r="AO287">
        <v>62764</v>
      </c>
      <c r="AP287" t="s">
        <v>18103</v>
      </c>
      <c r="AU287">
        <v>6.2</v>
      </c>
      <c r="AV287" t="s">
        <v>196</v>
      </c>
      <c r="AW287" t="s">
        <v>3064</v>
      </c>
    </row>
    <row r="288" spans="1:50">
      <c r="A288" s="1" t="s">
        <v>116</v>
      </c>
      <c r="B288" t="s">
        <v>163</v>
      </c>
      <c r="C288" t="s">
        <v>3498</v>
      </c>
      <c r="D288" t="s">
        <v>6131</v>
      </c>
      <c r="F288" t="s">
        <v>658</v>
      </c>
      <c r="G288" t="s">
        <v>8012</v>
      </c>
      <c r="H288" t="s">
        <v>9521</v>
      </c>
      <c r="I288" t="s">
        <v>10945</v>
      </c>
      <c r="J288" t="s">
        <v>1643</v>
      </c>
      <c r="K288">
        <v>10016</v>
      </c>
      <c r="L288" t="s">
        <v>1670</v>
      </c>
      <c r="M288" t="s">
        <v>1670</v>
      </c>
      <c r="N288" t="s">
        <v>11911</v>
      </c>
      <c r="O288" t="s">
        <v>1957</v>
      </c>
      <c r="P288" t="s">
        <v>1960</v>
      </c>
      <c r="R288" t="s">
        <v>50</v>
      </c>
      <c r="S288" t="s">
        <v>1671</v>
      </c>
      <c r="U288" t="s">
        <v>1972</v>
      </c>
      <c r="V288" t="s">
        <v>1984</v>
      </c>
      <c r="W288" t="s">
        <v>264</v>
      </c>
      <c r="X288">
        <v>1205</v>
      </c>
      <c r="Y288" t="s">
        <v>2008</v>
      </c>
      <c r="Z288" t="s">
        <v>2019</v>
      </c>
      <c r="AB288" t="s">
        <v>13282</v>
      </c>
      <c r="AD288" t="s">
        <v>15868</v>
      </c>
      <c r="AE288">
        <v>8</v>
      </c>
      <c r="AF288" t="s">
        <v>2902</v>
      </c>
      <c r="AG288" t="s">
        <v>1754</v>
      </c>
      <c r="AH288">
        <v>30</v>
      </c>
      <c r="AI288">
        <v>2</v>
      </c>
      <c r="AJ288">
        <v>1</v>
      </c>
      <c r="AK288">
        <v>250.24</v>
      </c>
      <c r="AL288" t="s">
        <v>264</v>
      </c>
      <c r="AM288" t="s">
        <v>18031</v>
      </c>
      <c r="AN288" t="s">
        <v>2926</v>
      </c>
      <c r="AO288">
        <v>52000</v>
      </c>
      <c r="AU288">
        <v>89.90000000000001</v>
      </c>
      <c r="AV288" t="s">
        <v>379</v>
      </c>
      <c r="AW288" t="s">
        <v>3051</v>
      </c>
      <c r="AX288" t="s">
        <v>18685</v>
      </c>
    </row>
    <row r="289" spans="1:50">
      <c r="A289" s="1" t="s">
        <v>74</v>
      </c>
      <c r="B289" t="s">
        <v>163</v>
      </c>
      <c r="C289" t="s">
        <v>3499</v>
      </c>
      <c r="D289" t="s">
        <v>191</v>
      </c>
      <c r="F289" t="s">
        <v>6865</v>
      </c>
      <c r="G289" t="s">
        <v>8013</v>
      </c>
      <c r="H289" t="s">
        <v>1131</v>
      </c>
      <c r="I289" t="s">
        <v>11006</v>
      </c>
      <c r="J289" t="s">
        <v>1641</v>
      </c>
      <c r="K289">
        <v>10460</v>
      </c>
      <c r="L289" t="s">
        <v>1670</v>
      </c>
      <c r="M289" t="s">
        <v>1672</v>
      </c>
      <c r="N289" t="s">
        <v>1691</v>
      </c>
      <c r="O289" t="s">
        <v>1675</v>
      </c>
      <c r="P289" t="s">
        <v>1959</v>
      </c>
      <c r="R289" t="s">
        <v>50</v>
      </c>
      <c r="S289" t="s">
        <v>1670</v>
      </c>
      <c r="U289" t="s">
        <v>1972</v>
      </c>
      <c r="W289" t="s">
        <v>1991</v>
      </c>
      <c r="X289">
        <v>895</v>
      </c>
      <c r="Y289" t="s">
        <v>2006</v>
      </c>
      <c r="Z289" t="s">
        <v>2015</v>
      </c>
      <c r="AB289" t="s">
        <v>13283</v>
      </c>
      <c r="AE289">
        <v>168</v>
      </c>
      <c r="AF289" t="s">
        <v>2902</v>
      </c>
      <c r="AG289" t="s">
        <v>2915</v>
      </c>
      <c r="AH289">
        <v>5</v>
      </c>
      <c r="AI289">
        <v>1</v>
      </c>
      <c r="AJ289">
        <v>0</v>
      </c>
      <c r="AK289">
        <v>252.2</v>
      </c>
      <c r="AN289" t="s">
        <v>2926</v>
      </c>
      <c r="AO289">
        <v>31500</v>
      </c>
      <c r="AU289" t="s">
        <v>13051</v>
      </c>
      <c r="AW289" t="s">
        <v>3047</v>
      </c>
      <c r="AX289" t="s">
        <v>18685</v>
      </c>
    </row>
    <row r="290" spans="1:50">
      <c r="A290" s="1" t="s">
        <v>123</v>
      </c>
      <c r="B290" t="s">
        <v>163</v>
      </c>
      <c r="C290" t="s">
        <v>3500</v>
      </c>
      <c r="D290" t="s">
        <v>282</v>
      </c>
      <c r="F290" t="s">
        <v>604</v>
      </c>
      <c r="G290" t="s">
        <v>8014</v>
      </c>
      <c r="H290" t="s">
        <v>1234</v>
      </c>
      <c r="I290" t="s">
        <v>11007</v>
      </c>
      <c r="J290" t="s">
        <v>1641</v>
      </c>
      <c r="K290">
        <v>10452</v>
      </c>
      <c r="L290" t="s">
        <v>1670</v>
      </c>
      <c r="M290" t="s">
        <v>1672</v>
      </c>
      <c r="N290" t="s">
        <v>1769</v>
      </c>
      <c r="O290" t="s">
        <v>1949</v>
      </c>
      <c r="P290" t="s">
        <v>1961</v>
      </c>
      <c r="R290" t="s">
        <v>50</v>
      </c>
      <c r="S290" t="s">
        <v>1670</v>
      </c>
      <c r="U290" t="s">
        <v>1972</v>
      </c>
      <c r="W290" t="s">
        <v>169</v>
      </c>
      <c r="X290">
        <v>799.6</v>
      </c>
      <c r="Y290" t="s">
        <v>2006</v>
      </c>
      <c r="Z290" t="s">
        <v>2015</v>
      </c>
      <c r="AB290" t="s">
        <v>13284</v>
      </c>
      <c r="AD290" t="s">
        <v>15869</v>
      </c>
      <c r="AE290">
        <v>122</v>
      </c>
      <c r="AF290" t="s">
        <v>2902</v>
      </c>
      <c r="AG290" t="s">
        <v>1754</v>
      </c>
      <c r="AH290">
        <v>24</v>
      </c>
      <c r="AI290">
        <v>1</v>
      </c>
      <c r="AJ290">
        <v>0</v>
      </c>
      <c r="AK290">
        <v>254.13</v>
      </c>
      <c r="AN290" t="s">
        <v>2926</v>
      </c>
      <c r="AO290">
        <v>30648</v>
      </c>
      <c r="AP290" t="s">
        <v>2950</v>
      </c>
      <c r="AU290" t="s">
        <v>13051</v>
      </c>
      <c r="AW290" t="s">
        <v>3054</v>
      </c>
    </row>
    <row r="291" spans="1:50">
      <c r="A291" s="1" t="s">
        <v>82</v>
      </c>
      <c r="B291" t="s">
        <v>163</v>
      </c>
      <c r="C291" t="s">
        <v>3501</v>
      </c>
      <c r="D291" t="s">
        <v>190</v>
      </c>
      <c r="F291" t="s">
        <v>473</v>
      </c>
      <c r="G291" t="s">
        <v>8015</v>
      </c>
      <c r="H291" t="s">
        <v>9420</v>
      </c>
      <c r="I291" t="s">
        <v>11008</v>
      </c>
      <c r="J291" t="s">
        <v>1644</v>
      </c>
      <c r="K291">
        <v>11233</v>
      </c>
      <c r="L291" t="s">
        <v>1671</v>
      </c>
      <c r="M291" t="s">
        <v>1671</v>
      </c>
      <c r="O291" t="s">
        <v>1937</v>
      </c>
      <c r="P291" t="s">
        <v>1962</v>
      </c>
      <c r="R291" t="s">
        <v>50</v>
      </c>
      <c r="S291" t="s">
        <v>1670</v>
      </c>
      <c r="U291" t="s">
        <v>1972</v>
      </c>
      <c r="V291" t="s">
        <v>1984</v>
      </c>
      <c r="W291" t="s">
        <v>221</v>
      </c>
      <c r="X291">
        <v>775</v>
      </c>
      <c r="Y291" t="s">
        <v>2009</v>
      </c>
      <c r="Z291" t="s">
        <v>2017</v>
      </c>
      <c r="AB291" t="s">
        <v>13285</v>
      </c>
      <c r="AE291">
        <v>359</v>
      </c>
      <c r="AF291" t="s">
        <v>2902</v>
      </c>
      <c r="AG291" t="s">
        <v>1754</v>
      </c>
      <c r="AH291">
        <v>10</v>
      </c>
      <c r="AI291">
        <v>2</v>
      </c>
      <c r="AJ291">
        <v>0</v>
      </c>
      <c r="AK291">
        <v>254.29</v>
      </c>
      <c r="AN291" t="s">
        <v>2926</v>
      </c>
      <c r="AO291">
        <v>43000</v>
      </c>
      <c r="AP291" t="s">
        <v>18104</v>
      </c>
      <c r="AU291" t="s">
        <v>13051</v>
      </c>
      <c r="AW291" t="s">
        <v>3059</v>
      </c>
    </row>
    <row r="292" spans="1:50">
      <c r="A292" s="1" t="s">
        <v>82</v>
      </c>
      <c r="B292" t="s">
        <v>163</v>
      </c>
      <c r="C292" t="s">
        <v>3502</v>
      </c>
      <c r="D292" t="s">
        <v>190</v>
      </c>
      <c r="F292" t="s">
        <v>473</v>
      </c>
      <c r="G292" t="s">
        <v>8015</v>
      </c>
      <c r="H292" t="s">
        <v>9420</v>
      </c>
      <c r="I292" t="s">
        <v>11008</v>
      </c>
      <c r="J292" t="s">
        <v>1644</v>
      </c>
      <c r="K292">
        <v>11233</v>
      </c>
      <c r="L292" t="s">
        <v>1671</v>
      </c>
      <c r="M292" t="s">
        <v>1671</v>
      </c>
      <c r="O292" t="s">
        <v>1938</v>
      </c>
      <c r="P292" t="s">
        <v>1961</v>
      </c>
      <c r="R292" t="s">
        <v>50</v>
      </c>
      <c r="S292" t="s">
        <v>1670</v>
      </c>
      <c r="U292" t="s">
        <v>1972</v>
      </c>
      <c r="V292" t="s">
        <v>1984</v>
      </c>
      <c r="W292" t="s">
        <v>248</v>
      </c>
      <c r="X292">
        <v>775</v>
      </c>
      <c r="Y292" t="s">
        <v>2009</v>
      </c>
      <c r="Z292" t="s">
        <v>2017</v>
      </c>
      <c r="AB292" t="s">
        <v>13285</v>
      </c>
      <c r="AE292">
        <v>359</v>
      </c>
      <c r="AF292" t="s">
        <v>2902</v>
      </c>
      <c r="AG292" t="s">
        <v>1754</v>
      </c>
      <c r="AH292">
        <v>10</v>
      </c>
      <c r="AI292">
        <v>2</v>
      </c>
      <c r="AJ292">
        <v>0</v>
      </c>
      <c r="AK292">
        <v>254.29</v>
      </c>
      <c r="AN292" t="s">
        <v>2926</v>
      </c>
      <c r="AO292">
        <v>43000</v>
      </c>
      <c r="AP292" t="s">
        <v>18068</v>
      </c>
      <c r="AU292" t="s">
        <v>13051</v>
      </c>
      <c r="AW292" t="s">
        <v>3059</v>
      </c>
    </row>
    <row r="293" spans="1:50">
      <c r="A293" s="1" t="s">
        <v>74</v>
      </c>
      <c r="B293" t="s">
        <v>164</v>
      </c>
      <c r="C293" t="s">
        <v>3503</v>
      </c>
      <c r="D293" t="s">
        <v>330</v>
      </c>
      <c r="E293" t="s">
        <v>401</v>
      </c>
      <c r="F293" t="s">
        <v>6936</v>
      </c>
      <c r="G293" t="s">
        <v>8016</v>
      </c>
      <c r="H293" t="s">
        <v>1118</v>
      </c>
      <c r="I293" t="s">
        <v>11009</v>
      </c>
      <c r="J293" t="s">
        <v>1641</v>
      </c>
      <c r="K293">
        <v>10452</v>
      </c>
      <c r="L293" t="s">
        <v>1670</v>
      </c>
      <c r="M293" t="s">
        <v>1672</v>
      </c>
      <c r="N293" t="s">
        <v>11912</v>
      </c>
      <c r="O293" t="s">
        <v>1936</v>
      </c>
      <c r="P293" t="s">
        <v>1958</v>
      </c>
      <c r="Q293" t="s">
        <v>1965</v>
      </c>
      <c r="R293" t="s">
        <v>50</v>
      </c>
      <c r="U293" t="s">
        <v>1972</v>
      </c>
      <c r="W293" t="s">
        <v>354</v>
      </c>
      <c r="X293" t="s">
        <v>13051</v>
      </c>
      <c r="Y293" t="s">
        <v>2006</v>
      </c>
      <c r="Z293" t="s">
        <v>2015</v>
      </c>
      <c r="AA293" t="s">
        <v>2037</v>
      </c>
      <c r="AB293" t="s">
        <v>13286</v>
      </c>
      <c r="AD293" t="s">
        <v>15870</v>
      </c>
      <c r="AE293" t="s">
        <v>13051</v>
      </c>
      <c r="AF293" t="s">
        <v>2902</v>
      </c>
      <c r="AH293" t="s">
        <v>13051</v>
      </c>
      <c r="AI293">
        <v>2</v>
      </c>
      <c r="AJ293">
        <v>0</v>
      </c>
      <c r="AK293">
        <v>255.16</v>
      </c>
      <c r="AN293" t="s">
        <v>2926</v>
      </c>
      <c r="AO293">
        <v>42000</v>
      </c>
      <c r="AU293">
        <v>2.8</v>
      </c>
      <c r="AV293" t="s">
        <v>214</v>
      </c>
      <c r="AW293" t="s">
        <v>128</v>
      </c>
      <c r="AX293" t="s">
        <v>18685</v>
      </c>
    </row>
    <row r="294" spans="1:50">
      <c r="A294" s="1" t="s">
        <v>3158</v>
      </c>
      <c r="B294" t="s">
        <v>164</v>
      </c>
      <c r="C294" t="s">
        <v>3504</v>
      </c>
      <c r="D294" t="s">
        <v>175</v>
      </c>
      <c r="E294" t="s">
        <v>243</v>
      </c>
      <c r="F294" t="s">
        <v>6937</v>
      </c>
      <c r="G294" t="s">
        <v>893</v>
      </c>
      <c r="H294" t="s">
        <v>9522</v>
      </c>
      <c r="I294">
        <v>63</v>
      </c>
      <c r="J294" t="s">
        <v>1643</v>
      </c>
      <c r="K294">
        <v>10032</v>
      </c>
      <c r="L294" t="s">
        <v>1670</v>
      </c>
      <c r="M294" t="s">
        <v>1670</v>
      </c>
      <c r="O294" t="s">
        <v>1949</v>
      </c>
      <c r="P294" t="s">
        <v>1958</v>
      </c>
      <c r="Q294" t="s">
        <v>1965</v>
      </c>
      <c r="R294" t="s">
        <v>50</v>
      </c>
      <c r="S294" t="s">
        <v>1671</v>
      </c>
      <c r="U294" t="s">
        <v>1972</v>
      </c>
      <c r="W294" t="s">
        <v>175</v>
      </c>
      <c r="X294">
        <v>815.37</v>
      </c>
      <c r="Y294" t="s">
        <v>2008</v>
      </c>
      <c r="Z294" t="s">
        <v>2016</v>
      </c>
      <c r="AA294" t="s">
        <v>2029</v>
      </c>
      <c r="AB294" t="s">
        <v>13287</v>
      </c>
      <c r="AD294" t="s">
        <v>15871</v>
      </c>
      <c r="AE294">
        <v>54</v>
      </c>
      <c r="AF294" t="s">
        <v>2902</v>
      </c>
      <c r="AG294" t="s">
        <v>1754</v>
      </c>
      <c r="AH294">
        <v>48</v>
      </c>
      <c r="AI294">
        <v>2</v>
      </c>
      <c r="AJ294">
        <v>0</v>
      </c>
      <c r="AK294">
        <v>255.16</v>
      </c>
      <c r="AL294" t="s">
        <v>340</v>
      </c>
      <c r="AM294" t="s">
        <v>18031</v>
      </c>
      <c r="AN294" t="s">
        <v>2927</v>
      </c>
      <c r="AO294">
        <v>42000</v>
      </c>
      <c r="AU294">
        <v>0.3</v>
      </c>
      <c r="AV294" t="s">
        <v>175</v>
      </c>
      <c r="AW294" t="s">
        <v>3042</v>
      </c>
    </row>
    <row r="295" spans="1:50">
      <c r="A295" s="1" t="s">
        <v>59</v>
      </c>
      <c r="B295" t="s">
        <v>163</v>
      </c>
      <c r="C295" t="s">
        <v>3505</v>
      </c>
      <c r="D295" t="s">
        <v>184</v>
      </c>
      <c r="F295" t="s">
        <v>6938</v>
      </c>
      <c r="G295" t="s">
        <v>8017</v>
      </c>
      <c r="H295" t="s">
        <v>1114</v>
      </c>
      <c r="I295" t="s">
        <v>1525</v>
      </c>
      <c r="J295" t="s">
        <v>1641</v>
      </c>
      <c r="K295">
        <v>10456</v>
      </c>
      <c r="L295" t="s">
        <v>1670</v>
      </c>
      <c r="M295" t="s">
        <v>1670</v>
      </c>
      <c r="N295" t="s">
        <v>1680</v>
      </c>
      <c r="O295" t="s">
        <v>1938</v>
      </c>
      <c r="P295" t="s">
        <v>1961</v>
      </c>
      <c r="R295" t="s">
        <v>50</v>
      </c>
      <c r="S295" t="s">
        <v>1670</v>
      </c>
      <c r="U295" t="s">
        <v>1972</v>
      </c>
      <c r="W295" t="s">
        <v>1992</v>
      </c>
      <c r="X295">
        <v>886</v>
      </c>
      <c r="Y295" t="s">
        <v>2006</v>
      </c>
      <c r="Z295" t="s">
        <v>2015</v>
      </c>
      <c r="AB295" t="s">
        <v>13288</v>
      </c>
      <c r="AD295" t="s">
        <v>15872</v>
      </c>
      <c r="AE295">
        <v>131</v>
      </c>
      <c r="AF295" t="s">
        <v>2902</v>
      </c>
      <c r="AG295" t="s">
        <v>1754</v>
      </c>
      <c r="AH295">
        <v>28</v>
      </c>
      <c r="AI295">
        <v>2</v>
      </c>
      <c r="AJ295">
        <v>0</v>
      </c>
      <c r="AK295">
        <v>255.16</v>
      </c>
      <c r="AN295" t="s">
        <v>2926</v>
      </c>
      <c r="AO295">
        <v>42000</v>
      </c>
      <c r="AU295">
        <v>1.5</v>
      </c>
      <c r="AV295" t="s">
        <v>3038</v>
      </c>
      <c r="AW295" t="s">
        <v>3047</v>
      </c>
    </row>
    <row r="296" spans="1:50">
      <c r="A296" s="1" t="s">
        <v>59</v>
      </c>
      <c r="B296" t="s">
        <v>163</v>
      </c>
      <c r="C296" t="s">
        <v>3506</v>
      </c>
      <c r="D296" t="s">
        <v>174</v>
      </c>
      <c r="F296" t="s">
        <v>6938</v>
      </c>
      <c r="G296" t="s">
        <v>8017</v>
      </c>
      <c r="H296" t="s">
        <v>1114</v>
      </c>
      <c r="I296" t="s">
        <v>1525</v>
      </c>
      <c r="J296" t="s">
        <v>1641</v>
      </c>
      <c r="K296">
        <v>10456</v>
      </c>
      <c r="L296" t="s">
        <v>1670</v>
      </c>
      <c r="M296" t="s">
        <v>1670</v>
      </c>
      <c r="N296" t="s">
        <v>1680</v>
      </c>
      <c r="O296" t="s">
        <v>1938</v>
      </c>
      <c r="P296" t="s">
        <v>1961</v>
      </c>
      <c r="R296" t="s">
        <v>50</v>
      </c>
      <c r="S296" t="s">
        <v>1670</v>
      </c>
      <c r="U296" t="s">
        <v>1972</v>
      </c>
      <c r="W296" t="s">
        <v>359</v>
      </c>
      <c r="X296">
        <v>886</v>
      </c>
      <c r="Y296" t="s">
        <v>2006</v>
      </c>
      <c r="Z296" t="s">
        <v>2015</v>
      </c>
      <c r="AB296" t="s">
        <v>13288</v>
      </c>
      <c r="AD296" t="s">
        <v>15872</v>
      </c>
      <c r="AE296">
        <v>131</v>
      </c>
      <c r="AF296" t="s">
        <v>2902</v>
      </c>
      <c r="AG296" t="s">
        <v>1754</v>
      </c>
      <c r="AH296">
        <v>28</v>
      </c>
      <c r="AI296">
        <v>2</v>
      </c>
      <c r="AJ296">
        <v>0</v>
      </c>
      <c r="AK296">
        <v>255.16</v>
      </c>
      <c r="AN296" t="s">
        <v>2926</v>
      </c>
      <c r="AO296">
        <v>42000</v>
      </c>
      <c r="AU296" t="s">
        <v>13051</v>
      </c>
      <c r="AW296" t="s">
        <v>3047</v>
      </c>
    </row>
    <row r="297" spans="1:50">
      <c r="A297" s="1" t="s">
        <v>62</v>
      </c>
      <c r="B297" t="s">
        <v>163</v>
      </c>
      <c r="C297" t="s">
        <v>3507</v>
      </c>
      <c r="D297" t="s">
        <v>6146</v>
      </c>
      <c r="F297" t="s">
        <v>6939</v>
      </c>
      <c r="G297" t="s">
        <v>8018</v>
      </c>
      <c r="H297" t="s">
        <v>9451</v>
      </c>
      <c r="I297" t="s">
        <v>11010</v>
      </c>
      <c r="J297" t="s">
        <v>1644</v>
      </c>
      <c r="K297">
        <v>11225</v>
      </c>
      <c r="L297" t="s">
        <v>1670</v>
      </c>
      <c r="M297" t="s">
        <v>1672</v>
      </c>
      <c r="O297" t="s">
        <v>1939</v>
      </c>
      <c r="P297" t="s">
        <v>1960</v>
      </c>
      <c r="R297" t="s">
        <v>50</v>
      </c>
      <c r="S297" t="s">
        <v>1670</v>
      </c>
      <c r="T297" t="s">
        <v>13026</v>
      </c>
      <c r="U297" t="s">
        <v>1972</v>
      </c>
      <c r="W297" t="s">
        <v>13036</v>
      </c>
      <c r="X297">
        <v>1336.23</v>
      </c>
      <c r="Y297" t="s">
        <v>2009</v>
      </c>
      <c r="Z297" t="s">
        <v>2015</v>
      </c>
      <c r="AB297" t="s">
        <v>13289</v>
      </c>
      <c r="AE297">
        <v>47</v>
      </c>
      <c r="AF297" t="s">
        <v>2902</v>
      </c>
      <c r="AG297" t="s">
        <v>1754</v>
      </c>
      <c r="AH297">
        <v>18</v>
      </c>
      <c r="AI297">
        <v>2</v>
      </c>
      <c r="AJ297">
        <v>0</v>
      </c>
      <c r="AK297">
        <v>255.16</v>
      </c>
      <c r="AN297" t="s">
        <v>2926</v>
      </c>
      <c r="AO297">
        <v>42000</v>
      </c>
      <c r="AU297">
        <v>1</v>
      </c>
      <c r="AV297" t="s">
        <v>6146</v>
      </c>
      <c r="AW297" t="s">
        <v>3079</v>
      </c>
      <c r="AX297" t="s">
        <v>18685</v>
      </c>
    </row>
    <row r="298" spans="1:50">
      <c r="A298" s="1" t="s">
        <v>59</v>
      </c>
      <c r="B298" t="s">
        <v>163</v>
      </c>
      <c r="C298" t="s">
        <v>3508</v>
      </c>
      <c r="D298" t="s">
        <v>284</v>
      </c>
      <c r="F298" t="s">
        <v>6938</v>
      </c>
      <c r="G298" t="s">
        <v>8017</v>
      </c>
      <c r="H298" t="s">
        <v>1114</v>
      </c>
      <c r="I298" t="s">
        <v>1525</v>
      </c>
      <c r="J298" t="s">
        <v>1641</v>
      </c>
      <c r="K298">
        <v>10456</v>
      </c>
      <c r="L298" t="s">
        <v>1670</v>
      </c>
      <c r="M298" t="s">
        <v>1670</v>
      </c>
      <c r="N298" t="s">
        <v>1681</v>
      </c>
      <c r="O298" t="s">
        <v>1939</v>
      </c>
      <c r="P298" t="s">
        <v>1960</v>
      </c>
      <c r="R298" t="s">
        <v>50</v>
      </c>
      <c r="S298" t="s">
        <v>1670</v>
      </c>
      <c r="U298" t="s">
        <v>1972</v>
      </c>
      <c r="W298" t="s">
        <v>284</v>
      </c>
      <c r="X298">
        <v>886</v>
      </c>
      <c r="Y298" t="s">
        <v>2006</v>
      </c>
      <c r="Z298" t="s">
        <v>2015</v>
      </c>
      <c r="AB298" t="s">
        <v>13288</v>
      </c>
      <c r="AD298" t="s">
        <v>15872</v>
      </c>
      <c r="AE298">
        <v>131</v>
      </c>
      <c r="AF298" t="s">
        <v>2902</v>
      </c>
      <c r="AG298" t="s">
        <v>1754</v>
      </c>
      <c r="AH298">
        <v>28</v>
      </c>
      <c r="AI298">
        <v>2</v>
      </c>
      <c r="AJ298">
        <v>0</v>
      </c>
      <c r="AK298">
        <v>255.16</v>
      </c>
      <c r="AN298" t="s">
        <v>2926</v>
      </c>
      <c r="AO298">
        <v>42000</v>
      </c>
      <c r="AU298">
        <v>0.5</v>
      </c>
      <c r="AV298" t="s">
        <v>406</v>
      </c>
      <c r="AW298" t="s">
        <v>3047</v>
      </c>
      <c r="AX298" t="s">
        <v>18685</v>
      </c>
    </row>
    <row r="299" spans="1:50">
      <c r="A299" s="1" t="s">
        <v>127</v>
      </c>
      <c r="B299" t="s">
        <v>164</v>
      </c>
      <c r="C299" t="s">
        <v>3509</v>
      </c>
      <c r="D299" t="s">
        <v>6139</v>
      </c>
      <c r="E299" t="s">
        <v>231</v>
      </c>
      <c r="F299" t="s">
        <v>6940</v>
      </c>
      <c r="G299" t="s">
        <v>8019</v>
      </c>
      <c r="H299" t="s">
        <v>1359</v>
      </c>
      <c r="I299" t="s">
        <v>10974</v>
      </c>
      <c r="J299" t="s">
        <v>1644</v>
      </c>
      <c r="K299">
        <v>11207</v>
      </c>
      <c r="L299" t="s">
        <v>1670</v>
      </c>
      <c r="M299" t="s">
        <v>1670</v>
      </c>
      <c r="N299" t="s">
        <v>11913</v>
      </c>
      <c r="O299" t="s">
        <v>1936</v>
      </c>
      <c r="P299" t="s">
        <v>1960</v>
      </c>
      <c r="Q299" t="s">
        <v>1965</v>
      </c>
      <c r="R299" t="s">
        <v>50</v>
      </c>
      <c r="S299" t="s">
        <v>1671</v>
      </c>
      <c r="U299" t="s">
        <v>1972</v>
      </c>
      <c r="W299" t="s">
        <v>175</v>
      </c>
      <c r="X299">
        <v>1365</v>
      </c>
      <c r="Y299" t="s">
        <v>2009</v>
      </c>
      <c r="Z299" t="s">
        <v>2027</v>
      </c>
      <c r="AA299" t="s">
        <v>2033</v>
      </c>
      <c r="AB299" t="s">
        <v>13290</v>
      </c>
      <c r="AD299" t="s">
        <v>15873</v>
      </c>
      <c r="AE299">
        <v>23</v>
      </c>
      <c r="AF299" t="s">
        <v>2902</v>
      </c>
      <c r="AG299" t="s">
        <v>1754</v>
      </c>
      <c r="AH299">
        <v>2</v>
      </c>
      <c r="AI299">
        <v>1</v>
      </c>
      <c r="AJ299">
        <v>0</v>
      </c>
      <c r="AK299">
        <v>255.35</v>
      </c>
      <c r="AL299" t="s">
        <v>340</v>
      </c>
      <c r="AM299" t="s">
        <v>18031</v>
      </c>
      <c r="AN299" t="s">
        <v>2926</v>
      </c>
      <c r="AO299">
        <v>31000</v>
      </c>
      <c r="AR299" t="s">
        <v>2017</v>
      </c>
      <c r="AS299" t="s">
        <v>2992</v>
      </c>
      <c r="AT299" t="s">
        <v>18506</v>
      </c>
      <c r="AU299">
        <v>17.8</v>
      </c>
      <c r="AV299" t="s">
        <v>371</v>
      </c>
      <c r="AW299" t="s">
        <v>3060</v>
      </c>
    </row>
    <row r="300" spans="1:50">
      <c r="A300" s="1" t="s">
        <v>127</v>
      </c>
      <c r="B300" t="s">
        <v>163</v>
      </c>
      <c r="C300" t="s">
        <v>3510</v>
      </c>
      <c r="D300" t="s">
        <v>225</v>
      </c>
      <c r="F300" t="s">
        <v>6930</v>
      </c>
      <c r="G300" t="s">
        <v>912</v>
      </c>
      <c r="H300" t="s">
        <v>9517</v>
      </c>
      <c r="I300" t="s">
        <v>1506</v>
      </c>
      <c r="J300" t="s">
        <v>1644</v>
      </c>
      <c r="K300">
        <v>11212</v>
      </c>
      <c r="L300" t="s">
        <v>1670</v>
      </c>
      <c r="M300" t="s">
        <v>1670</v>
      </c>
      <c r="O300" t="s">
        <v>1675</v>
      </c>
      <c r="P300" t="s">
        <v>1963</v>
      </c>
      <c r="R300" t="s">
        <v>50</v>
      </c>
      <c r="S300" t="s">
        <v>1670</v>
      </c>
      <c r="U300" t="s">
        <v>1972</v>
      </c>
      <c r="W300" t="s">
        <v>225</v>
      </c>
      <c r="X300">
        <v>839.77</v>
      </c>
      <c r="Y300" t="s">
        <v>2009</v>
      </c>
      <c r="Z300" t="s">
        <v>2016</v>
      </c>
      <c r="AB300" t="s">
        <v>13275</v>
      </c>
      <c r="AD300" t="s">
        <v>15862</v>
      </c>
      <c r="AE300">
        <v>8</v>
      </c>
      <c r="AF300" t="s">
        <v>2902</v>
      </c>
      <c r="AG300" t="s">
        <v>1754</v>
      </c>
      <c r="AH300">
        <v>24</v>
      </c>
      <c r="AI300">
        <v>1</v>
      </c>
      <c r="AJ300">
        <v>0</v>
      </c>
      <c r="AK300">
        <v>255.63</v>
      </c>
      <c r="AN300" t="s">
        <v>2926</v>
      </c>
      <c r="AO300">
        <v>31033.6</v>
      </c>
      <c r="AU300">
        <v>22.55</v>
      </c>
      <c r="AV300" t="s">
        <v>189</v>
      </c>
      <c r="AW300" t="s">
        <v>55</v>
      </c>
    </row>
    <row r="301" spans="1:50">
      <c r="A301" s="1" t="s">
        <v>57</v>
      </c>
      <c r="B301" t="s">
        <v>163</v>
      </c>
      <c r="C301" t="s">
        <v>3511</v>
      </c>
      <c r="D301" t="s">
        <v>170</v>
      </c>
      <c r="F301" t="s">
        <v>6911</v>
      </c>
      <c r="G301" t="s">
        <v>8020</v>
      </c>
      <c r="H301" t="s">
        <v>1112</v>
      </c>
      <c r="I301" t="s">
        <v>1617</v>
      </c>
      <c r="J301" t="s">
        <v>1641</v>
      </c>
      <c r="K301">
        <v>10453</v>
      </c>
      <c r="L301" t="s">
        <v>1670</v>
      </c>
      <c r="M301" t="s">
        <v>1670</v>
      </c>
      <c r="O301" t="s">
        <v>1938</v>
      </c>
      <c r="P301" t="s">
        <v>1961</v>
      </c>
      <c r="R301" t="s">
        <v>50</v>
      </c>
      <c r="S301" t="s">
        <v>1670</v>
      </c>
      <c r="U301" t="s">
        <v>1972</v>
      </c>
      <c r="W301" t="s">
        <v>283</v>
      </c>
      <c r="X301">
        <v>692.1</v>
      </c>
      <c r="Y301" t="s">
        <v>2006</v>
      </c>
      <c r="Z301" t="s">
        <v>2015</v>
      </c>
      <c r="AB301" t="s">
        <v>2408</v>
      </c>
      <c r="AD301" t="s">
        <v>15874</v>
      </c>
      <c r="AE301">
        <v>167</v>
      </c>
      <c r="AF301" t="s">
        <v>2902</v>
      </c>
      <c r="AG301" t="s">
        <v>2919</v>
      </c>
      <c r="AH301">
        <v>30</v>
      </c>
      <c r="AI301">
        <v>1</v>
      </c>
      <c r="AJ301">
        <v>0</v>
      </c>
      <c r="AK301">
        <v>255.8</v>
      </c>
      <c r="AN301" t="s">
        <v>2926</v>
      </c>
      <c r="AO301">
        <v>31950</v>
      </c>
      <c r="AU301" t="s">
        <v>13051</v>
      </c>
      <c r="AW301" t="s">
        <v>3046</v>
      </c>
    </row>
    <row r="302" spans="1:50">
      <c r="A302" s="1" t="s">
        <v>57</v>
      </c>
      <c r="B302" t="s">
        <v>163</v>
      </c>
      <c r="C302" t="s">
        <v>3512</v>
      </c>
      <c r="D302" t="s">
        <v>170</v>
      </c>
      <c r="F302" t="s">
        <v>6911</v>
      </c>
      <c r="G302" t="s">
        <v>8020</v>
      </c>
      <c r="H302" t="s">
        <v>1112</v>
      </c>
      <c r="I302" t="s">
        <v>1617</v>
      </c>
      <c r="J302" t="s">
        <v>1641</v>
      </c>
      <c r="K302">
        <v>10453</v>
      </c>
      <c r="L302" t="s">
        <v>1670</v>
      </c>
      <c r="M302" t="s">
        <v>1670</v>
      </c>
      <c r="N302" t="s">
        <v>1677</v>
      </c>
      <c r="O302" t="s">
        <v>1939</v>
      </c>
      <c r="P302" t="s">
        <v>1960</v>
      </c>
      <c r="R302" t="s">
        <v>50</v>
      </c>
      <c r="S302" t="s">
        <v>1670</v>
      </c>
      <c r="U302" t="s">
        <v>1972</v>
      </c>
      <c r="W302" t="s">
        <v>283</v>
      </c>
      <c r="X302">
        <v>692.1</v>
      </c>
      <c r="Y302" t="s">
        <v>2006</v>
      </c>
      <c r="Z302" t="s">
        <v>2015</v>
      </c>
      <c r="AB302" t="s">
        <v>2408</v>
      </c>
      <c r="AD302" t="s">
        <v>15874</v>
      </c>
      <c r="AE302">
        <v>167</v>
      </c>
      <c r="AF302" t="s">
        <v>2902</v>
      </c>
      <c r="AG302" t="s">
        <v>2919</v>
      </c>
      <c r="AH302">
        <v>30</v>
      </c>
      <c r="AI302">
        <v>1</v>
      </c>
      <c r="AJ302">
        <v>0</v>
      </c>
      <c r="AK302">
        <v>255.84</v>
      </c>
      <c r="AN302" t="s">
        <v>2926</v>
      </c>
      <c r="AO302">
        <v>31954</v>
      </c>
      <c r="AU302" t="s">
        <v>13051</v>
      </c>
      <c r="AW302" t="s">
        <v>3046</v>
      </c>
    </row>
    <row r="303" spans="1:50">
      <c r="A303" s="1" t="s">
        <v>82</v>
      </c>
      <c r="B303" t="s">
        <v>163</v>
      </c>
      <c r="C303" t="s">
        <v>3513</v>
      </c>
      <c r="D303" t="s">
        <v>219</v>
      </c>
      <c r="F303" t="s">
        <v>6941</v>
      </c>
      <c r="G303" t="s">
        <v>8021</v>
      </c>
      <c r="H303" t="s">
        <v>1144</v>
      </c>
      <c r="I303" t="s">
        <v>11011</v>
      </c>
      <c r="J303" t="s">
        <v>1644</v>
      </c>
      <c r="K303">
        <v>11233</v>
      </c>
      <c r="L303" t="s">
        <v>1670</v>
      </c>
      <c r="M303" t="s">
        <v>1671</v>
      </c>
      <c r="O303" t="s">
        <v>1937</v>
      </c>
      <c r="P303" t="s">
        <v>1962</v>
      </c>
      <c r="R303" t="s">
        <v>50</v>
      </c>
      <c r="S303" t="s">
        <v>1670</v>
      </c>
      <c r="U303" t="s">
        <v>1972</v>
      </c>
      <c r="V303" t="s">
        <v>1984</v>
      </c>
      <c r="W303" t="s">
        <v>221</v>
      </c>
      <c r="X303">
        <v>865</v>
      </c>
      <c r="Y303" t="s">
        <v>2009</v>
      </c>
      <c r="Z303" t="s">
        <v>2025</v>
      </c>
      <c r="AB303" t="s">
        <v>13291</v>
      </c>
      <c r="AE303">
        <v>359</v>
      </c>
      <c r="AF303" t="s">
        <v>2902</v>
      </c>
      <c r="AH303">
        <v>26</v>
      </c>
      <c r="AI303">
        <v>1</v>
      </c>
      <c r="AJ303">
        <v>0</v>
      </c>
      <c r="AK303">
        <v>256.2</v>
      </c>
      <c r="AN303" t="s">
        <v>2926</v>
      </c>
      <c r="AO303">
        <v>32000</v>
      </c>
      <c r="AP303" t="s">
        <v>18105</v>
      </c>
      <c r="AU303" t="s">
        <v>13051</v>
      </c>
      <c r="AW303" t="s">
        <v>3060</v>
      </c>
    </row>
    <row r="304" spans="1:50">
      <c r="A304" s="1" t="s">
        <v>82</v>
      </c>
      <c r="B304" t="s">
        <v>163</v>
      </c>
      <c r="C304" t="s">
        <v>3514</v>
      </c>
      <c r="D304" t="s">
        <v>219</v>
      </c>
      <c r="F304" t="s">
        <v>6941</v>
      </c>
      <c r="G304" t="s">
        <v>8021</v>
      </c>
      <c r="H304" t="s">
        <v>1144</v>
      </c>
      <c r="I304" t="s">
        <v>11011</v>
      </c>
      <c r="J304" t="s">
        <v>1644</v>
      </c>
      <c r="K304">
        <v>11233</v>
      </c>
      <c r="L304" t="s">
        <v>1670</v>
      </c>
      <c r="M304" t="s">
        <v>1671</v>
      </c>
      <c r="O304" t="s">
        <v>1938</v>
      </c>
      <c r="P304" t="s">
        <v>1961</v>
      </c>
      <c r="R304" t="s">
        <v>50</v>
      </c>
      <c r="S304" t="s">
        <v>1670</v>
      </c>
      <c r="U304" t="s">
        <v>1972</v>
      </c>
      <c r="V304" t="s">
        <v>1984</v>
      </c>
      <c r="W304" t="s">
        <v>248</v>
      </c>
      <c r="X304">
        <v>865</v>
      </c>
      <c r="Y304" t="s">
        <v>2009</v>
      </c>
      <c r="Z304" t="s">
        <v>2025</v>
      </c>
      <c r="AB304" t="s">
        <v>13291</v>
      </c>
      <c r="AE304">
        <v>359</v>
      </c>
      <c r="AF304" t="s">
        <v>2902</v>
      </c>
      <c r="AH304">
        <v>26</v>
      </c>
      <c r="AI304">
        <v>1</v>
      </c>
      <c r="AJ304">
        <v>0</v>
      </c>
      <c r="AK304">
        <v>256.2</v>
      </c>
      <c r="AN304" t="s">
        <v>2926</v>
      </c>
      <c r="AO304">
        <v>32000</v>
      </c>
      <c r="AP304" t="s">
        <v>18094</v>
      </c>
      <c r="AU304" t="s">
        <v>13051</v>
      </c>
      <c r="AW304" t="s">
        <v>3060</v>
      </c>
    </row>
    <row r="305" spans="1:50">
      <c r="A305" s="1" t="s">
        <v>135</v>
      </c>
      <c r="B305" t="s">
        <v>164</v>
      </c>
      <c r="C305" t="s">
        <v>3515</v>
      </c>
      <c r="D305" t="s">
        <v>362</v>
      </c>
      <c r="E305" t="s">
        <v>359</v>
      </c>
      <c r="F305" t="s">
        <v>6942</v>
      </c>
      <c r="G305" t="s">
        <v>8022</v>
      </c>
      <c r="H305" t="s">
        <v>1375</v>
      </c>
      <c r="I305" t="s">
        <v>1488</v>
      </c>
      <c r="J305" t="s">
        <v>1644</v>
      </c>
      <c r="K305">
        <v>11212</v>
      </c>
      <c r="L305" t="s">
        <v>1670</v>
      </c>
      <c r="M305" t="s">
        <v>1670</v>
      </c>
      <c r="N305" t="s">
        <v>1693</v>
      </c>
      <c r="O305" t="s">
        <v>1942</v>
      </c>
      <c r="P305" t="s">
        <v>1959</v>
      </c>
      <c r="Q305" t="s">
        <v>1966</v>
      </c>
      <c r="R305" t="s">
        <v>50</v>
      </c>
      <c r="S305" t="s">
        <v>1670</v>
      </c>
      <c r="U305" t="s">
        <v>1973</v>
      </c>
      <c r="V305" t="s">
        <v>1984</v>
      </c>
      <c r="W305" t="s">
        <v>362</v>
      </c>
      <c r="X305">
        <v>2152</v>
      </c>
      <c r="Y305" t="s">
        <v>2009</v>
      </c>
      <c r="Z305" t="s">
        <v>2020</v>
      </c>
      <c r="AA305" t="s">
        <v>2041</v>
      </c>
      <c r="AB305" t="s">
        <v>13292</v>
      </c>
      <c r="AD305" t="s">
        <v>15875</v>
      </c>
      <c r="AE305">
        <v>35</v>
      </c>
      <c r="AF305" t="s">
        <v>2909</v>
      </c>
      <c r="AG305" t="s">
        <v>2915</v>
      </c>
      <c r="AH305">
        <v>16</v>
      </c>
      <c r="AI305">
        <v>2</v>
      </c>
      <c r="AJ305">
        <v>0</v>
      </c>
      <c r="AK305">
        <v>256.38</v>
      </c>
      <c r="AN305" t="s">
        <v>2926</v>
      </c>
      <c r="AO305">
        <v>42200</v>
      </c>
      <c r="AP305" t="s">
        <v>2963</v>
      </c>
      <c r="AU305">
        <v>23.8</v>
      </c>
      <c r="AV305" t="s">
        <v>283</v>
      </c>
      <c r="AW305" t="s">
        <v>135</v>
      </c>
    </row>
    <row r="306" spans="1:50">
      <c r="A306" s="1" t="s">
        <v>130</v>
      </c>
      <c r="B306" t="s">
        <v>164</v>
      </c>
      <c r="C306" t="s">
        <v>3516</v>
      </c>
      <c r="D306" t="s">
        <v>288</v>
      </c>
      <c r="E306" t="s">
        <v>256</v>
      </c>
      <c r="F306" t="s">
        <v>6943</v>
      </c>
      <c r="G306" t="s">
        <v>530</v>
      </c>
      <c r="H306" t="s">
        <v>9401</v>
      </c>
      <c r="I306">
        <v>25</v>
      </c>
      <c r="J306" t="s">
        <v>1644</v>
      </c>
      <c r="K306">
        <v>11213</v>
      </c>
      <c r="L306" t="s">
        <v>1670</v>
      </c>
      <c r="M306" t="s">
        <v>1670</v>
      </c>
      <c r="O306" t="s">
        <v>1939</v>
      </c>
      <c r="P306" t="s">
        <v>1958</v>
      </c>
      <c r="Q306" t="s">
        <v>1965</v>
      </c>
      <c r="R306" t="s">
        <v>50</v>
      </c>
      <c r="S306" t="s">
        <v>1670</v>
      </c>
      <c r="U306" t="s">
        <v>1972</v>
      </c>
      <c r="V306" t="s">
        <v>1984</v>
      </c>
      <c r="W306" t="s">
        <v>309</v>
      </c>
      <c r="X306">
        <v>1103.14</v>
      </c>
      <c r="Y306" t="s">
        <v>2009</v>
      </c>
      <c r="Z306" t="s">
        <v>2016</v>
      </c>
      <c r="AA306" t="s">
        <v>2029</v>
      </c>
      <c r="AB306" t="s">
        <v>13293</v>
      </c>
      <c r="AE306">
        <v>34</v>
      </c>
      <c r="AF306" t="s">
        <v>2902</v>
      </c>
      <c r="AH306">
        <v>25</v>
      </c>
      <c r="AI306">
        <v>1</v>
      </c>
      <c r="AJ306">
        <v>0</v>
      </c>
      <c r="AK306">
        <v>257</v>
      </c>
      <c r="AL306" t="s">
        <v>271</v>
      </c>
      <c r="AM306" t="s">
        <v>18031</v>
      </c>
      <c r="AN306" t="s">
        <v>2926</v>
      </c>
      <c r="AO306">
        <v>31200</v>
      </c>
      <c r="AU306">
        <v>0.8</v>
      </c>
      <c r="AV306" t="s">
        <v>256</v>
      </c>
      <c r="AW306" t="s">
        <v>3059</v>
      </c>
    </row>
    <row r="307" spans="1:50">
      <c r="A307" s="1" t="s">
        <v>57</v>
      </c>
      <c r="B307" t="s">
        <v>164</v>
      </c>
      <c r="C307" t="s">
        <v>3517</v>
      </c>
      <c r="D307" t="s">
        <v>245</v>
      </c>
      <c r="E307" t="s">
        <v>1994</v>
      </c>
      <c r="F307" t="s">
        <v>6944</v>
      </c>
      <c r="G307" t="s">
        <v>868</v>
      </c>
      <c r="H307" t="s">
        <v>9523</v>
      </c>
      <c r="I307">
        <v>2</v>
      </c>
      <c r="J307" t="s">
        <v>1641</v>
      </c>
      <c r="K307">
        <v>10453</v>
      </c>
      <c r="L307" t="s">
        <v>1670</v>
      </c>
      <c r="M307" t="s">
        <v>1670</v>
      </c>
      <c r="P307" t="s">
        <v>1962</v>
      </c>
      <c r="Q307" t="s">
        <v>1968</v>
      </c>
      <c r="R307" t="s">
        <v>50</v>
      </c>
      <c r="S307" t="s">
        <v>1670</v>
      </c>
      <c r="U307" t="s">
        <v>1972</v>
      </c>
      <c r="W307" t="s">
        <v>1991</v>
      </c>
      <c r="X307">
        <v>700</v>
      </c>
      <c r="Y307" t="s">
        <v>2006</v>
      </c>
      <c r="Z307" t="s">
        <v>2015</v>
      </c>
      <c r="AA307" t="s">
        <v>2029</v>
      </c>
      <c r="AB307" t="s">
        <v>13294</v>
      </c>
      <c r="AD307" t="s">
        <v>15876</v>
      </c>
      <c r="AE307" t="s">
        <v>13051</v>
      </c>
      <c r="AF307" t="s">
        <v>2902</v>
      </c>
      <c r="AG307" t="s">
        <v>1754</v>
      </c>
      <c r="AH307">
        <v>3</v>
      </c>
      <c r="AI307">
        <v>1</v>
      </c>
      <c r="AJ307">
        <v>0</v>
      </c>
      <c r="AK307">
        <v>257</v>
      </c>
      <c r="AN307" t="s">
        <v>2926</v>
      </c>
      <c r="AO307">
        <v>31200</v>
      </c>
      <c r="AU307">
        <v>1</v>
      </c>
      <c r="AV307" t="s">
        <v>206</v>
      </c>
      <c r="AW307" t="s">
        <v>3046</v>
      </c>
      <c r="AX307" t="s">
        <v>18685</v>
      </c>
    </row>
    <row r="308" spans="1:50">
      <c r="A308" s="1" t="s">
        <v>74</v>
      </c>
      <c r="B308" t="s">
        <v>163</v>
      </c>
      <c r="C308" t="s">
        <v>3518</v>
      </c>
      <c r="D308" t="s">
        <v>281</v>
      </c>
      <c r="F308" t="s">
        <v>6935</v>
      </c>
      <c r="G308" t="s">
        <v>8010</v>
      </c>
      <c r="H308" t="s">
        <v>1131</v>
      </c>
      <c r="I308" t="s">
        <v>11005</v>
      </c>
      <c r="J308" t="s">
        <v>1641</v>
      </c>
      <c r="K308">
        <v>10460</v>
      </c>
      <c r="L308" t="s">
        <v>1670</v>
      </c>
      <c r="M308" t="s">
        <v>1670</v>
      </c>
      <c r="N308" t="s">
        <v>1692</v>
      </c>
      <c r="O308" t="s">
        <v>1939</v>
      </c>
      <c r="P308" t="s">
        <v>1960</v>
      </c>
      <c r="R308" t="s">
        <v>50</v>
      </c>
      <c r="S308" t="s">
        <v>1670</v>
      </c>
      <c r="U308" t="s">
        <v>1972</v>
      </c>
      <c r="W308" t="s">
        <v>281</v>
      </c>
      <c r="X308">
        <v>955</v>
      </c>
      <c r="Y308" t="s">
        <v>2006</v>
      </c>
      <c r="Z308" t="s">
        <v>2015</v>
      </c>
      <c r="AB308" t="s">
        <v>13280</v>
      </c>
      <c r="AD308" t="s">
        <v>15866</v>
      </c>
      <c r="AE308">
        <v>169</v>
      </c>
      <c r="AF308" t="s">
        <v>2902</v>
      </c>
      <c r="AG308" t="s">
        <v>2915</v>
      </c>
      <c r="AH308">
        <v>34</v>
      </c>
      <c r="AI308">
        <v>1</v>
      </c>
      <c r="AJ308">
        <v>0</v>
      </c>
      <c r="AK308">
        <v>257</v>
      </c>
      <c r="AN308" t="s">
        <v>2926</v>
      </c>
      <c r="AO308">
        <v>31200</v>
      </c>
      <c r="AU308" t="s">
        <v>13051</v>
      </c>
      <c r="AW308" t="s">
        <v>76</v>
      </c>
    </row>
    <row r="309" spans="1:50">
      <c r="A309" s="1" t="s">
        <v>123</v>
      </c>
      <c r="B309" t="s">
        <v>163</v>
      </c>
      <c r="C309" t="s">
        <v>3519</v>
      </c>
      <c r="D309" t="s">
        <v>288</v>
      </c>
      <c r="F309" t="s">
        <v>510</v>
      </c>
      <c r="G309" t="s">
        <v>941</v>
      </c>
      <c r="H309" t="s">
        <v>9524</v>
      </c>
      <c r="J309" t="s">
        <v>1641</v>
      </c>
      <c r="K309">
        <v>10466</v>
      </c>
      <c r="L309" t="s">
        <v>1670</v>
      </c>
      <c r="M309" t="s">
        <v>1670</v>
      </c>
      <c r="O309" t="s">
        <v>1956</v>
      </c>
      <c r="P309" t="s">
        <v>1961</v>
      </c>
      <c r="R309" t="s">
        <v>50</v>
      </c>
      <c r="S309" t="s">
        <v>1671</v>
      </c>
      <c r="U309" t="s">
        <v>1973</v>
      </c>
      <c r="W309" t="s">
        <v>288</v>
      </c>
      <c r="X309">
        <v>1172</v>
      </c>
      <c r="Y309" t="s">
        <v>2006</v>
      </c>
      <c r="Z309" t="s">
        <v>2019</v>
      </c>
      <c r="AD309" t="s">
        <v>15877</v>
      </c>
      <c r="AE309" t="s">
        <v>13051</v>
      </c>
      <c r="AF309" t="s">
        <v>2903</v>
      </c>
      <c r="AG309" t="s">
        <v>2915</v>
      </c>
      <c r="AH309" t="s">
        <v>13051</v>
      </c>
      <c r="AI309">
        <v>1</v>
      </c>
      <c r="AJ309">
        <v>0</v>
      </c>
      <c r="AK309">
        <v>257.03</v>
      </c>
      <c r="AL309" t="s">
        <v>190</v>
      </c>
      <c r="AM309" t="s">
        <v>18031</v>
      </c>
      <c r="AN309" t="s">
        <v>2926</v>
      </c>
      <c r="AO309">
        <v>31204</v>
      </c>
      <c r="AU309">
        <v>73.65000000000001</v>
      </c>
      <c r="AV309" t="s">
        <v>333</v>
      </c>
      <c r="AW309" t="s">
        <v>123</v>
      </c>
    </row>
    <row r="310" spans="1:50">
      <c r="A310" s="1" t="s">
        <v>62</v>
      </c>
      <c r="B310" t="s">
        <v>163</v>
      </c>
      <c r="C310" t="s">
        <v>3520</v>
      </c>
      <c r="D310" t="s">
        <v>6147</v>
      </c>
      <c r="F310" t="s">
        <v>6945</v>
      </c>
      <c r="G310" t="s">
        <v>8023</v>
      </c>
      <c r="H310" t="s">
        <v>9525</v>
      </c>
      <c r="I310" t="s">
        <v>1510</v>
      </c>
      <c r="J310" t="s">
        <v>1644</v>
      </c>
      <c r="K310">
        <v>11238</v>
      </c>
      <c r="L310" t="s">
        <v>1670</v>
      </c>
      <c r="M310" t="s">
        <v>1670</v>
      </c>
      <c r="N310" t="s">
        <v>11914</v>
      </c>
      <c r="O310" t="s">
        <v>1936</v>
      </c>
      <c r="P310" t="s">
        <v>1960</v>
      </c>
      <c r="R310" t="s">
        <v>50</v>
      </c>
      <c r="S310" t="s">
        <v>1671</v>
      </c>
      <c r="T310" t="s">
        <v>13028</v>
      </c>
      <c r="U310" t="s">
        <v>1972</v>
      </c>
      <c r="W310" t="s">
        <v>13036</v>
      </c>
      <c r="X310">
        <v>783</v>
      </c>
      <c r="Y310" t="s">
        <v>2009</v>
      </c>
      <c r="Z310" t="s">
        <v>13054</v>
      </c>
      <c r="AA310" t="s">
        <v>2032</v>
      </c>
      <c r="AB310" t="s">
        <v>13295</v>
      </c>
      <c r="AC310" t="s">
        <v>1671</v>
      </c>
      <c r="AE310">
        <v>19</v>
      </c>
      <c r="AF310" t="s">
        <v>2902</v>
      </c>
      <c r="AG310" t="s">
        <v>1754</v>
      </c>
      <c r="AH310">
        <v>27</v>
      </c>
      <c r="AI310">
        <v>1</v>
      </c>
      <c r="AJ310">
        <v>0</v>
      </c>
      <c r="AK310">
        <v>257.05</v>
      </c>
      <c r="AN310" t="s">
        <v>2926</v>
      </c>
      <c r="AO310">
        <v>31000</v>
      </c>
      <c r="AU310">
        <v>85.5</v>
      </c>
      <c r="AV310" t="s">
        <v>399</v>
      </c>
      <c r="AW310" t="s">
        <v>18659</v>
      </c>
      <c r="AX310" t="s">
        <v>18685</v>
      </c>
    </row>
    <row r="311" spans="1:50">
      <c r="A311" s="1" t="s">
        <v>130</v>
      </c>
      <c r="B311" t="s">
        <v>164</v>
      </c>
      <c r="C311" t="s">
        <v>3521</v>
      </c>
      <c r="D311" t="s">
        <v>168</v>
      </c>
      <c r="E311" t="s">
        <v>257</v>
      </c>
      <c r="F311" t="s">
        <v>448</v>
      </c>
      <c r="G311" t="s">
        <v>7181</v>
      </c>
      <c r="H311" t="s">
        <v>9526</v>
      </c>
      <c r="I311" t="s">
        <v>1508</v>
      </c>
      <c r="J311" t="s">
        <v>1644</v>
      </c>
      <c r="K311">
        <v>11212</v>
      </c>
      <c r="L311" t="s">
        <v>1670</v>
      </c>
      <c r="M311" t="s">
        <v>1670</v>
      </c>
      <c r="N311" t="s">
        <v>1675</v>
      </c>
      <c r="O311" t="s">
        <v>1937</v>
      </c>
      <c r="P311" t="s">
        <v>1962</v>
      </c>
      <c r="Q311" t="s">
        <v>1968</v>
      </c>
      <c r="R311" t="s">
        <v>50</v>
      </c>
      <c r="S311" t="s">
        <v>1670</v>
      </c>
      <c r="U311" t="s">
        <v>1972</v>
      </c>
      <c r="V311" t="s">
        <v>1984</v>
      </c>
      <c r="W311" t="s">
        <v>1998</v>
      </c>
      <c r="X311">
        <v>916</v>
      </c>
      <c r="Y311" t="s">
        <v>2009</v>
      </c>
      <c r="Z311" t="s">
        <v>2015</v>
      </c>
      <c r="AA311" t="s">
        <v>2030</v>
      </c>
      <c r="AB311" t="s">
        <v>13296</v>
      </c>
      <c r="AC311" t="s">
        <v>1754</v>
      </c>
      <c r="AD311" t="s">
        <v>15878</v>
      </c>
      <c r="AE311">
        <v>12</v>
      </c>
      <c r="AF311" t="s">
        <v>2909</v>
      </c>
      <c r="AG311" t="s">
        <v>2915</v>
      </c>
      <c r="AH311">
        <v>19</v>
      </c>
      <c r="AI311">
        <v>2</v>
      </c>
      <c r="AJ311">
        <v>0</v>
      </c>
      <c r="AK311">
        <v>258.2</v>
      </c>
      <c r="AL311" t="s">
        <v>192</v>
      </c>
      <c r="AM311" t="s">
        <v>18031</v>
      </c>
      <c r="AN311" t="s">
        <v>2926</v>
      </c>
      <c r="AO311">
        <v>42500</v>
      </c>
      <c r="AU311">
        <v>17.7</v>
      </c>
      <c r="AV311" t="s">
        <v>257</v>
      </c>
      <c r="AW311" t="s">
        <v>3066</v>
      </c>
    </row>
    <row r="312" spans="1:50">
      <c r="A312" s="1" t="s">
        <v>61</v>
      </c>
      <c r="B312" t="s">
        <v>163</v>
      </c>
      <c r="C312" t="s">
        <v>3522</v>
      </c>
      <c r="D312" t="s">
        <v>196</v>
      </c>
      <c r="F312" t="s">
        <v>6946</v>
      </c>
      <c r="G312" t="s">
        <v>8024</v>
      </c>
      <c r="H312" t="s">
        <v>9383</v>
      </c>
      <c r="I312" t="s">
        <v>11012</v>
      </c>
      <c r="J312" t="s">
        <v>1644</v>
      </c>
      <c r="K312">
        <v>11226</v>
      </c>
      <c r="L312" t="s">
        <v>1670</v>
      </c>
      <c r="M312" t="s">
        <v>1670</v>
      </c>
      <c r="O312" t="s">
        <v>1937</v>
      </c>
      <c r="P312" t="s">
        <v>1962</v>
      </c>
      <c r="R312" t="s">
        <v>50</v>
      </c>
      <c r="S312" t="s">
        <v>1671</v>
      </c>
      <c r="U312" t="s">
        <v>1972</v>
      </c>
      <c r="W312" t="s">
        <v>383</v>
      </c>
      <c r="X312">
        <v>1822.5</v>
      </c>
      <c r="Y312" t="s">
        <v>2009</v>
      </c>
      <c r="Z312" t="s">
        <v>2015</v>
      </c>
      <c r="AB312" t="s">
        <v>13297</v>
      </c>
      <c r="AD312" t="s">
        <v>15879</v>
      </c>
      <c r="AE312">
        <v>120</v>
      </c>
      <c r="AF312" t="s">
        <v>2902</v>
      </c>
      <c r="AH312">
        <v>4</v>
      </c>
      <c r="AI312">
        <v>2</v>
      </c>
      <c r="AJ312">
        <v>0</v>
      </c>
      <c r="AK312">
        <v>258.81</v>
      </c>
      <c r="AN312" t="s">
        <v>2926</v>
      </c>
      <c r="AO312">
        <v>42600</v>
      </c>
      <c r="AU312">
        <v>9.5</v>
      </c>
      <c r="AV312" t="s">
        <v>203</v>
      </c>
      <c r="AW312" t="s">
        <v>69</v>
      </c>
      <c r="AX312" t="s">
        <v>18685</v>
      </c>
    </row>
    <row r="313" spans="1:50">
      <c r="A313" s="1" t="s">
        <v>74</v>
      </c>
      <c r="B313" t="s">
        <v>163</v>
      </c>
      <c r="C313" t="s">
        <v>3523</v>
      </c>
      <c r="D313" t="s">
        <v>281</v>
      </c>
      <c r="F313" t="s">
        <v>6865</v>
      </c>
      <c r="G313" t="s">
        <v>8013</v>
      </c>
      <c r="H313" t="s">
        <v>1131</v>
      </c>
      <c r="I313" t="s">
        <v>11006</v>
      </c>
      <c r="J313" t="s">
        <v>1641</v>
      </c>
      <c r="K313">
        <v>10460</v>
      </c>
      <c r="L313" t="s">
        <v>1670</v>
      </c>
      <c r="M313" t="s">
        <v>1670</v>
      </c>
      <c r="N313" t="s">
        <v>1692</v>
      </c>
      <c r="O313" t="s">
        <v>1939</v>
      </c>
      <c r="P313" t="s">
        <v>1960</v>
      </c>
      <c r="R313" t="s">
        <v>50</v>
      </c>
      <c r="S313" t="s">
        <v>1670</v>
      </c>
      <c r="U313" t="s">
        <v>1972</v>
      </c>
      <c r="W313" t="s">
        <v>283</v>
      </c>
      <c r="X313">
        <v>895</v>
      </c>
      <c r="Y313" t="s">
        <v>2006</v>
      </c>
      <c r="Z313" t="s">
        <v>2015</v>
      </c>
      <c r="AB313" t="s">
        <v>13283</v>
      </c>
      <c r="AE313">
        <v>168</v>
      </c>
      <c r="AF313" t="s">
        <v>2909</v>
      </c>
      <c r="AG313" t="s">
        <v>2915</v>
      </c>
      <c r="AH313">
        <v>5</v>
      </c>
      <c r="AI313">
        <v>1</v>
      </c>
      <c r="AJ313">
        <v>0</v>
      </c>
      <c r="AK313">
        <v>259.47</v>
      </c>
      <c r="AN313" t="s">
        <v>2926</v>
      </c>
      <c r="AO313">
        <v>31500</v>
      </c>
      <c r="AU313" t="s">
        <v>13051</v>
      </c>
      <c r="AW313" t="s">
        <v>76</v>
      </c>
    </row>
    <row r="314" spans="1:50">
      <c r="A314" s="1" t="s">
        <v>107</v>
      </c>
      <c r="B314" t="s">
        <v>163</v>
      </c>
      <c r="C314" t="s">
        <v>3524</v>
      </c>
      <c r="D314" t="s">
        <v>291</v>
      </c>
      <c r="F314" t="s">
        <v>6882</v>
      </c>
      <c r="G314" t="s">
        <v>1000</v>
      </c>
      <c r="H314" t="s">
        <v>9527</v>
      </c>
      <c r="I314" t="s">
        <v>1489</v>
      </c>
      <c r="J314" t="s">
        <v>1644</v>
      </c>
      <c r="K314">
        <v>11212</v>
      </c>
      <c r="L314" t="s">
        <v>1670</v>
      </c>
      <c r="M314" t="s">
        <v>1672</v>
      </c>
      <c r="N314" t="s">
        <v>11915</v>
      </c>
      <c r="O314" t="s">
        <v>1936</v>
      </c>
      <c r="P314" t="s">
        <v>1960</v>
      </c>
      <c r="R314" t="s">
        <v>50</v>
      </c>
      <c r="S314" t="s">
        <v>1671</v>
      </c>
      <c r="U314" t="s">
        <v>1972</v>
      </c>
      <c r="V314" t="s">
        <v>1984</v>
      </c>
      <c r="W314" t="s">
        <v>249</v>
      </c>
      <c r="X314">
        <v>1025</v>
      </c>
      <c r="Y314" t="s">
        <v>2009</v>
      </c>
      <c r="Z314" t="s">
        <v>2017</v>
      </c>
      <c r="AB314" t="s">
        <v>13298</v>
      </c>
      <c r="AD314" t="s">
        <v>15880</v>
      </c>
      <c r="AE314">
        <v>82</v>
      </c>
      <c r="AG314" t="s">
        <v>2915</v>
      </c>
      <c r="AH314">
        <v>12</v>
      </c>
      <c r="AI314">
        <v>2</v>
      </c>
      <c r="AJ314">
        <v>0</v>
      </c>
      <c r="AK314">
        <v>260.2</v>
      </c>
      <c r="AN314" t="s">
        <v>2926</v>
      </c>
      <c r="AO314">
        <v>44000</v>
      </c>
      <c r="AP314" t="s">
        <v>18106</v>
      </c>
      <c r="AU314">
        <v>1.5</v>
      </c>
      <c r="AV314" t="s">
        <v>7866</v>
      </c>
      <c r="AW314" t="s">
        <v>3059</v>
      </c>
      <c r="AX314" t="s">
        <v>18685</v>
      </c>
    </row>
    <row r="315" spans="1:50">
      <c r="A315" s="1" t="s">
        <v>64</v>
      </c>
      <c r="B315" t="s">
        <v>163</v>
      </c>
      <c r="C315" t="s">
        <v>3525</v>
      </c>
      <c r="D315" t="s">
        <v>216</v>
      </c>
      <c r="F315" t="s">
        <v>6947</v>
      </c>
      <c r="G315" t="s">
        <v>8025</v>
      </c>
      <c r="H315" t="s">
        <v>1243</v>
      </c>
      <c r="I315" t="s">
        <v>11013</v>
      </c>
      <c r="J315" t="s">
        <v>1643</v>
      </c>
      <c r="K315">
        <v>10033</v>
      </c>
      <c r="L315" t="s">
        <v>1670</v>
      </c>
      <c r="M315" t="s">
        <v>1670</v>
      </c>
      <c r="O315" t="s">
        <v>1939</v>
      </c>
      <c r="P315" t="s">
        <v>1960</v>
      </c>
      <c r="R315" t="s">
        <v>50</v>
      </c>
      <c r="S315" t="s">
        <v>1670</v>
      </c>
      <c r="U315" t="s">
        <v>1972</v>
      </c>
      <c r="W315" t="s">
        <v>216</v>
      </c>
      <c r="X315">
        <v>1429.45</v>
      </c>
      <c r="Y315" t="s">
        <v>2008</v>
      </c>
      <c r="Z315" t="s">
        <v>2016</v>
      </c>
      <c r="AB315" t="s">
        <v>13299</v>
      </c>
      <c r="AD315" t="s">
        <v>15881</v>
      </c>
      <c r="AE315">
        <v>232</v>
      </c>
      <c r="AF315" t="s">
        <v>2902</v>
      </c>
      <c r="AG315" t="s">
        <v>2915</v>
      </c>
      <c r="AH315">
        <v>24</v>
      </c>
      <c r="AI315">
        <v>1</v>
      </c>
      <c r="AJ315">
        <v>1</v>
      </c>
      <c r="AK315">
        <v>260.47</v>
      </c>
      <c r="AN315" t="s">
        <v>2927</v>
      </c>
      <c r="AO315">
        <v>42873</v>
      </c>
      <c r="AU315">
        <v>0.7</v>
      </c>
      <c r="AV315" t="s">
        <v>206</v>
      </c>
      <c r="AW315" t="s">
        <v>3042</v>
      </c>
    </row>
    <row r="316" spans="1:50">
      <c r="A316" s="1" t="s">
        <v>94</v>
      </c>
      <c r="B316" t="s">
        <v>164</v>
      </c>
      <c r="C316" t="s">
        <v>3526</v>
      </c>
      <c r="D316" t="s">
        <v>378</v>
      </c>
      <c r="E316" t="s">
        <v>378</v>
      </c>
      <c r="F316" t="s">
        <v>643</v>
      </c>
      <c r="G316" t="s">
        <v>8026</v>
      </c>
      <c r="H316" t="s">
        <v>9528</v>
      </c>
      <c r="I316" t="s">
        <v>11014</v>
      </c>
      <c r="J316" t="s">
        <v>1643</v>
      </c>
      <c r="K316">
        <v>10032</v>
      </c>
      <c r="L316" t="s">
        <v>1670</v>
      </c>
      <c r="M316" t="s">
        <v>1672</v>
      </c>
      <c r="O316" t="s">
        <v>1675</v>
      </c>
      <c r="P316" t="s">
        <v>1958</v>
      </c>
      <c r="Q316" t="s">
        <v>1965</v>
      </c>
      <c r="R316" t="s">
        <v>50</v>
      </c>
      <c r="S316" t="s">
        <v>1671</v>
      </c>
      <c r="U316" t="s">
        <v>1972</v>
      </c>
      <c r="W316" t="s">
        <v>378</v>
      </c>
      <c r="X316">
        <v>1021.57</v>
      </c>
      <c r="Y316" t="s">
        <v>2008</v>
      </c>
      <c r="Z316" t="s">
        <v>2013</v>
      </c>
      <c r="AA316" t="s">
        <v>2029</v>
      </c>
      <c r="AB316" t="s">
        <v>13300</v>
      </c>
      <c r="AD316" t="s">
        <v>15882</v>
      </c>
      <c r="AE316" t="s">
        <v>13051</v>
      </c>
      <c r="AH316">
        <v>37</v>
      </c>
      <c r="AI316">
        <v>2</v>
      </c>
      <c r="AJ316">
        <v>0</v>
      </c>
      <c r="AK316">
        <v>261.28</v>
      </c>
      <c r="AL316" t="s">
        <v>340</v>
      </c>
      <c r="AM316" t="s">
        <v>18031</v>
      </c>
      <c r="AN316" t="s">
        <v>2927</v>
      </c>
      <c r="AO316">
        <v>43007.22</v>
      </c>
      <c r="AU316">
        <v>1.5</v>
      </c>
      <c r="AV316" t="s">
        <v>378</v>
      </c>
      <c r="AW316" t="s">
        <v>94</v>
      </c>
    </row>
    <row r="317" spans="1:50">
      <c r="A317" s="1" t="s">
        <v>65</v>
      </c>
      <c r="B317" t="s">
        <v>163</v>
      </c>
      <c r="C317" t="s">
        <v>3527</v>
      </c>
      <c r="D317" t="s">
        <v>258</v>
      </c>
      <c r="F317" t="s">
        <v>6948</v>
      </c>
      <c r="G317" t="s">
        <v>8027</v>
      </c>
      <c r="H317" t="s">
        <v>9529</v>
      </c>
      <c r="I317" t="s">
        <v>1534</v>
      </c>
      <c r="J317" t="s">
        <v>1644</v>
      </c>
      <c r="K317">
        <v>11225</v>
      </c>
      <c r="L317" t="s">
        <v>1670</v>
      </c>
      <c r="M317" t="s">
        <v>1670</v>
      </c>
      <c r="O317" t="s">
        <v>1952</v>
      </c>
      <c r="P317" t="s">
        <v>1960</v>
      </c>
      <c r="R317" t="s">
        <v>50</v>
      </c>
      <c r="S317" t="s">
        <v>1670</v>
      </c>
      <c r="U317" t="s">
        <v>1972</v>
      </c>
      <c r="W317" t="s">
        <v>177</v>
      </c>
      <c r="X317">
        <v>1093.84</v>
      </c>
      <c r="Y317" t="s">
        <v>2009</v>
      </c>
      <c r="AB317" t="s">
        <v>13301</v>
      </c>
      <c r="AE317" t="s">
        <v>13051</v>
      </c>
      <c r="AH317">
        <v>13</v>
      </c>
      <c r="AI317">
        <v>2</v>
      </c>
      <c r="AJ317">
        <v>0</v>
      </c>
      <c r="AK317">
        <v>261.38</v>
      </c>
      <c r="AN317" t="s">
        <v>2926</v>
      </c>
      <c r="AO317">
        <v>44200</v>
      </c>
      <c r="AU317" t="s">
        <v>13051</v>
      </c>
      <c r="AW317" t="s">
        <v>158</v>
      </c>
    </row>
    <row r="318" spans="1:50">
      <c r="A318" s="1" t="s">
        <v>57</v>
      </c>
      <c r="B318" t="s">
        <v>164</v>
      </c>
      <c r="C318" t="s">
        <v>3528</v>
      </c>
      <c r="D318" t="s">
        <v>201</v>
      </c>
      <c r="E318" t="s">
        <v>376</v>
      </c>
      <c r="F318" t="s">
        <v>6949</v>
      </c>
      <c r="G318" t="s">
        <v>1049</v>
      </c>
      <c r="H318" t="s">
        <v>1168</v>
      </c>
      <c r="I318" t="s">
        <v>1517</v>
      </c>
      <c r="J318" t="s">
        <v>1641</v>
      </c>
      <c r="K318">
        <v>10468</v>
      </c>
      <c r="L318" t="s">
        <v>1670</v>
      </c>
      <c r="M318" t="s">
        <v>1670</v>
      </c>
      <c r="O318" t="s">
        <v>1675</v>
      </c>
      <c r="P318" t="s">
        <v>1958</v>
      </c>
      <c r="Q318" t="s">
        <v>1965</v>
      </c>
      <c r="R318" t="s">
        <v>50</v>
      </c>
      <c r="U318" t="s">
        <v>1972</v>
      </c>
      <c r="W318" t="s">
        <v>201</v>
      </c>
      <c r="X318">
        <v>1427</v>
      </c>
      <c r="Y318" t="s">
        <v>2006</v>
      </c>
      <c r="Z318" t="s">
        <v>2015</v>
      </c>
      <c r="AA318" t="s">
        <v>2029</v>
      </c>
      <c r="AB318" t="s">
        <v>13302</v>
      </c>
      <c r="AD318" t="s">
        <v>15883</v>
      </c>
      <c r="AE318">
        <v>58</v>
      </c>
      <c r="AF318" t="s">
        <v>2902</v>
      </c>
      <c r="AG318" t="s">
        <v>1754</v>
      </c>
      <c r="AH318">
        <v>3</v>
      </c>
      <c r="AI318">
        <v>2</v>
      </c>
      <c r="AJ318">
        <v>0</v>
      </c>
      <c r="AK318">
        <v>261.85</v>
      </c>
      <c r="AN318" t="s">
        <v>2927</v>
      </c>
      <c r="AO318">
        <v>43100</v>
      </c>
      <c r="AU318">
        <v>0.6</v>
      </c>
      <c r="AV318" t="s">
        <v>346</v>
      </c>
      <c r="AW318" t="s">
        <v>3046</v>
      </c>
    </row>
    <row r="319" spans="1:50">
      <c r="A319" s="1" t="s">
        <v>57</v>
      </c>
      <c r="B319" t="s">
        <v>164</v>
      </c>
      <c r="C319" t="s">
        <v>3529</v>
      </c>
      <c r="D319" t="s">
        <v>201</v>
      </c>
      <c r="E319" t="s">
        <v>376</v>
      </c>
      <c r="F319" t="s">
        <v>6949</v>
      </c>
      <c r="G319" t="s">
        <v>1049</v>
      </c>
      <c r="H319" t="s">
        <v>1168</v>
      </c>
      <c r="I319" t="s">
        <v>1517</v>
      </c>
      <c r="J319" t="s">
        <v>1641</v>
      </c>
      <c r="K319">
        <v>10468</v>
      </c>
      <c r="L319" t="s">
        <v>1670</v>
      </c>
      <c r="M319" t="s">
        <v>1671</v>
      </c>
      <c r="O319" t="s">
        <v>1949</v>
      </c>
      <c r="P319" t="s">
        <v>1959</v>
      </c>
      <c r="Q319" t="s">
        <v>1965</v>
      </c>
      <c r="R319" t="s">
        <v>50</v>
      </c>
      <c r="S319" t="s">
        <v>1670</v>
      </c>
      <c r="U319" t="s">
        <v>1972</v>
      </c>
      <c r="W319" t="s">
        <v>201</v>
      </c>
      <c r="X319">
        <v>1427</v>
      </c>
      <c r="Y319" t="s">
        <v>2006</v>
      </c>
      <c r="Z319" t="s">
        <v>2015</v>
      </c>
      <c r="AA319" t="s">
        <v>2029</v>
      </c>
      <c r="AB319" t="s">
        <v>13302</v>
      </c>
      <c r="AD319" t="s">
        <v>15883</v>
      </c>
      <c r="AE319">
        <v>58</v>
      </c>
      <c r="AF319" t="s">
        <v>2902</v>
      </c>
      <c r="AG319" t="s">
        <v>1754</v>
      </c>
      <c r="AH319">
        <v>3</v>
      </c>
      <c r="AI319">
        <v>2</v>
      </c>
      <c r="AJ319">
        <v>0</v>
      </c>
      <c r="AK319">
        <v>261.85</v>
      </c>
      <c r="AN319" t="s">
        <v>2927</v>
      </c>
      <c r="AO319">
        <v>43100</v>
      </c>
      <c r="AU319">
        <v>0.6</v>
      </c>
      <c r="AV319" t="s">
        <v>346</v>
      </c>
      <c r="AW319" t="s">
        <v>3046</v>
      </c>
    </row>
    <row r="320" spans="1:50">
      <c r="A320" s="1" t="s">
        <v>57</v>
      </c>
      <c r="B320" t="s">
        <v>163</v>
      </c>
      <c r="C320" t="s">
        <v>3530</v>
      </c>
      <c r="D320" t="s">
        <v>265</v>
      </c>
      <c r="F320" t="s">
        <v>6950</v>
      </c>
      <c r="G320" t="s">
        <v>772</v>
      </c>
      <c r="H320" t="s">
        <v>1112</v>
      </c>
      <c r="I320" t="s">
        <v>11015</v>
      </c>
      <c r="J320" t="s">
        <v>1641</v>
      </c>
      <c r="K320">
        <v>10453</v>
      </c>
      <c r="L320" t="s">
        <v>1670</v>
      </c>
      <c r="M320" t="s">
        <v>1670</v>
      </c>
      <c r="O320" t="s">
        <v>1938</v>
      </c>
      <c r="P320" t="s">
        <v>1961</v>
      </c>
      <c r="R320" t="s">
        <v>50</v>
      </c>
      <c r="S320" t="s">
        <v>1670</v>
      </c>
      <c r="U320" t="s">
        <v>1972</v>
      </c>
      <c r="W320" t="s">
        <v>283</v>
      </c>
      <c r="X320">
        <v>685.95</v>
      </c>
      <c r="Y320" t="s">
        <v>2006</v>
      </c>
      <c r="Z320" t="s">
        <v>2015</v>
      </c>
      <c r="AB320" t="s">
        <v>13303</v>
      </c>
      <c r="AD320" t="s">
        <v>15884</v>
      </c>
      <c r="AE320">
        <v>167</v>
      </c>
      <c r="AF320" t="s">
        <v>2902</v>
      </c>
      <c r="AG320" t="s">
        <v>1754</v>
      </c>
      <c r="AH320">
        <v>26</v>
      </c>
      <c r="AI320">
        <v>1</v>
      </c>
      <c r="AJ320">
        <v>0</v>
      </c>
      <c r="AK320">
        <v>262.29</v>
      </c>
      <c r="AN320" t="s">
        <v>2926</v>
      </c>
      <c r="AO320">
        <v>32760</v>
      </c>
      <c r="AU320" t="s">
        <v>13051</v>
      </c>
      <c r="AW320" t="s">
        <v>3046</v>
      </c>
    </row>
    <row r="321" spans="1:50">
      <c r="A321" s="1" t="s">
        <v>82</v>
      </c>
      <c r="B321" t="s">
        <v>163</v>
      </c>
      <c r="C321" t="s">
        <v>3531</v>
      </c>
      <c r="D321" t="s">
        <v>186</v>
      </c>
      <c r="F321" t="s">
        <v>544</v>
      </c>
      <c r="G321" t="s">
        <v>8028</v>
      </c>
      <c r="H321" t="s">
        <v>9442</v>
      </c>
      <c r="I321" t="s">
        <v>1484</v>
      </c>
      <c r="J321" t="s">
        <v>1644</v>
      </c>
      <c r="K321">
        <v>11233</v>
      </c>
      <c r="L321" t="s">
        <v>1670</v>
      </c>
      <c r="M321" t="s">
        <v>1671</v>
      </c>
      <c r="O321" t="s">
        <v>1937</v>
      </c>
      <c r="P321" t="s">
        <v>1962</v>
      </c>
      <c r="R321" t="s">
        <v>50</v>
      </c>
      <c r="S321" t="s">
        <v>1670</v>
      </c>
      <c r="U321" t="s">
        <v>1972</v>
      </c>
      <c r="V321" t="s">
        <v>1984</v>
      </c>
      <c r="W321" t="s">
        <v>221</v>
      </c>
      <c r="X321">
        <v>651</v>
      </c>
      <c r="Y321" t="s">
        <v>2009</v>
      </c>
      <c r="Z321" t="s">
        <v>2017</v>
      </c>
      <c r="AB321" t="s">
        <v>13304</v>
      </c>
      <c r="AE321">
        <v>359</v>
      </c>
      <c r="AF321" t="s">
        <v>2902</v>
      </c>
      <c r="AH321">
        <v>40</v>
      </c>
      <c r="AI321">
        <v>1</v>
      </c>
      <c r="AJ321">
        <v>2</v>
      </c>
      <c r="AK321">
        <v>262.54</v>
      </c>
      <c r="AN321" t="s">
        <v>2927</v>
      </c>
      <c r="AO321">
        <v>56000</v>
      </c>
      <c r="AP321" t="s">
        <v>18107</v>
      </c>
      <c r="AU321" t="s">
        <v>13051</v>
      </c>
      <c r="AW321" t="s">
        <v>3059</v>
      </c>
    </row>
    <row r="322" spans="1:50">
      <c r="A322" s="1" t="s">
        <v>3157</v>
      </c>
      <c r="B322" t="s">
        <v>163</v>
      </c>
      <c r="C322" t="s">
        <v>3532</v>
      </c>
      <c r="D322" t="s">
        <v>404</v>
      </c>
      <c r="F322" t="s">
        <v>6951</v>
      </c>
      <c r="G322" t="s">
        <v>932</v>
      </c>
      <c r="H322" t="s">
        <v>9530</v>
      </c>
      <c r="I322" t="s">
        <v>1475</v>
      </c>
      <c r="J322" t="s">
        <v>1643</v>
      </c>
      <c r="K322">
        <v>10040</v>
      </c>
      <c r="L322" t="s">
        <v>1670</v>
      </c>
      <c r="M322" t="s">
        <v>1672</v>
      </c>
      <c r="O322" t="s">
        <v>1941</v>
      </c>
      <c r="P322" t="s">
        <v>1962</v>
      </c>
      <c r="R322" t="s">
        <v>50</v>
      </c>
      <c r="S322" t="s">
        <v>1671</v>
      </c>
      <c r="U322" t="s">
        <v>1972</v>
      </c>
      <c r="W322" t="s">
        <v>404</v>
      </c>
      <c r="X322">
        <v>1775</v>
      </c>
      <c r="Y322" t="s">
        <v>2008</v>
      </c>
      <c r="Z322" t="s">
        <v>2013</v>
      </c>
      <c r="AB322" t="s">
        <v>13305</v>
      </c>
      <c r="AE322">
        <v>41</v>
      </c>
      <c r="AF322" t="s">
        <v>2902</v>
      </c>
      <c r="AG322" t="s">
        <v>1754</v>
      </c>
      <c r="AH322">
        <v>4</v>
      </c>
      <c r="AI322">
        <v>1</v>
      </c>
      <c r="AJ322">
        <v>2</v>
      </c>
      <c r="AK322">
        <v>262.54</v>
      </c>
      <c r="AN322" t="s">
        <v>2926</v>
      </c>
      <c r="AO322">
        <v>56000</v>
      </c>
      <c r="AU322">
        <v>0.25</v>
      </c>
      <c r="AV322" t="s">
        <v>379</v>
      </c>
      <c r="AW322" t="s">
        <v>3042</v>
      </c>
      <c r="AX322" t="s">
        <v>18685</v>
      </c>
    </row>
    <row r="323" spans="1:50">
      <c r="A323" s="1" t="s">
        <v>82</v>
      </c>
      <c r="B323" t="s">
        <v>163</v>
      </c>
      <c r="C323" t="s">
        <v>3533</v>
      </c>
      <c r="D323" t="s">
        <v>186</v>
      </c>
      <c r="F323" t="s">
        <v>544</v>
      </c>
      <c r="G323" t="s">
        <v>8028</v>
      </c>
      <c r="H323" t="s">
        <v>9442</v>
      </c>
      <c r="I323" t="s">
        <v>1484</v>
      </c>
      <c r="J323" t="s">
        <v>1644</v>
      </c>
      <c r="K323">
        <v>11233</v>
      </c>
      <c r="L323" t="s">
        <v>1670</v>
      </c>
      <c r="M323" t="s">
        <v>1671</v>
      </c>
      <c r="O323" t="s">
        <v>1938</v>
      </c>
      <c r="P323" t="s">
        <v>1961</v>
      </c>
      <c r="R323" t="s">
        <v>50</v>
      </c>
      <c r="S323" t="s">
        <v>1670</v>
      </c>
      <c r="U323" t="s">
        <v>1972</v>
      </c>
      <c r="V323" t="s">
        <v>1984</v>
      </c>
      <c r="W323" t="s">
        <v>248</v>
      </c>
      <c r="X323">
        <v>651.8</v>
      </c>
      <c r="Y323" t="s">
        <v>2009</v>
      </c>
      <c r="Z323" t="s">
        <v>2017</v>
      </c>
      <c r="AB323" t="s">
        <v>13304</v>
      </c>
      <c r="AE323">
        <v>359</v>
      </c>
      <c r="AF323" t="s">
        <v>2902</v>
      </c>
      <c r="AH323">
        <v>40</v>
      </c>
      <c r="AI323">
        <v>1</v>
      </c>
      <c r="AJ323">
        <v>2</v>
      </c>
      <c r="AK323">
        <v>262.54</v>
      </c>
      <c r="AN323" t="s">
        <v>2927</v>
      </c>
      <c r="AO323">
        <v>56000</v>
      </c>
      <c r="AP323" t="s">
        <v>18108</v>
      </c>
      <c r="AU323" t="s">
        <v>13051</v>
      </c>
      <c r="AW323" t="s">
        <v>3059</v>
      </c>
    </row>
    <row r="324" spans="1:50">
      <c r="A324" s="1" t="s">
        <v>100</v>
      </c>
      <c r="B324" t="s">
        <v>164</v>
      </c>
      <c r="C324" t="s">
        <v>3534</v>
      </c>
      <c r="D324" t="s">
        <v>251</v>
      </c>
      <c r="E324" t="s">
        <v>251</v>
      </c>
      <c r="F324" t="s">
        <v>464</v>
      </c>
      <c r="G324" t="s">
        <v>8029</v>
      </c>
      <c r="H324" t="s">
        <v>9531</v>
      </c>
      <c r="I324">
        <v>55</v>
      </c>
      <c r="J324" t="s">
        <v>1643</v>
      </c>
      <c r="K324">
        <v>10034</v>
      </c>
      <c r="L324" t="s">
        <v>1670</v>
      </c>
      <c r="M324" t="s">
        <v>1670</v>
      </c>
      <c r="O324" t="s">
        <v>1936</v>
      </c>
      <c r="P324" t="s">
        <v>1962</v>
      </c>
      <c r="Q324" t="s">
        <v>1968</v>
      </c>
      <c r="R324" t="s">
        <v>50</v>
      </c>
      <c r="S324" t="s">
        <v>1671</v>
      </c>
      <c r="U324" t="s">
        <v>1972</v>
      </c>
      <c r="W324" t="s">
        <v>251</v>
      </c>
      <c r="X324" t="s">
        <v>13051</v>
      </c>
      <c r="Y324" t="s">
        <v>2008</v>
      </c>
      <c r="Z324" t="s">
        <v>2013</v>
      </c>
      <c r="AA324" t="s">
        <v>2029</v>
      </c>
      <c r="AB324" t="s">
        <v>13306</v>
      </c>
      <c r="AD324" t="s">
        <v>15885</v>
      </c>
      <c r="AE324">
        <v>70</v>
      </c>
      <c r="AF324" t="s">
        <v>2902</v>
      </c>
      <c r="AG324" t="s">
        <v>1754</v>
      </c>
      <c r="AH324">
        <v>8</v>
      </c>
      <c r="AI324">
        <v>1</v>
      </c>
      <c r="AJ324">
        <v>0</v>
      </c>
      <c r="AK324">
        <v>263.59</v>
      </c>
      <c r="AL324" t="s">
        <v>340</v>
      </c>
      <c r="AM324" t="s">
        <v>18031</v>
      </c>
      <c r="AN324" t="s">
        <v>2927</v>
      </c>
      <c r="AO324">
        <v>32000</v>
      </c>
      <c r="AU324">
        <v>0.2</v>
      </c>
      <c r="AV324" t="s">
        <v>251</v>
      </c>
      <c r="AW324" t="s">
        <v>3042</v>
      </c>
    </row>
    <row r="325" spans="1:50">
      <c r="A325" s="1" t="s">
        <v>59</v>
      </c>
      <c r="B325" t="s">
        <v>163</v>
      </c>
      <c r="C325" t="s">
        <v>3535</v>
      </c>
      <c r="D325" t="s">
        <v>174</v>
      </c>
      <c r="F325" t="s">
        <v>6952</v>
      </c>
      <c r="G325" t="s">
        <v>8030</v>
      </c>
      <c r="H325" t="s">
        <v>1114</v>
      </c>
      <c r="I325" t="s">
        <v>1621</v>
      </c>
      <c r="J325" t="s">
        <v>1641</v>
      </c>
      <c r="K325">
        <v>10456</v>
      </c>
      <c r="L325" t="s">
        <v>1670</v>
      </c>
      <c r="M325" t="s">
        <v>1670</v>
      </c>
      <c r="N325" t="s">
        <v>1680</v>
      </c>
      <c r="O325" t="s">
        <v>1938</v>
      </c>
      <c r="P325" t="s">
        <v>1961</v>
      </c>
      <c r="R325" t="s">
        <v>50</v>
      </c>
      <c r="S325" t="s">
        <v>1670</v>
      </c>
      <c r="U325" t="s">
        <v>1972</v>
      </c>
      <c r="W325" t="s">
        <v>359</v>
      </c>
      <c r="X325">
        <v>889.6</v>
      </c>
      <c r="Y325" t="s">
        <v>2006</v>
      </c>
      <c r="Z325" t="s">
        <v>2015</v>
      </c>
      <c r="AB325" t="s">
        <v>13307</v>
      </c>
      <c r="AD325" t="s">
        <v>15886</v>
      </c>
      <c r="AE325">
        <v>131</v>
      </c>
      <c r="AF325" t="s">
        <v>2902</v>
      </c>
      <c r="AG325" t="s">
        <v>1754</v>
      </c>
      <c r="AH325">
        <v>26</v>
      </c>
      <c r="AI325">
        <v>1</v>
      </c>
      <c r="AJ325">
        <v>0</v>
      </c>
      <c r="AK325">
        <v>263.59</v>
      </c>
      <c r="AN325" t="s">
        <v>2926</v>
      </c>
      <c r="AO325">
        <v>32000</v>
      </c>
      <c r="AU325" t="s">
        <v>13051</v>
      </c>
      <c r="AW325" t="s">
        <v>3047</v>
      </c>
    </row>
    <row r="326" spans="1:50">
      <c r="A326" s="1" t="s">
        <v>82</v>
      </c>
      <c r="B326" t="s">
        <v>163</v>
      </c>
      <c r="C326" t="s">
        <v>3536</v>
      </c>
      <c r="D326" t="s">
        <v>269</v>
      </c>
      <c r="F326" t="s">
        <v>622</v>
      </c>
      <c r="G326" t="s">
        <v>8031</v>
      </c>
      <c r="H326" t="s">
        <v>9420</v>
      </c>
      <c r="I326" t="s">
        <v>11016</v>
      </c>
      <c r="J326" t="s">
        <v>1644</v>
      </c>
      <c r="K326">
        <v>11233</v>
      </c>
      <c r="L326" t="s">
        <v>1670</v>
      </c>
      <c r="M326" t="s">
        <v>1671</v>
      </c>
      <c r="O326" t="s">
        <v>1937</v>
      </c>
      <c r="P326" t="s">
        <v>1962</v>
      </c>
      <c r="R326" t="s">
        <v>50</v>
      </c>
      <c r="S326" t="s">
        <v>1670</v>
      </c>
      <c r="U326" t="s">
        <v>1972</v>
      </c>
      <c r="V326" t="s">
        <v>1984</v>
      </c>
      <c r="W326" t="s">
        <v>221</v>
      </c>
      <c r="X326" t="s">
        <v>13051</v>
      </c>
      <c r="Y326" t="s">
        <v>2009</v>
      </c>
      <c r="Z326" t="s">
        <v>2025</v>
      </c>
      <c r="AB326" t="s">
        <v>13308</v>
      </c>
      <c r="AE326">
        <v>359</v>
      </c>
      <c r="AF326" t="s">
        <v>2902</v>
      </c>
      <c r="AH326">
        <v>40</v>
      </c>
      <c r="AI326">
        <v>1</v>
      </c>
      <c r="AJ326">
        <v>0</v>
      </c>
      <c r="AK326">
        <v>264.21</v>
      </c>
      <c r="AN326" t="s">
        <v>2926</v>
      </c>
      <c r="AO326">
        <v>33000</v>
      </c>
      <c r="AP326" t="s">
        <v>18109</v>
      </c>
      <c r="AU326" t="s">
        <v>13051</v>
      </c>
      <c r="AW326" t="s">
        <v>3060</v>
      </c>
    </row>
    <row r="327" spans="1:50">
      <c r="A327" s="1" t="s">
        <v>82</v>
      </c>
      <c r="B327" t="s">
        <v>163</v>
      </c>
      <c r="C327" t="s">
        <v>3537</v>
      </c>
      <c r="D327" t="s">
        <v>1999</v>
      </c>
      <c r="F327" t="s">
        <v>530</v>
      </c>
      <c r="G327" t="s">
        <v>807</v>
      </c>
      <c r="H327" t="s">
        <v>9442</v>
      </c>
      <c r="I327" t="s">
        <v>11017</v>
      </c>
      <c r="J327" t="s">
        <v>1644</v>
      </c>
      <c r="K327">
        <v>11233</v>
      </c>
      <c r="L327" t="s">
        <v>1670</v>
      </c>
      <c r="M327" t="s">
        <v>1672</v>
      </c>
      <c r="O327" t="s">
        <v>1937</v>
      </c>
      <c r="P327" t="s">
        <v>1962</v>
      </c>
      <c r="R327" t="s">
        <v>50</v>
      </c>
      <c r="S327" t="s">
        <v>1670</v>
      </c>
      <c r="U327" t="s">
        <v>1972</v>
      </c>
      <c r="V327" t="s">
        <v>1984</v>
      </c>
      <c r="W327" t="s">
        <v>221</v>
      </c>
      <c r="X327">
        <v>913</v>
      </c>
      <c r="Y327" t="s">
        <v>2009</v>
      </c>
      <c r="Z327" t="s">
        <v>2017</v>
      </c>
      <c r="AB327" t="s">
        <v>13309</v>
      </c>
      <c r="AE327">
        <v>359</v>
      </c>
      <c r="AF327" t="s">
        <v>2902</v>
      </c>
      <c r="AH327">
        <v>20</v>
      </c>
      <c r="AI327">
        <v>1</v>
      </c>
      <c r="AJ327">
        <v>0</v>
      </c>
      <c r="AK327">
        <v>264.21</v>
      </c>
      <c r="AN327" t="s">
        <v>2926</v>
      </c>
      <c r="AO327">
        <v>33000</v>
      </c>
      <c r="AP327" t="s">
        <v>18110</v>
      </c>
      <c r="AU327" t="s">
        <v>13051</v>
      </c>
      <c r="AW327" t="s">
        <v>3059</v>
      </c>
      <c r="AX327" t="s">
        <v>1754</v>
      </c>
    </row>
    <row r="328" spans="1:50">
      <c r="A328" s="1" t="s">
        <v>82</v>
      </c>
      <c r="B328" t="s">
        <v>163</v>
      </c>
      <c r="C328" t="s">
        <v>3538</v>
      </c>
      <c r="D328" t="s">
        <v>203</v>
      </c>
      <c r="F328" t="s">
        <v>6953</v>
      </c>
      <c r="G328" t="s">
        <v>8032</v>
      </c>
      <c r="H328" t="s">
        <v>1144</v>
      </c>
      <c r="I328" t="s">
        <v>11018</v>
      </c>
      <c r="J328" t="s">
        <v>1644</v>
      </c>
      <c r="K328">
        <v>11233</v>
      </c>
      <c r="L328" t="s">
        <v>1670</v>
      </c>
      <c r="M328" t="s">
        <v>1671</v>
      </c>
      <c r="P328" t="s">
        <v>1962</v>
      </c>
      <c r="R328" t="s">
        <v>50</v>
      </c>
      <c r="S328" t="s">
        <v>1670</v>
      </c>
      <c r="U328" t="s">
        <v>1972</v>
      </c>
      <c r="V328" t="s">
        <v>1984</v>
      </c>
      <c r="W328" t="s">
        <v>221</v>
      </c>
      <c r="X328">
        <v>601</v>
      </c>
      <c r="Y328" t="s">
        <v>2009</v>
      </c>
      <c r="Z328" t="s">
        <v>2025</v>
      </c>
      <c r="AB328" t="s">
        <v>13310</v>
      </c>
      <c r="AE328">
        <v>359</v>
      </c>
      <c r="AF328" t="s">
        <v>2902</v>
      </c>
      <c r="AH328">
        <v>7</v>
      </c>
      <c r="AI328">
        <v>1</v>
      </c>
      <c r="AJ328">
        <v>0</v>
      </c>
      <c r="AK328">
        <v>264.21</v>
      </c>
      <c r="AN328" t="s">
        <v>2926</v>
      </c>
      <c r="AO328">
        <v>33000</v>
      </c>
      <c r="AP328" t="s">
        <v>18094</v>
      </c>
      <c r="AU328" t="s">
        <v>13051</v>
      </c>
      <c r="AW328" t="s">
        <v>3060</v>
      </c>
    </row>
    <row r="329" spans="1:50">
      <c r="A329" s="1" t="s">
        <v>82</v>
      </c>
      <c r="B329" t="s">
        <v>163</v>
      </c>
      <c r="C329" t="s">
        <v>3539</v>
      </c>
      <c r="D329" t="s">
        <v>203</v>
      </c>
      <c r="F329" t="s">
        <v>6953</v>
      </c>
      <c r="G329" t="s">
        <v>8032</v>
      </c>
      <c r="H329" t="s">
        <v>1144</v>
      </c>
      <c r="I329" t="s">
        <v>11018</v>
      </c>
      <c r="J329" t="s">
        <v>1644</v>
      </c>
      <c r="K329">
        <v>11233</v>
      </c>
      <c r="L329" t="s">
        <v>1670</v>
      </c>
      <c r="M329" t="s">
        <v>1671</v>
      </c>
      <c r="O329" t="s">
        <v>1938</v>
      </c>
      <c r="P329" t="s">
        <v>1961</v>
      </c>
      <c r="R329" t="s">
        <v>50</v>
      </c>
      <c r="S329" t="s">
        <v>1670</v>
      </c>
      <c r="U329" t="s">
        <v>1972</v>
      </c>
      <c r="V329" t="s">
        <v>1984</v>
      </c>
      <c r="W329" t="s">
        <v>248</v>
      </c>
      <c r="X329">
        <v>601</v>
      </c>
      <c r="Y329" t="s">
        <v>2009</v>
      </c>
      <c r="Z329" t="s">
        <v>2025</v>
      </c>
      <c r="AB329" t="s">
        <v>13310</v>
      </c>
      <c r="AE329">
        <v>359</v>
      </c>
      <c r="AF329" t="s">
        <v>2902</v>
      </c>
      <c r="AH329">
        <v>7</v>
      </c>
      <c r="AI329">
        <v>1</v>
      </c>
      <c r="AJ329">
        <v>0</v>
      </c>
      <c r="AK329">
        <v>264.21</v>
      </c>
      <c r="AN329" t="s">
        <v>2926</v>
      </c>
      <c r="AO329">
        <v>33000</v>
      </c>
      <c r="AP329" t="s">
        <v>18111</v>
      </c>
      <c r="AU329" t="s">
        <v>13051</v>
      </c>
      <c r="AW329" t="s">
        <v>3060</v>
      </c>
    </row>
    <row r="330" spans="1:50">
      <c r="A330" s="1" t="s">
        <v>82</v>
      </c>
      <c r="B330" t="s">
        <v>163</v>
      </c>
      <c r="C330" t="s">
        <v>3540</v>
      </c>
      <c r="D330" t="s">
        <v>269</v>
      </c>
      <c r="F330" t="s">
        <v>622</v>
      </c>
      <c r="G330" t="s">
        <v>8031</v>
      </c>
      <c r="H330" t="s">
        <v>9420</v>
      </c>
      <c r="I330" t="s">
        <v>11016</v>
      </c>
      <c r="J330" t="s">
        <v>1644</v>
      </c>
      <c r="K330">
        <v>11233</v>
      </c>
      <c r="L330" t="s">
        <v>1670</v>
      </c>
      <c r="M330" t="s">
        <v>1671</v>
      </c>
      <c r="O330" t="s">
        <v>1938</v>
      </c>
      <c r="P330" t="s">
        <v>1961</v>
      </c>
      <c r="R330" t="s">
        <v>50</v>
      </c>
      <c r="S330" t="s">
        <v>1670</v>
      </c>
      <c r="U330" t="s">
        <v>1972</v>
      </c>
      <c r="V330" t="s">
        <v>1984</v>
      </c>
      <c r="W330" t="s">
        <v>248</v>
      </c>
      <c r="X330" t="s">
        <v>13051</v>
      </c>
      <c r="Y330" t="s">
        <v>2009</v>
      </c>
      <c r="Z330" t="s">
        <v>2025</v>
      </c>
      <c r="AB330" t="s">
        <v>13308</v>
      </c>
      <c r="AE330">
        <v>359</v>
      </c>
      <c r="AF330" t="s">
        <v>2902</v>
      </c>
      <c r="AH330">
        <v>40</v>
      </c>
      <c r="AI330">
        <v>1</v>
      </c>
      <c r="AJ330">
        <v>0</v>
      </c>
      <c r="AK330">
        <v>264.21</v>
      </c>
      <c r="AN330" t="s">
        <v>2926</v>
      </c>
      <c r="AO330">
        <v>33000</v>
      </c>
      <c r="AP330" t="s">
        <v>18094</v>
      </c>
      <c r="AU330" t="s">
        <v>13051</v>
      </c>
      <c r="AW330" t="s">
        <v>3060</v>
      </c>
    </row>
    <row r="331" spans="1:50">
      <c r="A331" s="1" t="s">
        <v>82</v>
      </c>
      <c r="B331" t="s">
        <v>163</v>
      </c>
      <c r="C331" t="s">
        <v>3541</v>
      </c>
      <c r="D331" t="s">
        <v>1999</v>
      </c>
      <c r="F331" t="s">
        <v>530</v>
      </c>
      <c r="G331" t="s">
        <v>807</v>
      </c>
      <c r="H331" t="s">
        <v>9442</v>
      </c>
      <c r="I331" t="s">
        <v>11017</v>
      </c>
      <c r="J331" t="s">
        <v>1644</v>
      </c>
      <c r="K331">
        <v>11233</v>
      </c>
      <c r="L331" t="s">
        <v>1670</v>
      </c>
      <c r="M331" t="s">
        <v>1672</v>
      </c>
      <c r="O331" t="s">
        <v>1938</v>
      </c>
      <c r="P331" t="s">
        <v>1961</v>
      </c>
      <c r="R331" t="s">
        <v>50</v>
      </c>
      <c r="S331" t="s">
        <v>1670</v>
      </c>
      <c r="U331" t="s">
        <v>1972</v>
      </c>
      <c r="V331" t="s">
        <v>1984</v>
      </c>
      <c r="W331" t="s">
        <v>248</v>
      </c>
      <c r="X331">
        <v>913</v>
      </c>
      <c r="Y331" t="s">
        <v>2009</v>
      </c>
      <c r="Z331" t="s">
        <v>2017</v>
      </c>
      <c r="AB331" t="s">
        <v>13309</v>
      </c>
      <c r="AE331">
        <v>359</v>
      </c>
      <c r="AF331" t="s">
        <v>2902</v>
      </c>
      <c r="AH331">
        <v>20</v>
      </c>
      <c r="AI331">
        <v>1</v>
      </c>
      <c r="AJ331">
        <v>0</v>
      </c>
      <c r="AK331">
        <v>264.21</v>
      </c>
      <c r="AN331" t="s">
        <v>2926</v>
      </c>
      <c r="AO331">
        <v>33000</v>
      </c>
      <c r="AP331" t="s">
        <v>18071</v>
      </c>
      <c r="AU331" t="s">
        <v>13051</v>
      </c>
      <c r="AW331" t="s">
        <v>3059</v>
      </c>
      <c r="AX331" t="s">
        <v>1754</v>
      </c>
    </row>
    <row r="332" spans="1:50">
      <c r="A332" s="1" t="s">
        <v>132</v>
      </c>
      <c r="B332" t="s">
        <v>163</v>
      </c>
      <c r="C332" t="s">
        <v>3542</v>
      </c>
      <c r="D332" t="s">
        <v>399</v>
      </c>
      <c r="F332" t="s">
        <v>6954</v>
      </c>
      <c r="G332" t="s">
        <v>8033</v>
      </c>
      <c r="H332" t="s">
        <v>9532</v>
      </c>
      <c r="I332" t="s">
        <v>1520</v>
      </c>
      <c r="J332" t="s">
        <v>1644</v>
      </c>
      <c r="K332">
        <v>11221</v>
      </c>
      <c r="L332" t="s">
        <v>1671</v>
      </c>
      <c r="M332" t="s">
        <v>1672</v>
      </c>
      <c r="N332" t="s">
        <v>1687</v>
      </c>
      <c r="O332" t="s">
        <v>1937</v>
      </c>
      <c r="P332" t="s">
        <v>1962</v>
      </c>
      <c r="R332" t="s">
        <v>50</v>
      </c>
      <c r="S332" t="s">
        <v>1670</v>
      </c>
      <c r="U332" t="s">
        <v>1977</v>
      </c>
      <c r="V332" t="s">
        <v>1984</v>
      </c>
      <c r="W332" t="s">
        <v>266</v>
      </c>
      <c r="X332">
        <v>732</v>
      </c>
      <c r="Y332" t="s">
        <v>2009</v>
      </c>
      <c r="Z332" t="s">
        <v>2015</v>
      </c>
      <c r="AB332" t="s">
        <v>13311</v>
      </c>
      <c r="AC332" t="s">
        <v>1754</v>
      </c>
      <c r="AD332" t="s">
        <v>15887</v>
      </c>
      <c r="AE332">
        <v>13</v>
      </c>
      <c r="AF332" t="s">
        <v>2902</v>
      </c>
      <c r="AG332" t="s">
        <v>1754</v>
      </c>
      <c r="AH332">
        <v>25</v>
      </c>
      <c r="AI332">
        <v>3</v>
      </c>
      <c r="AJ332">
        <v>2</v>
      </c>
      <c r="AK332">
        <v>265.16</v>
      </c>
      <c r="AN332" t="s">
        <v>2926</v>
      </c>
      <c r="AO332">
        <v>80000</v>
      </c>
      <c r="AU332" t="s">
        <v>13051</v>
      </c>
      <c r="AW332" t="s">
        <v>3060</v>
      </c>
      <c r="AX332" t="s">
        <v>1754</v>
      </c>
    </row>
    <row r="333" spans="1:50">
      <c r="A333" s="1" t="s">
        <v>143</v>
      </c>
      <c r="B333" t="s">
        <v>163</v>
      </c>
      <c r="C333" t="s">
        <v>3543</v>
      </c>
      <c r="D333" t="s">
        <v>326</v>
      </c>
      <c r="F333" t="s">
        <v>6954</v>
      </c>
      <c r="G333" t="s">
        <v>8033</v>
      </c>
      <c r="H333" t="s">
        <v>9532</v>
      </c>
      <c r="I333" t="s">
        <v>1520</v>
      </c>
      <c r="J333" t="s">
        <v>1644</v>
      </c>
      <c r="K333">
        <v>11221</v>
      </c>
      <c r="L333" t="s">
        <v>1671</v>
      </c>
      <c r="M333" t="s">
        <v>1671</v>
      </c>
      <c r="O333" t="s">
        <v>1946</v>
      </c>
      <c r="P333" t="s">
        <v>1964</v>
      </c>
      <c r="R333" t="s">
        <v>50</v>
      </c>
      <c r="S333" t="s">
        <v>1670</v>
      </c>
      <c r="U333" t="s">
        <v>1978</v>
      </c>
      <c r="W333" t="s">
        <v>326</v>
      </c>
      <c r="X333">
        <v>732</v>
      </c>
      <c r="Y333" t="s">
        <v>2009</v>
      </c>
      <c r="Z333" t="s">
        <v>2015</v>
      </c>
      <c r="AB333" t="s">
        <v>13311</v>
      </c>
      <c r="AC333" t="s">
        <v>1754</v>
      </c>
      <c r="AD333" t="s">
        <v>15887</v>
      </c>
      <c r="AE333">
        <v>13</v>
      </c>
      <c r="AF333" t="s">
        <v>2902</v>
      </c>
      <c r="AG333" t="s">
        <v>1754</v>
      </c>
      <c r="AH333">
        <v>25</v>
      </c>
      <c r="AI333">
        <v>3</v>
      </c>
      <c r="AJ333">
        <v>2</v>
      </c>
      <c r="AK333">
        <v>265.16</v>
      </c>
      <c r="AN333" t="s">
        <v>2926</v>
      </c>
      <c r="AO333">
        <v>80000</v>
      </c>
      <c r="AU333" t="s">
        <v>13051</v>
      </c>
      <c r="AW333" t="s">
        <v>3060</v>
      </c>
      <c r="AX333" t="s">
        <v>1754</v>
      </c>
    </row>
    <row r="334" spans="1:50">
      <c r="A334" s="1" t="s">
        <v>100</v>
      </c>
      <c r="B334" t="s">
        <v>164</v>
      </c>
      <c r="C334" t="s">
        <v>3544</v>
      </c>
      <c r="D334" t="s">
        <v>371</v>
      </c>
      <c r="E334" t="s">
        <v>320</v>
      </c>
      <c r="F334" t="s">
        <v>6955</v>
      </c>
      <c r="G334" t="s">
        <v>8034</v>
      </c>
      <c r="H334" t="s">
        <v>9533</v>
      </c>
      <c r="I334" t="s">
        <v>1508</v>
      </c>
      <c r="J334" t="s">
        <v>1643</v>
      </c>
      <c r="K334">
        <v>10034</v>
      </c>
      <c r="L334" t="s">
        <v>1670</v>
      </c>
      <c r="M334" t="s">
        <v>1670</v>
      </c>
      <c r="P334" t="s">
        <v>1962</v>
      </c>
      <c r="Q334" t="s">
        <v>1968</v>
      </c>
      <c r="R334" t="s">
        <v>50</v>
      </c>
      <c r="S334" t="s">
        <v>1671</v>
      </c>
      <c r="U334" t="s">
        <v>1972</v>
      </c>
      <c r="W334" t="s">
        <v>192</v>
      </c>
      <c r="X334">
        <v>1050</v>
      </c>
      <c r="Y334" t="s">
        <v>2008</v>
      </c>
      <c r="Z334" t="s">
        <v>2013</v>
      </c>
      <c r="AA334" t="s">
        <v>2030</v>
      </c>
      <c r="AB334" t="s">
        <v>13312</v>
      </c>
      <c r="AE334" t="s">
        <v>13051</v>
      </c>
      <c r="AF334" t="s">
        <v>2911</v>
      </c>
      <c r="AG334" t="s">
        <v>1754</v>
      </c>
      <c r="AH334">
        <v>20</v>
      </c>
      <c r="AI334">
        <v>1</v>
      </c>
      <c r="AJ334">
        <v>0</v>
      </c>
      <c r="AK334">
        <v>266</v>
      </c>
      <c r="AN334" t="s">
        <v>2926</v>
      </c>
      <c r="AO334">
        <v>32292</v>
      </c>
      <c r="AU334">
        <v>0.1</v>
      </c>
      <c r="AV334" t="s">
        <v>320</v>
      </c>
      <c r="AW334" t="s">
        <v>3042</v>
      </c>
    </row>
    <row r="335" spans="1:50">
      <c r="A335" s="1" t="s">
        <v>128</v>
      </c>
      <c r="B335" t="s">
        <v>163</v>
      </c>
      <c r="C335" t="s">
        <v>3545</v>
      </c>
      <c r="D335" t="s">
        <v>263</v>
      </c>
      <c r="F335" t="s">
        <v>428</v>
      </c>
      <c r="G335" t="s">
        <v>8035</v>
      </c>
      <c r="H335" t="s">
        <v>9534</v>
      </c>
      <c r="I335" t="s">
        <v>1569</v>
      </c>
      <c r="J335" t="s">
        <v>1641</v>
      </c>
      <c r="K335">
        <v>10467</v>
      </c>
      <c r="L335" t="s">
        <v>1670</v>
      </c>
      <c r="M335" t="s">
        <v>1670</v>
      </c>
      <c r="O335" t="s">
        <v>1938</v>
      </c>
      <c r="P335" t="s">
        <v>1958</v>
      </c>
      <c r="R335" t="s">
        <v>50</v>
      </c>
      <c r="S335" t="s">
        <v>1671</v>
      </c>
      <c r="U335" t="s">
        <v>1972</v>
      </c>
      <c r="W335" t="s">
        <v>3038</v>
      </c>
      <c r="X335">
        <v>573.76</v>
      </c>
      <c r="Y335" t="s">
        <v>2006</v>
      </c>
      <c r="Z335" t="s">
        <v>2028</v>
      </c>
      <c r="AB335" t="s">
        <v>13313</v>
      </c>
      <c r="AD335" t="s">
        <v>15888</v>
      </c>
      <c r="AE335">
        <v>71</v>
      </c>
      <c r="AF335" t="s">
        <v>2908</v>
      </c>
      <c r="AG335" t="s">
        <v>1754</v>
      </c>
      <c r="AH335">
        <v>50</v>
      </c>
      <c r="AI335">
        <v>2</v>
      </c>
      <c r="AJ335">
        <v>0</v>
      </c>
      <c r="AK335">
        <v>266.11</v>
      </c>
      <c r="AO335">
        <v>45000</v>
      </c>
      <c r="AU335">
        <v>1.4</v>
      </c>
      <c r="AV335" t="s">
        <v>3038</v>
      </c>
      <c r="AW335" t="s">
        <v>3046</v>
      </c>
    </row>
    <row r="336" spans="1:50">
      <c r="A336" s="1" t="s">
        <v>82</v>
      </c>
      <c r="B336" t="s">
        <v>163</v>
      </c>
      <c r="C336" t="s">
        <v>3546</v>
      </c>
      <c r="D336" t="s">
        <v>203</v>
      </c>
      <c r="F336" t="s">
        <v>492</v>
      </c>
      <c r="G336" t="s">
        <v>8036</v>
      </c>
      <c r="H336" t="s">
        <v>9420</v>
      </c>
      <c r="I336" t="s">
        <v>11019</v>
      </c>
      <c r="J336" t="s">
        <v>1644</v>
      </c>
      <c r="K336">
        <v>11233</v>
      </c>
      <c r="L336" t="s">
        <v>1670</v>
      </c>
      <c r="M336" t="s">
        <v>1671</v>
      </c>
      <c r="O336" t="s">
        <v>1937</v>
      </c>
      <c r="P336" t="s">
        <v>1962</v>
      </c>
      <c r="R336" t="s">
        <v>50</v>
      </c>
      <c r="S336" t="s">
        <v>1670</v>
      </c>
      <c r="U336" t="s">
        <v>1972</v>
      </c>
      <c r="V336" t="s">
        <v>1984</v>
      </c>
      <c r="W336" t="s">
        <v>221</v>
      </c>
      <c r="X336">
        <v>780</v>
      </c>
      <c r="Y336" t="s">
        <v>2009</v>
      </c>
      <c r="Z336" t="s">
        <v>2025</v>
      </c>
      <c r="AB336" t="s">
        <v>13314</v>
      </c>
      <c r="AE336">
        <v>359</v>
      </c>
      <c r="AF336" t="s">
        <v>2902</v>
      </c>
      <c r="AH336">
        <v>21</v>
      </c>
      <c r="AI336">
        <v>2</v>
      </c>
      <c r="AJ336">
        <v>0</v>
      </c>
      <c r="AK336">
        <v>266.11</v>
      </c>
      <c r="AN336" t="s">
        <v>2926</v>
      </c>
      <c r="AO336">
        <v>45000</v>
      </c>
      <c r="AU336" t="s">
        <v>13051</v>
      </c>
      <c r="AW336" t="s">
        <v>3060</v>
      </c>
    </row>
    <row r="337" spans="1:50">
      <c r="A337" s="1" t="s">
        <v>82</v>
      </c>
      <c r="B337" t="s">
        <v>163</v>
      </c>
      <c r="C337" t="s">
        <v>3547</v>
      </c>
      <c r="D337" t="s">
        <v>203</v>
      </c>
      <c r="F337" t="s">
        <v>492</v>
      </c>
      <c r="G337" t="s">
        <v>8036</v>
      </c>
      <c r="H337" t="s">
        <v>9420</v>
      </c>
      <c r="I337" t="s">
        <v>11019</v>
      </c>
      <c r="J337" t="s">
        <v>1644</v>
      </c>
      <c r="K337">
        <v>11233</v>
      </c>
      <c r="L337" t="s">
        <v>1670</v>
      </c>
      <c r="M337" t="s">
        <v>1671</v>
      </c>
      <c r="O337" t="s">
        <v>1938</v>
      </c>
      <c r="P337" t="s">
        <v>1961</v>
      </c>
      <c r="R337" t="s">
        <v>50</v>
      </c>
      <c r="S337" t="s">
        <v>1670</v>
      </c>
      <c r="U337" t="s">
        <v>1972</v>
      </c>
      <c r="V337" t="s">
        <v>1984</v>
      </c>
      <c r="W337" t="s">
        <v>248</v>
      </c>
      <c r="X337">
        <v>780</v>
      </c>
      <c r="Y337" t="s">
        <v>2009</v>
      </c>
      <c r="Z337" t="s">
        <v>2025</v>
      </c>
      <c r="AB337" t="s">
        <v>13314</v>
      </c>
      <c r="AE337">
        <v>359</v>
      </c>
      <c r="AF337" t="s">
        <v>2902</v>
      </c>
      <c r="AH337">
        <v>21</v>
      </c>
      <c r="AI337">
        <v>2</v>
      </c>
      <c r="AJ337">
        <v>0</v>
      </c>
      <c r="AK337">
        <v>266.11</v>
      </c>
      <c r="AN337" t="s">
        <v>2926</v>
      </c>
      <c r="AO337">
        <v>45000</v>
      </c>
      <c r="AP337" t="s">
        <v>18112</v>
      </c>
      <c r="AU337" t="s">
        <v>13051</v>
      </c>
      <c r="AW337" t="s">
        <v>3060</v>
      </c>
    </row>
    <row r="338" spans="1:50">
      <c r="A338" s="1" t="s">
        <v>91</v>
      </c>
      <c r="B338" t="s">
        <v>164</v>
      </c>
      <c r="C338" t="s">
        <v>3548</v>
      </c>
      <c r="D338" t="s">
        <v>313</v>
      </c>
      <c r="E338" t="s">
        <v>272</v>
      </c>
      <c r="F338" t="s">
        <v>6867</v>
      </c>
      <c r="G338" t="s">
        <v>8037</v>
      </c>
      <c r="H338" t="s">
        <v>9535</v>
      </c>
      <c r="I338" t="s">
        <v>11020</v>
      </c>
      <c r="J338" t="s">
        <v>1641</v>
      </c>
      <c r="K338">
        <v>10463</v>
      </c>
      <c r="L338" t="s">
        <v>1670</v>
      </c>
      <c r="M338" t="s">
        <v>1670</v>
      </c>
      <c r="N338" t="s">
        <v>11916</v>
      </c>
      <c r="O338" t="s">
        <v>1936</v>
      </c>
      <c r="P338" t="s">
        <v>1960</v>
      </c>
      <c r="Q338" t="s">
        <v>1969</v>
      </c>
      <c r="R338" t="s">
        <v>50</v>
      </c>
      <c r="S338" t="s">
        <v>1671</v>
      </c>
      <c r="U338" t="s">
        <v>1972</v>
      </c>
      <c r="W338" t="s">
        <v>313</v>
      </c>
      <c r="X338">
        <v>1250</v>
      </c>
      <c r="Y338" t="s">
        <v>2008</v>
      </c>
      <c r="Z338" t="s">
        <v>2020</v>
      </c>
      <c r="AA338" t="s">
        <v>13061</v>
      </c>
      <c r="AB338" t="s">
        <v>13315</v>
      </c>
      <c r="AD338" t="s">
        <v>15889</v>
      </c>
      <c r="AE338">
        <v>84</v>
      </c>
      <c r="AF338" t="s">
        <v>2902</v>
      </c>
      <c r="AG338" t="s">
        <v>1754</v>
      </c>
      <c r="AH338">
        <v>4</v>
      </c>
      <c r="AI338">
        <v>2</v>
      </c>
      <c r="AJ338">
        <v>0</v>
      </c>
      <c r="AK338">
        <v>266.11</v>
      </c>
      <c r="AL338" t="s">
        <v>390</v>
      </c>
      <c r="AM338" t="s">
        <v>18031</v>
      </c>
      <c r="AN338" t="s">
        <v>2926</v>
      </c>
      <c r="AO338">
        <v>45000</v>
      </c>
      <c r="AU338">
        <v>33</v>
      </c>
      <c r="AV338" t="s">
        <v>188</v>
      </c>
      <c r="AW338" t="s">
        <v>3042</v>
      </c>
      <c r="AX338" t="s">
        <v>18685</v>
      </c>
    </row>
    <row r="339" spans="1:50">
      <c r="A339" s="1" t="s">
        <v>118</v>
      </c>
      <c r="B339" t="s">
        <v>163</v>
      </c>
      <c r="C339" t="s">
        <v>3549</v>
      </c>
      <c r="D339" t="s">
        <v>404</v>
      </c>
      <c r="F339" t="s">
        <v>6956</v>
      </c>
      <c r="G339" t="s">
        <v>8038</v>
      </c>
      <c r="H339" t="s">
        <v>9397</v>
      </c>
      <c r="I339" t="s">
        <v>1544</v>
      </c>
      <c r="J339" t="s">
        <v>1641</v>
      </c>
      <c r="K339">
        <v>10452</v>
      </c>
      <c r="L339" t="s">
        <v>1670</v>
      </c>
      <c r="M339" t="s">
        <v>1672</v>
      </c>
      <c r="O339" t="s">
        <v>1938</v>
      </c>
      <c r="P339" t="s">
        <v>1961</v>
      </c>
      <c r="R339" t="s">
        <v>50</v>
      </c>
      <c r="S339" t="s">
        <v>1670</v>
      </c>
      <c r="U339" t="s">
        <v>1972</v>
      </c>
      <c r="W339" t="s">
        <v>1991</v>
      </c>
      <c r="X339">
        <v>837</v>
      </c>
      <c r="Y339" t="s">
        <v>2006</v>
      </c>
      <c r="Z339" t="s">
        <v>2015</v>
      </c>
      <c r="AB339" t="s">
        <v>13316</v>
      </c>
      <c r="AD339" t="s">
        <v>15890</v>
      </c>
      <c r="AE339">
        <v>52</v>
      </c>
      <c r="AF339" t="s">
        <v>2902</v>
      </c>
      <c r="AG339" t="s">
        <v>1754</v>
      </c>
      <c r="AH339">
        <v>17</v>
      </c>
      <c r="AI339">
        <v>1</v>
      </c>
      <c r="AJ339">
        <v>1</v>
      </c>
      <c r="AK339">
        <v>266.11</v>
      </c>
      <c r="AN339" t="s">
        <v>2926</v>
      </c>
      <c r="AO339">
        <v>45000</v>
      </c>
      <c r="AU339" t="s">
        <v>13051</v>
      </c>
      <c r="AW339" t="s">
        <v>3045</v>
      </c>
      <c r="AX339" t="s">
        <v>18685</v>
      </c>
    </row>
    <row r="340" spans="1:50">
      <c r="A340" s="1" t="s">
        <v>99</v>
      </c>
      <c r="B340" t="s">
        <v>164</v>
      </c>
      <c r="C340" t="s">
        <v>3550</v>
      </c>
      <c r="D340" t="s">
        <v>342</v>
      </c>
      <c r="E340" t="s">
        <v>218</v>
      </c>
      <c r="F340" t="s">
        <v>6957</v>
      </c>
      <c r="G340" t="s">
        <v>8039</v>
      </c>
      <c r="H340" t="s">
        <v>9536</v>
      </c>
      <c r="I340" t="s">
        <v>1587</v>
      </c>
      <c r="J340" t="s">
        <v>11740</v>
      </c>
      <c r="K340">
        <v>11694</v>
      </c>
      <c r="L340" t="s">
        <v>1670</v>
      </c>
      <c r="M340" t="s">
        <v>1670</v>
      </c>
      <c r="N340" t="s">
        <v>1691</v>
      </c>
      <c r="O340" t="s">
        <v>1675</v>
      </c>
      <c r="P340" t="s">
        <v>1958</v>
      </c>
      <c r="Q340" t="s">
        <v>1965</v>
      </c>
      <c r="R340" t="s">
        <v>51</v>
      </c>
      <c r="S340" t="s">
        <v>1671</v>
      </c>
      <c r="U340" t="s">
        <v>1972</v>
      </c>
      <c r="V340" t="s">
        <v>1984</v>
      </c>
      <c r="W340" t="s">
        <v>342</v>
      </c>
      <c r="X340">
        <v>1695</v>
      </c>
      <c r="Y340" t="s">
        <v>2007</v>
      </c>
      <c r="Z340" t="s">
        <v>2012</v>
      </c>
      <c r="AA340" t="s">
        <v>2029</v>
      </c>
      <c r="AB340" t="s">
        <v>13317</v>
      </c>
      <c r="AD340" t="s">
        <v>15891</v>
      </c>
      <c r="AE340">
        <v>72</v>
      </c>
      <c r="AF340" t="s">
        <v>2904</v>
      </c>
      <c r="AG340" t="s">
        <v>1754</v>
      </c>
      <c r="AH340">
        <v>1</v>
      </c>
      <c r="AI340">
        <v>1</v>
      </c>
      <c r="AJ340">
        <v>1</v>
      </c>
      <c r="AK340">
        <v>267.31</v>
      </c>
      <c r="AL340" t="s">
        <v>2923</v>
      </c>
      <c r="AM340" t="s">
        <v>2924</v>
      </c>
      <c r="AN340" t="s">
        <v>2926</v>
      </c>
      <c r="AO340">
        <v>44000</v>
      </c>
      <c r="AU340">
        <v>1.02</v>
      </c>
      <c r="AV340" t="s">
        <v>218</v>
      </c>
      <c r="AW340" t="s">
        <v>99</v>
      </c>
    </row>
    <row r="341" spans="1:50">
      <c r="A341" s="1" t="s">
        <v>3161</v>
      </c>
      <c r="B341" t="s">
        <v>164</v>
      </c>
      <c r="C341" t="s">
        <v>3551</v>
      </c>
      <c r="D341" t="s">
        <v>387</v>
      </c>
      <c r="E341" t="s">
        <v>352</v>
      </c>
      <c r="F341" t="s">
        <v>6802</v>
      </c>
      <c r="G341" t="s">
        <v>8040</v>
      </c>
      <c r="H341" t="s">
        <v>9537</v>
      </c>
      <c r="I341" t="s">
        <v>11021</v>
      </c>
      <c r="J341" t="s">
        <v>1643</v>
      </c>
      <c r="K341">
        <v>10011</v>
      </c>
      <c r="L341" t="s">
        <v>1670</v>
      </c>
      <c r="M341" t="s">
        <v>1670</v>
      </c>
      <c r="N341" t="s">
        <v>11917</v>
      </c>
      <c r="O341" t="s">
        <v>1940</v>
      </c>
      <c r="P341" t="s">
        <v>1958</v>
      </c>
      <c r="Q341" t="s">
        <v>1965</v>
      </c>
      <c r="R341" t="s">
        <v>50</v>
      </c>
      <c r="S341" t="s">
        <v>1671</v>
      </c>
      <c r="U341" t="s">
        <v>1972</v>
      </c>
      <c r="W341" t="s">
        <v>387</v>
      </c>
      <c r="X341">
        <v>1733</v>
      </c>
      <c r="Y341" t="s">
        <v>2008</v>
      </c>
      <c r="Z341" t="s">
        <v>2020</v>
      </c>
      <c r="AA341" t="s">
        <v>2029</v>
      </c>
      <c r="AB341" t="s">
        <v>13318</v>
      </c>
      <c r="AD341" t="s">
        <v>15892</v>
      </c>
      <c r="AE341" t="s">
        <v>13051</v>
      </c>
      <c r="AF341" t="s">
        <v>2902</v>
      </c>
      <c r="AG341" t="s">
        <v>1754</v>
      </c>
      <c r="AH341">
        <v>4</v>
      </c>
      <c r="AI341">
        <v>1</v>
      </c>
      <c r="AJ341">
        <v>0</v>
      </c>
      <c r="AK341">
        <v>267.71</v>
      </c>
      <c r="AL341" t="s">
        <v>340</v>
      </c>
      <c r="AM341" t="s">
        <v>18031</v>
      </c>
      <c r="AN341" t="s">
        <v>2926</v>
      </c>
      <c r="AO341">
        <v>32500</v>
      </c>
      <c r="AU341">
        <v>4.65</v>
      </c>
      <c r="AV341" t="s">
        <v>340</v>
      </c>
      <c r="AW341" t="s">
        <v>3048</v>
      </c>
    </row>
    <row r="342" spans="1:50">
      <c r="A342" s="1" t="s">
        <v>103</v>
      </c>
      <c r="B342" t="s">
        <v>163</v>
      </c>
      <c r="C342" t="s">
        <v>3552</v>
      </c>
      <c r="D342" t="s">
        <v>188</v>
      </c>
      <c r="F342" t="s">
        <v>6958</v>
      </c>
      <c r="G342" t="s">
        <v>909</v>
      </c>
      <c r="H342" t="s">
        <v>9538</v>
      </c>
      <c r="I342" t="s">
        <v>1578</v>
      </c>
      <c r="J342" t="s">
        <v>1644</v>
      </c>
      <c r="K342">
        <v>11208</v>
      </c>
      <c r="L342" t="s">
        <v>1670</v>
      </c>
      <c r="M342" t="s">
        <v>1672</v>
      </c>
      <c r="N342" t="s">
        <v>11918</v>
      </c>
      <c r="O342" t="s">
        <v>1936</v>
      </c>
      <c r="P342" t="s">
        <v>1960</v>
      </c>
      <c r="R342" t="s">
        <v>50</v>
      </c>
      <c r="S342" t="s">
        <v>1671</v>
      </c>
      <c r="U342" t="s">
        <v>1972</v>
      </c>
      <c r="W342" t="s">
        <v>1995</v>
      </c>
      <c r="X342">
        <v>744.58</v>
      </c>
      <c r="Y342" t="s">
        <v>2009</v>
      </c>
      <c r="AB342" t="s">
        <v>13319</v>
      </c>
      <c r="AD342" t="s">
        <v>15893</v>
      </c>
      <c r="AE342" t="s">
        <v>13051</v>
      </c>
      <c r="AF342" t="s">
        <v>2902</v>
      </c>
      <c r="AG342" t="s">
        <v>2915</v>
      </c>
      <c r="AH342">
        <v>42</v>
      </c>
      <c r="AI342">
        <v>1</v>
      </c>
      <c r="AJ342">
        <v>0</v>
      </c>
      <c r="AK342">
        <v>268.78</v>
      </c>
      <c r="AN342" t="s">
        <v>2926</v>
      </c>
      <c r="AO342">
        <v>33570</v>
      </c>
      <c r="AU342">
        <v>9.5</v>
      </c>
      <c r="AV342" t="s">
        <v>397</v>
      </c>
      <c r="AW342" t="s">
        <v>3059</v>
      </c>
      <c r="AX342" t="s">
        <v>18685</v>
      </c>
    </row>
    <row r="343" spans="1:50">
      <c r="A343" s="1" t="s">
        <v>94</v>
      </c>
      <c r="B343" t="s">
        <v>164</v>
      </c>
      <c r="C343" t="s">
        <v>3553</v>
      </c>
      <c r="D343" t="s">
        <v>6138</v>
      </c>
      <c r="E343" t="s">
        <v>247</v>
      </c>
      <c r="F343" t="s">
        <v>521</v>
      </c>
      <c r="G343" t="s">
        <v>8041</v>
      </c>
      <c r="H343" t="s">
        <v>9539</v>
      </c>
      <c r="I343" t="s">
        <v>1508</v>
      </c>
      <c r="J343" t="s">
        <v>1643</v>
      </c>
      <c r="K343">
        <v>10034</v>
      </c>
      <c r="L343" t="s">
        <v>1670</v>
      </c>
      <c r="M343" t="s">
        <v>1671</v>
      </c>
      <c r="O343" t="s">
        <v>1940</v>
      </c>
      <c r="P343" t="s">
        <v>1960</v>
      </c>
      <c r="Q343" t="s">
        <v>1969</v>
      </c>
      <c r="R343" t="s">
        <v>50</v>
      </c>
      <c r="S343" t="s">
        <v>1671</v>
      </c>
      <c r="U343" t="s">
        <v>1972</v>
      </c>
      <c r="W343" t="s">
        <v>6138</v>
      </c>
      <c r="X343">
        <v>1286</v>
      </c>
      <c r="Y343" t="s">
        <v>2008</v>
      </c>
      <c r="Z343" t="s">
        <v>2028</v>
      </c>
      <c r="AA343" t="s">
        <v>2032</v>
      </c>
      <c r="AB343" t="s">
        <v>13320</v>
      </c>
      <c r="AE343" t="s">
        <v>13051</v>
      </c>
      <c r="AF343" t="s">
        <v>2902</v>
      </c>
      <c r="AH343">
        <v>23</v>
      </c>
      <c r="AI343">
        <v>3</v>
      </c>
      <c r="AJ343">
        <v>1</v>
      </c>
      <c r="AK343">
        <v>269.32</v>
      </c>
      <c r="AL343" t="s">
        <v>340</v>
      </c>
      <c r="AM343" t="s">
        <v>18031</v>
      </c>
      <c r="AN343" t="s">
        <v>2927</v>
      </c>
      <c r="AO343">
        <v>67600</v>
      </c>
      <c r="AU343">
        <v>9.050000000000001</v>
      </c>
      <c r="AV343" t="s">
        <v>247</v>
      </c>
      <c r="AW343" t="s">
        <v>94</v>
      </c>
    </row>
    <row r="344" spans="1:50">
      <c r="A344" s="1" t="s">
        <v>3162</v>
      </c>
      <c r="B344" t="s">
        <v>163</v>
      </c>
      <c r="C344" t="s">
        <v>3554</v>
      </c>
      <c r="D344" t="s">
        <v>242</v>
      </c>
      <c r="F344" t="s">
        <v>6959</v>
      </c>
      <c r="G344" t="s">
        <v>914</v>
      </c>
      <c r="H344" t="s">
        <v>9540</v>
      </c>
      <c r="I344" t="s">
        <v>1477</v>
      </c>
      <c r="J344" t="s">
        <v>1644</v>
      </c>
      <c r="K344">
        <v>11217</v>
      </c>
      <c r="L344" t="s">
        <v>1670</v>
      </c>
      <c r="M344" t="s">
        <v>1670</v>
      </c>
      <c r="N344" t="s">
        <v>11919</v>
      </c>
      <c r="O344" t="s">
        <v>1936</v>
      </c>
      <c r="P344" t="s">
        <v>1960</v>
      </c>
      <c r="R344" t="s">
        <v>50</v>
      </c>
      <c r="U344" t="s">
        <v>1972</v>
      </c>
      <c r="W344" t="s">
        <v>298</v>
      </c>
      <c r="X344" t="s">
        <v>13051</v>
      </c>
      <c r="Y344" t="s">
        <v>2009</v>
      </c>
      <c r="AB344" t="s">
        <v>13321</v>
      </c>
      <c r="AD344" t="s">
        <v>15894</v>
      </c>
      <c r="AE344">
        <v>8</v>
      </c>
      <c r="AF344" t="s">
        <v>2902</v>
      </c>
      <c r="AH344" t="s">
        <v>13051</v>
      </c>
      <c r="AI344">
        <v>2</v>
      </c>
      <c r="AJ344">
        <v>0</v>
      </c>
      <c r="AK344">
        <v>269.74</v>
      </c>
      <c r="AL344" t="s">
        <v>340</v>
      </c>
      <c r="AM344" t="s">
        <v>18031</v>
      </c>
      <c r="AN344" t="s">
        <v>2926</v>
      </c>
      <c r="AO344">
        <v>44400</v>
      </c>
      <c r="AU344">
        <v>31.55</v>
      </c>
      <c r="AV344" t="s">
        <v>399</v>
      </c>
      <c r="AW344" t="s">
        <v>69</v>
      </c>
      <c r="AX344" t="s">
        <v>18685</v>
      </c>
    </row>
    <row r="345" spans="1:50">
      <c r="A345" s="1" t="s">
        <v>100</v>
      </c>
      <c r="B345" t="s">
        <v>164</v>
      </c>
      <c r="C345" t="s">
        <v>3555</v>
      </c>
      <c r="D345" t="s">
        <v>354</v>
      </c>
      <c r="E345" t="s">
        <v>354</v>
      </c>
      <c r="F345" t="s">
        <v>6851</v>
      </c>
      <c r="G345" t="s">
        <v>8042</v>
      </c>
      <c r="H345" t="s">
        <v>9541</v>
      </c>
      <c r="I345">
        <v>33</v>
      </c>
      <c r="J345" t="s">
        <v>1643</v>
      </c>
      <c r="K345">
        <v>10034</v>
      </c>
      <c r="L345" t="s">
        <v>1670</v>
      </c>
      <c r="M345" t="s">
        <v>1672</v>
      </c>
      <c r="O345" t="s">
        <v>1941</v>
      </c>
      <c r="P345" t="s">
        <v>1962</v>
      </c>
      <c r="Q345" t="s">
        <v>1968</v>
      </c>
      <c r="R345" t="s">
        <v>50</v>
      </c>
      <c r="S345" t="s">
        <v>1671</v>
      </c>
      <c r="U345" t="s">
        <v>1972</v>
      </c>
      <c r="W345" t="s">
        <v>354</v>
      </c>
      <c r="X345">
        <v>905.47</v>
      </c>
      <c r="Y345" t="s">
        <v>2008</v>
      </c>
      <c r="Z345" t="s">
        <v>2020</v>
      </c>
      <c r="AA345" t="s">
        <v>2034</v>
      </c>
      <c r="AB345" t="s">
        <v>13322</v>
      </c>
      <c r="AD345" t="s">
        <v>15895</v>
      </c>
      <c r="AE345">
        <v>20</v>
      </c>
      <c r="AF345" t="s">
        <v>2902</v>
      </c>
      <c r="AG345" t="s">
        <v>1754</v>
      </c>
      <c r="AH345">
        <v>48</v>
      </c>
      <c r="AI345">
        <v>3</v>
      </c>
      <c r="AJ345">
        <v>0</v>
      </c>
      <c r="AK345">
        <v>269.97</v>
      </c>
      <c r="AN345" t="s">
        <v>2926</v>
      </c>
      <c r="AO345">
        <v>57584</v>
      </c>
      <c r="AU345">
        <v>0.1</v>
      </c>
      <c r="AV345" t="s">
        <v>354</v>
      </c>
      <c r="AW345" t="s">
        <v>3042</v>
      </c>
      <c r="AX345" t="s">
        <v>18685</v>
      </c>
    </row>
    <row r="346" spans="1:50">
      <c r="A346" s="1" t="s">
        <v>58</v>
      </c>
      <c r="B346" t="s">
        <v>163</v>
      </c>
      <c r="C346" t="s">
        <v>3556</v>
      </c>
      <c r="D346" t="s">
        <v>171</v>
      </c>
      <c r="F346" t="s">
        <v>6960</v>
      </c>
      <c r="G346" t="s">
        <v>8043</v>
      </c>
      <c r="H346" t="s">
        <v>1113</v>
      </c>
      <c r="I346" t="s">
        <v>1534</v>
      </c>
      <c r="J346" t="s">
        <v>1641</v>
      </c>
      <c r="K346">
        <v>10452</v>
      </c>
      <c r="L346" t="s">
        <v>1670</v>
      </c>
      <c r="M346" t="s">
        <v>1672</v>
      </c>
      <c r="O346" t="s">
        <v>1938</v>
      </c>
      <c r="P346" t="s">
        <v>1962</v>
      </c>
      <c r="R346" t="s">
        <v>50</v>
      </c>
      <c r="S346" t="s">
        <v>1670</v>
      </c>
      <c r="U346" t="s">
        <v>1972</v>
      </c>
      <c r="W346" t="s">
        <v>293</v>
      </c>
      <c r="X346">
        <v>1800</v>
      </c>
      <c r="Y346" t="s">
        <v>2006</v>
      </c>
      <c r="Z346" t="s">
        <v>2016</v>
      </c>
      <c r="AB346" t="s">
        <v>13323</v>
      </c>
      <c r="AD346" t="s">
        <v>15896</v>
      </c>
      <c r="AE346">
        <v>41</v>
      </c>
      <c r="AF346" t="s">
        <v>2904</v>
      </c>
      <c r="AG346" t="s">
        <v>1754</v>
      </c>
      <c r="AH346">
        <v>6</v>
      </c>
      <c r="AI346">
        <v>3</v>
      </c>
      <c r="AJ346">
        <v>0</v>
      </c>
      <c r="AK346">
        <v>270.04</v>
      </c>
      <c r="AN346" t="s">
        <v>2927</v>
      </c>
      <c r="AO346">
        <v>57600</v>
      </c>
      <c r="AU346" t="s">
        <v>13051</v>
      </c>
      <c r="AW346" t="s">
        <v>3046</v>
      </c>
      <c r="AX346" t="s">
        <v>18685</v>
      </c>
    </row>
    <row r="347" spans="1:50">
      <c r="A347" s="1" t="s">
        <v>3163</v>
      </c>
      <c r="B347" t="s">
        <v>163</v>
      </c>
      <c r="C347" t="s">
        <v>3557</v>
      </c>
      <c r="D347" t="s">
        <v>217</v>
      </c>
      <c r="F347" t="s">
        <v>6851</v>
      </c>
      <c r="G347" t="s">
        <v>8042</v>
      </c>
      <c r="H347" t="s">
        <v>9541</v>
      </c>
      <c r="I347">
        <v>33</v>
      </c>
      <c r="J347" t="s">
        <v>1643</v>
      </c>
      <c r="K347">
        <v>10034</v>
      </c>
      <c r="L347" t="s">
        <v>1670</v>
      </c>
      <c r="M347" t="s">
        <v>1670</v>
      </c>
      <c r="O347" t="s">
        <v>1941</v>
      </c>
      <c r="P347" t="s">
        <v>1959</v>
      </c>
      <c r="R347" t="s">
        <v>50</v>
      </c>
      <c r="S347" t="s">
        <v>1670</v>
      </c>
      <c r="U347" t="s">
        <v>1972</v>
      </c>
      <c r="W347" t="s">
        <v>212</v>
      </c>
      <c r="X347">
        <v>905.47</v>
      </c>
      <c r="Y347" t="s">
        <v>2008</v>
      </c>
      <c r="Z347" t="s">
        <v>2016</v>
      </c>
      <c r="AB347" t="s">
        <v>13322</v>
      </c>
      <c r="AD347" t="s">
        <v>15895</v>
      </c>
      <c r="AE347">
        <v>20</v>
      </c>
      <c r="AF347" t="s">
        <v>2902</v>
      </c>
      <c r="AH347">
        <v>48</v>
      </c>
      <c r="AI347">
        <v>3</v>
      </c>
      <c r="AJ347">
        <v>0</v>
      </c>
      <c r="AK347">
        <v>270.04</v>
      </c>
      <c r="AL347" t="s">
        <v>2923</v>
      </c>
      <c r="AM347" t="s">
        <v>2924</v>
      </c>
      <c r="AN347" t="s">
        <v>2926</v>
      </c>
      <c r="AO347">
        <v>57600</v>
      </c>
      <c r="AU347" t="s">
        <v>13051</v>
      </c>
      <c r="AW347" t="s">
        <v>3065</v>
      </c>
    </row>
    <row r="348" spans="1:50">
      <c r="A348" s="1" t="s">
        <v>3164</v>
      </c>
      <c r="B348" t="s">
        <v>164</v>
      </c>
      <c r="C348" t="s">
        <v>3558</v>
      </c>
      <c r="D348" t="s">
        <v>227</v>
      </c>
      <c r="E348" t="s">
        <v>243</v>
      </c>
      <c r="F348" t="s">
        <v>427</v>
      </c>
      <c r="G348" t="s">
        <v>8044</v>
      </c>
      <c r="H348" t="s">
        <v>9542</v>
      </c>
      <c r="I348" t="s">
        <v>1578</v>
      </c>
      <c r="J348" t="s">
        <v>1643</v>
      </c>
      <c r="K348">
        <v>10031</v>
      </c>
      <c r="L348" t="s">
        <v>1670</v>
      </c>
      <c r="M348" t="s">
        <v>1670</v>
      </c>
      <c r="N348" t="s">
        <v>11920</v>
      </c>
      <c r="O348" t="s">
        <v>1937</v>
      </c>
      <c r="P348" t="s">
        <v>1958</v>
      </c>
      <c r="Q348" t="s">
        <v>1965</v>
      </c>
      <c r="R348" t="s">
        <v>50</v>
      </c>
      <c r="S348" t="s">
        <v>1671</v>
      </c>
      <c r="U348" t="s">
        <v>1972</v>
      </c>
      <c r="W348" t="s">
        <v>227</v>
      </c>
      <c r="X348">
        <v>2318</v>
      </c>
      <c r="Y348" t="s">
        <v>2008</v>
      </c>
      <c r="Z348" t="s">
        <v>2013</v>
      </c>
      <c r="AA348" t="s">
        <v>2029</v>
      </c>
      <c r="AB348" t="s">
        <v>13324</v>
      </c>
      <c r="AD348" t="s">
        <v>15897</v>
      </c>
      <c r="AE348" t="s">
        <v>13051</v>
      </c>
      <c r="AF348" t="s">
        <v>2904</v>
      </c>
      <c r="AH348">
        <v>13</v>
      </c>
      <c r="AI348">
        <v>5</v>
      </c>
      <c r="AJ348">
        <v>2</v>
      </c>
      <c r="AK348">
        <v>270.52</v>
      </c>
      <c r="AN348" t="s">
        <v>2927</v>
      </c>
      <c r="AO348">
        <v>102960</v>
      </c>
      <c r="AU348">
        <v>0.1</v>
      </c>
      <c r="AV348" t="s">
        <v>243</v>
      </c>
      <c r="AW348" t="s">
        <v>3051</v>
      </c>
    </row>
    <row r="349" spans="1:50">
      <c r="A349" s="1" t="s">
        <v>99</v>
      </c>
      <c r="B349" t="s">
        <v>164</v>
      </c>
      <c r="C349" t="s">
        <v>3559</v>
      </c>
      <c r="D349" t="s">
        <v>199</v>
      </c>
      <c r="E349" t="s">
        <v>199</v>
      </c>
      <c r="F349" t="s">
        <v>6961</v>
      </c>
      <c r="G349" t="s">
        <v>835</v>
      </c>
      <c r="H349" t="s">
        <v>9543</v>
      </c>
      <c r="I349" t="s">
        <v>1522</v>
      </c>
      <c r="J349" t="s">
        <v>1647</v>
      </c>
      <c r="K349">
        <v>11435</v>
      </c>
      <c r="L349" t="s">
        <v>1670</v>
      </c>
      <c r="M349" t="s">
        <v>1670</v>
      </c>
      <c r="N349" t="s">
        <v>11921</v>
      </c>
      <c r="O349" t="s">
        <v>1940</v>
      </c>
      <c r="P349" t="s">
        <v>1958</v>
      </c>
      <c r="Q349" t="s">
        <v>1965</v>
      </c>
      <c r="R349" t="s">
        <v>51</v>
      </c>
      <c r="S349" t="s">
        <v>1671</v>
      </c>
      <c r="U349" t="s">
        <v>1972</v>
      </c>
      <c r="V349" t="s">
        <v>1984</v>
      </c>
      <c r="W349" t="s">
        <v>199</v>
      </c>
      <c r="X349">
        <v>1600</v>
      </c>
      <c r="Y349" t="s">
        <v>2007</v>
      </c>
      <c r="Z349" t="s">
        <v>2012</v>
      </c>
      <c r="AA349" t="s">
        <v>2029</v>
      </c>
      <c r="AB349" t="s">
        <v>13325</v>
      </c>
      <c r="AC349" t="s">
        <v>15077</v>
      </c>
      <c r="AD349" t="s">
        <v>15898</v>
      </c>
      <c r="AE349">
        <v>252</v>
      </c>
      <c r="AF349" t="s">
        <v>2902</v>
      </c>
      <c r="AG349" t="s">
        <v>1754</v>
      </c>
      <c r="AH349">
        <v>1</v>
      </c>
      <c r="AI349">
        <v>1</v>
      </c>
      <c r="AJ349">
        <v>0</v>
      </c>
      <c r="AK349">
        <v>270.62</v>
      </c>
      <c r="AL349" t="s">
        <v>2923</v>
      </c>
      <c r="AM349" t="s">
        <v>2924</v>
      </c>
      <c r="AN349" t="s">
        <v>2926</v>
      </c>
      <c r="AO349">
        <v>33800</v>
      </c>
      <c r="AU349">
        <v>2.1</v>
      </c>
      <c r="AV349" t="s">
        <v>3036</v>
      </c>
      <c r="AW349" t="s">
        <v>99</v>
      </c>
    </row>
    <row r="350" spans="1:50">
      <c r="A350" s="1" t="s">
        <v>82</v>
      </c>
      <c r="B350" t="s">
        <v>163</v>
      </c>
      <c r="C350" t="s">
        <v>3560</v>
      </c>
      <c r="D350" t="s">
        <v>181</v>
      </c>
      <c r="F350" t="s">
        <v>533</v>
      </c>
      <c r="G350" t="s">
        <v>8045</v>
      </c>
      <c r="H350" t="s">
        <v>9420</v>
      </c>
      <c r="I350" t="s">
        <v>11022</v>
      </c>
      <c r="J350" t="s">
        <v>1644</v>
      </c>
      <c r="K350">
        <v>11233</v>
      </c>
      <c r="L350" t="s">
        <v>1670</v>
      </c>
      <c r="M350" t="s">
        <v>1671</v>
      </c>
      <c r="N350" t="s">
        <v>1754</v>
      </c>
      <c r="O350" t="s">
        <v>1937</v>
      </c>
      <c r="P350" t="s">
        <v>1962</v>
      </c>
      <c r="R350" t="s">
        <v>50</v>
      </c>
      <c r="S350" t="s">
        <v>1670</v>
      </c>
      <c r="U350" t="s">
        <v>1972</v>
      </c>
      <c r="V350" t="s">
        <v>1984</v>
      </c>
      <c r="W350" t="s">
        <v>221</v>
      </c>
      <c r="X350">
        <v>811.37</v>
      </c>
      <c r="Y350" t="s">
        <v>2009</v>
      </c>
      <c r="AB350" t="s">
        <v>13326</v>
      </c>
      <c r="AE350">
        <v>359</v>
      </c>
      <c r="AF350" t="s">
        <v>2902</v>
      </c>
      <c r="AH350">
        <v>20</v>
      </c>
      <c r="AI350">
        <v>2</v>
      </c>
      <c r="AJ350">
        <v>0</v>
      </c>
      <c r="AK350">
        <v>271.41</v>
      </c>
      <c r="AL350" t="s">
        <v>365</v>
      </c>
      <c r="AM350" t="s">
        <v>18031</v>
      </c>
      <c r="AN350" t="s">
        <v>2926</v>
      </c>
      <c r="AO350">
        <v>45895</v>
      </c>
      <c r="AP350" t="s">
        <v>18113</v>
      </c>
      <c r="AU350" t="s">
        <v>13051</v>
      </c>
      <c r="AW350" t="s">
        <v>3060</v>
      </c>
    </row>
    <row r="351" spans="1:50">
      <c r="A351" s="1" t="s">
        <v>82</v>
      </c>
      <c r="B351" t="s">
        <v>163</v>
      </c>
      <c r="C351" t="s">
        <v>3561</v>
      </c>
      <c r="D351" t="s">
        <v>181</v>
      </c>
      <c r="F351" t="s">
        <v>533</v>
      </c>
      <c r="G351" t="s">
        <v>8045</v>
      </c>
      <c r="H351" t="s">
        <v>9420</v>
      </c>
      <c r="I351" t="s">
        <v>11022</v>
      </c>
      <c r="J351" t="s">
        <v>1644</v>
      </c>
      <c r="K351">
        <v>11233</v>
      </c>
      <c r="L351" t="s">
        <v>1670</v>
      </c>
      <c r="M351" t="s">
        <v>1671</v>
      </c>
      <c r="O351" t="s">
        <v>1938</v>
      </c>
      <c r="P351" t="s">
        <v>1961</v>
      </c>
      <c r="R351" t="s">
        <v>50</v>
      </c>
      <c r="S351" t="s">
        <v>1670</v>
      </c>
      <c r="U351" t="s">
        <v>1972</v>
      </c>
      <c r="V351" t="s">
        <v>1984</v>
      </c>
      <c r="W351" t="s">
        <v>248</v>
      </c>
      <c r="X351">
        <v>811.37</v>
      </c>
      <c r="Y351" t="s">
        <v>2009</v>
      </c>
      <c r="AB351" t="s">
        <v>13326</v>
      </c>
      <c r="AE351">
        <v>359</v>
      </c>
      <c r="AF351" t="s">
        <v>2902</v>
      </c>
      <c r="AH351">
        <v>20</v>
      </c>
      <c r="AI351">
        <v>2</v>
      </c>
      <c r="AJ351">
        <v>0</v>
      </c>
      <c r="AK351">
        <v>271.41</v>
      </c>
      <c r="AL351" t="s">
        <v>365</v>
      </c>
      <c r="AM351" t="s">
        <v>18031</v>
      </c>
      <c r="AN351" t="s">
        <v>2926</v>
      </c>
      <c r="AO351">
        <v>45895</v>
      </c>
      <c r="AP351" t="s">
        <v>18076</v>
      </c>
      <c r="AU351" t="s">
        <v>13051</v>
      </c>
      <c r="AW351" t="s">
        <v>3060</v>
      </c>
    </row>
    <row r="352" spans="1:50">
      <c r="A352" s="1" t="s">
        <v>64</v>
      </c>
      <c r="B352" t="s">
        <v>163</v>
      </c>
      <c r="C352" t="s">
        <v>3562</v>
      </c>
      <c r="D352" t="s">
        <v>213</v>
      </c>
      <c r="F352" t="s">
        <v>6962</v>
      </c>
      <c r="G352" t="s">
        <v>8046</v>
      </c>
      <c r="H352" t="s">
        <v>9544</v>
      </c>
      <c r="I352">
        <v>402</v>
      </c>
      <c r="J352" t="s">
        <v>1643</v>
      </c>
      <c r="K352">
        <v>10033</v>
      </c>
      <c r="L352" t="s">
        <v>1670</v>
      </c>
      <c r="M352" t="s">
        <v>1670</v>
      </c>
      <c r="N352" t="s">
        <v>11922</v>
      </c>
      <c r="O352" t="s">
        <v>1941</v>
      </c>
      <c r="P352" t="s">
        <v>1963</v>
      </c>
      <c r="R352" t="s">
        <v>50</v>
      </c>
      <c r="S352" t="s">
        <v>1671</v>
      </c>
      <c r="U352" t="s">
        <v>1972</v>
      </c>
      <c r="W352" t="s">
        <v>213</v>
      </c>
      <c r="X352">
        <v>877.1</v>
      </c>
      <c r="Y352" t="s">
        <v>2008</v>
      </c>
      <c r="Z352" t="s">
        <v>2013</v>
      </c>
      <c r="AB352" t="s">
        <v>13327</v>
      </c>
      <c r="AE352">
        <v>52</v>
      </c>
      <c r="AF352" t="s">
        <v>2902</v>
      </c>
      <c r="AG352" t="s">
        <v>2919</v>
      </c>
      <c r="AH352">
        <v>9</v>
      </c>
      <c r="AI352">
        <v>5</v>
      </c>
      <c r="AJ352">
        <v>1</v>
      </c>
      <c r="AK352">
        <v>271.75</v>
      </c>
      <c r="AN352" t="s">
        <v>2927</v>
      </c>
      <c r="AO352">
        <v>94000</v>
      </c>
      <c r="AU352">
        <v>4.4</v>
      </c>
      <c r="AV352" t="s">
        <v>291</v>
      </c>
      <c r="AW352" t="s">
        <v>3042</v>
      </c>
    </row>
    <row r="353" spans="1:50">
      <c r="A353" s="1" t="s">
        <v>97</v>
      </c>
      <c r="B353" t="s">
        <v>163</v>
      </c>
      <c r="C353" t="s">
        <v>3563</v>
      </c>
      <c r="D353" t="s">
        <v>313</v>
      </c>
      <c r="F353" t="s">
        <v>438</v>
      </c>
      <c r="G353" t="s">
        <v>7981</v>
      </c>
      <c r="H353" t="s">
        <v>1244</v>
      </c>
      <c r="I353">
        <v>34</v>
      </c>
      <c r="J353" t="s">
        <v>1643</v>
      </c>
      <c r="K353">
        <v>10034</v>
      </c>
      <c r="L353" t="s">
        <v>1670</v>
      </c>
      <c r="M353" t="s">
        <v>1670</v>
      </c>
      <c r="N353" t="s">
        <v>1771</v>
      </c>
      <c r="O353" t="s">
        <v>1939</v>
      </c>
      <c r="P353" t="s">
        <v>1960</v>
      </c>
      <c r="R353" t="s">
        <v>50</v>
      </c>
      <c r="S353" t="s">
        <v>1670</v>
      </c>
      <c r="U353" t="s">
        <v>1972</v>
      </c>
      <c r="W353" t="s">
        <v>313</v>
      </c>
      <c r="X353">
        <v>967.59</v>
      </c>
      <c r="Y353" t="s">
        <v>2008</v>
      </c>
      <c r="Z353" t="s">
        <v>2013</v>
      </c>
      <c r="AB353" t="s">
        <v>13328</v>
      </c>
      <c r="AD353" t="s">
        <v>15899</v>
      </c>
      <c r="AE353">
        <v>25</v>
      </c>
      <c r="AF353" t="s">
        <v>2902</v>
      </c>
      <c r="AG353" t="s">
        <v>1754</v>
      </c>
      <c r="AH353">
        <v>35</v>
      </c>
      <c r="AI353">
        <v>3</v>
      </c>
      <c r="AJ353">
        <v>0</v>
      </c>
      <c r="AK353">
        <v>271.8</v>
      </c>
      <c r="AN353" t="s">
        <v>2927</v>
      </c>
      <c r="AO353">
        <v>57975.48</v>
      </c>
      <c r="AU353" t="s">
        <v>13051</v>
      </c>
      <c r="AW353" t="s">
        <v>3042</v>
      </c>
    </row>
    <row r="354" spans="1:50">
      <c r="A354" s="1" t="s">
        <v>84</v>
      </c>
      <c r="B354" t="s">
        <v>164</v>
      </c>
      <c r="C354" t="s">
        <v>3564</v>
      </c>
      <c r="D354" t="s">
        <v>363</v>
      </c>
      <c r="E354" t="s">
        <v>6160</v>
      </c>
      <c r="F354" t="s">
        <v>6963</v>
      </c>
      <c r="G354" t="s">
        <v>8047</v>
      </c>
      <c r="H354" t="s">
        <v>9545</v>
      </c>
      <c r="I354" t="s">
        <v>11023</v>
      </c>
      <c r="J354" t="s">
        <v>1646</v>
      </c>
      <c r="K354">
        <v>10305</v>
      </c>
      <c r="L354" t="s">
        <v>1670</v>
      </c>
      <c r="M354" t="s">
        <v>1670</v>
      </c>
      <c r="N354" t="s">
        <v>11923</v>
      </c>
      <c r="O354" t="s">
        <v>1936</v>
      </c>
      <c r="P354" t="s">
        <v>1960</v>
      </c>
      <c r="Q354" t="s">
        <v>1969</v>
      </c>
      <c r="R354" t="s">
        <v>50</v>
      </c>
      <c r="S354" t="s">
        <v>1671</v>
      </c>
      <c r="U354" t="s">
        <v>1972</v>
      </c>
      <c r="V354" t="s">
        <v>1984</v>
      </c>
      <c r="W354" t="s">
        <v>363</v>
      </c>
      <c r="X354">
        <v>1245</v>
      </c>
      <c r="Y354" t="s">
        <v>2010</v>
      </c>
      <c r="Z354" t="s">
        <v>2017</v>
      </c>
      <c r="AA354" t="s">
        <v>2032</v>
      </c>
      <c r="AB354" t="s">
        <v>13329</v>
      </c>
      <c r="AC354" t="s">
        <v>1754</v>
      </c>
      <c r="AD354" t="s">
        <v>15900</v>
      </c>
      <c r="AE354">
        <v>136</v>
      </c>
      <c r="AF354" t="s">
        <v>2902</v>
      </c>
      <c r="AG354" t="s">
        <v>1754</v>
      </c>
      <c r="AH354">
        <v>11</v>
      </c>
      <c r="AI354">
        <v>1</v>
      </c>
      <c r="AJ354">
        <v>0</v>
      </c>
      <c r="AK354">
        <v>271.83</v>
      </c>
      <c r="AL354" t="s">
        <v>363</v>
      </c>
      <c r="AM354" t="s">
        <v>18031</v>
      </c>
      <c r="AN354" t="s">
        <v>2926</v>
      </c>
      <c r="AO354">
        <v>33000</v>
      </c>
      <c r="AQ354" t="s">
        <v>2979</v>
      </c>
      <c r="AR354" t="s">
        <v>2982</v>
      </c>
      <c r="AS354" t="s">
        <v>2992</v>
      </c>
      <c r="AT354" t="s">
        <v>18494</v>
      </c>
      <c r="AU354">
        <v>8.9</v>
      </c>
      <c r="AV354" t="s">
        <v>292</v>
      </c>
      <c r="AW354" t="s">
        <v>3062</v>
      </c>
    </row>
    <row r="355" spans="1:50">
      <c r="A355" s="1" t="s">
        <v>129</v>
      </c>
      <c r="B355" t="s">
        <v>163</v>
      </c>
      <c r="C355" t="s">
        <v>3565</v>
      </c>
      <c r="D355" t="s">
        <v>301</v>
      </c>
      <c r="F355" t="s">
        <v>6964</v>
      </c>
      <c r="G355" t="s">
        <v>8048</v>
      </c>
      <c r="H355" t="s">
        <v>9473</v>
      </c>
      <c r="I355" t="s">
        <v>11024</v>
      </c>
      <c r="J355" t="s">
        <v>1644</v>
      </c>
      <c r="K355">
        <v>11212</v>
      </c>
      <c r="L355" t="s">
        <v>1670</v>
      </c>
      <c r="M355" t="s">
        <v>1670</v>
      </c>
      <c r="P355" t="s">
        <v>1958</v>
      </c>
      <c r="R355" t="s">
        <v>50</v>
      </c>
      <c r="S355" t="s">
        <v>1670</v>
      </c>
      <c r="U355" t="s">
        <v>1972</v>
      </c>
      <c r="W355" t="s">
        <v>301</v>
      </c>
      <c r="X355">
        <v>1151</v>
      </c>
      <c r="Y355" t="s">
        <v>2009</v>
      </c>
      <c r="Z355" t="s">
        <v>2015</v>
      </c>
      <c r="AB355" t="s">
        <v>13330</v>
      </c>
      <c r="AD355" t="s">
        <v>15901</v>
      </c>
      <c r="AE355">
        <v>73</v>
      </c>
      <c r="AF355" t="s">
        <v>2902</v>
      </c>
      <c r="AG355" t="s">
        <v>1754</v>
      </c>
      <c r="AH355">
        <v>20</v>
      </c>
      <c r="AI355">
        <v>3</v>
      </c>
      <c r="AJ355">
        <v>1</v>
      </c>
      <c r="AK355">
        <v>271.84</v>
      </c>
      <c r="AN355" t="s">
        <v>2926</v>
      </c>
      <c r="AO355">
        <v>70000</v>
      </c>
      <c r="AU355">
        <v>8</v>
      </c>
      <c r="AV355" t="s">
        <v>310</v>
      </c>
      <c r="AW355" t="s">
        <v>129</v>
      </c>
    </row>
    <row r="356" spans="1:50">
      <c r="A356" s="1" t="s">
        <v>82</v>
      </c>
      <c r="B356" t="s">
        <v>163</v>
      </c>
      <c r="C356" t="s">
        <v>3566</v>
      </c>
      <c r="D356" t="s">
        <v>220</v>
      </c>
      <c r="F356" t="s">
        <v>6965</v>
      </c>
      <c r="G356" t="s">
        <v>8049</v>
      </c>
      <c r="H356" t="s">
        <v>1144</v>
      </c>
      <c r="I356" t="s">
        <v>11025</v>
      </c>
      <c r="J356" t="s">
        <v>1644</v>
      </c>
      <c r="K356">
        <v>11233</v>
      </c>
      <c r="L356" t="s">
        <v>1670</v>
      </c>
      <c r="M356" t="s">
        <v>1671</v>
      </c>
      <c r="O356" t="s">
        <v>1937</v>
      </c>
      <c r="P356" t="s">
        <v>1962</v>
      </c>
      <c r="R356" t="s">
        <v>50</v>
      </c>
      <c r="S356" t="s">
        <v>1670</v>
      </c>
      <c r="U356" t="s">
        <v>1972</v>
      </c>
      <c r="V356" t="s">
        <v>1984</v>
      </c>
      <c r="W356" t="s">
        <v>221</v>
      </c>
      <c r="X356">
        <v>1024</v>
      </c>
      <c r="Y356" t="s">
        <v>2009</v>
      </c>
      <c r="Z356" t="s">
        <v>2017</v>
      </c>
      <c r="AB356" t="s">
        <v>13331</v>
      </c>
      <c r="AE356">
        <v>359</v>
      </c>
      <c r="AF356" t="s">
        <v>2902</v>
      </c>
      <c r="AH356">
        <v>24</v>
      </c>
      <c r="AI356">
        <v>3</v>
      </c>
      <c r="AJ356">
        <v>1</v>
      </c>
      <c r="AK356">
        <v>271.84</v>
      </c>
      <c r="AN356" t="s">
        <v>2926</v>
      </c>
      <c r="AO356">
        <v>70000</v>
      </c>
      <c r="AP356" t="s">
        <v>18114</v>
      </c>
      <c r="AU356" t="s">
        <v>13051</v>
      </c>
      <c r="AW356" t="s">
        <v>3059</v>
      </c>
    </row>
    <row r="357" spans="1:50">
      <c r="A357" s="1" t="s">
        <v>95</v>
      </c>
      <c r="B357" t="s">
        <v>163</v>
      </c>
      <c r="C357" t="s">
        <v>3567</v>
      </c>
      <c r="D357" t="s">
        <v>400</v>
      </c>
      <c r="F357" t="s">
        <v>419</v>
      </c>
      <c r="G357" t="s">
        <v>873</v>
      </c>
      <c r="H357" t="s">
        <v>9546</v>
      </c>
      <c r="I357" t="s">
        <v>1506</v>
      </c>
      <c r="J357" t="s">
        <v>1641</v>
      </c>
      <c r="K357">
        <v>10467</v>
      </c>
      <c r="L357" t="s">
        <v>1670</v>
      </c>
      <c r="M357" t="s">
        <v>1672</v>
      </c>
      <c r="O357" t="s">
        <v>1675</v>
      </c>
      <c r="P357" t="s">
        <v>1962</v>
      </c>
      <c r="R357" t="s">
        <v>50</v>
      </c>
      <c r="S357" t="s">
        <v>1671</v>
      </c>
      <c r="U357" t="s">
        <v>1972</v>
      </c>
      <c r="W357" t="s">
        <v>1991</v>
      </c>
      <c r="X357">
        <v>1588.82</v>
      </c>
      <c r="Y357" t="s">
        <v>2006</v>
      </c>
      <c r="Z357" t="s">
        <v>2015</v>
      </c>
      <c r="AB357" t="s">
        <v>13332</v>
      </c>
      <c r="AE357" t="s">
        <v>13051</v>
      </c>
      <c r="AF357" t="s">
        <v>2902</v>
      </c>
      <c r="AG357" t="s">
        <v>1754</v>
      </c>
      <c r="AH357">
        <v>2</v>
      </c>
      <c r="AI357">
        <v>3</v>
      </c>
      <c r="AJ357">
        <v>1</v>
      </c>
      <c r="AK357">
        <v>271.84</v>
      </c>
      <c r="AN357" t="s">
        <v>2926</v>
      </c>
      <c r="AO357">
        <v>70000</v>
      </c>
      <c r="AU357">
        <v>1.5</v>
      </c>
      <c r="AV357" t="s">
        <v>400</v>
      </c>
      <c r="AW357" t="s">
        <v>95</v>
      </c>
      <c r="AX357" t="s">
        <v>18685</v>
      </c>
    </row>
    <row r="358" spans="1:50">
      <c r="A358" s="1" t="s">
        <v>82</v>
      </c>
      <c r="B358" t="s">
        <v>163</v>
      </c>
      <c r="C358" t="s">
        <v>3568</v>
      </c>
      <c r="D358" t="s">
        <v>220</v>
      </c>
      <c r="F358" t="s">
        <v>6965</v>
      </c>
      <c r="G358" t="s">
        <v>8049</v>
      </c>
      <c r="H358" t="s">
        <v>1144</v>
      </c>
      <c r="I358" t="s">
        <v>11025</v>
      </c>
      <c r="J358" t="s">
        <v>1644</v>
      </c>
      <c r="K358">
        <v>11233</v>
      </c>
      <c r="L358" t="s">
        <v>1670</v>
      </c>
      <c r="M358" t="s">
        <v>1671</v>
      </c>
      <c r="O358" t="s">
        <v>1938</v>
      </c>
      <c r="P358" t="s">
        <v>1961</v>
      </c>
      <c r="R358" t="s">
        <v>50</v>
      </c>
      <c r="S358" t="s">
        <v>1670</v>
      </c>
      <c r="U358" t="s">
        <v>1972</v>
      </c>
      <c r="V358" t="s">
        <v>1984</v>
      </c>
      <c r="W358" t="s">
        <v>248</v>
      </c>
      <c r="X358">
        <v>1024</v>
      </c>
      <c r="Y358" t="s">
        <v>2009</v>
      </c>
      <c r="Z358" t="s">
        <v>2017</v>
      </c>
      <c r="AB358" t="s">
        <v>13331</v>
      </c>
      <c r="AE358">
        <v>359</v>
      </c>
      <c r="AF358" t="s">
        <v>2902</v>
      </c>
      <c r="AH358">
        <v>24</v>
      </c>
      <c r="AI358">
        <v>3</v>
      </c>
      <c r="AJ358">
        <v>1</v>
      </c>
      <c r="AK358">
        <v>271.84</v>
      </c>
      <c r="AN358" t="s">
        <v>2926</v>
      </c>
      <c r="AO358">
        <v>70000</v>
      </c>
      <c r="AP358" t="s">
        <v>18071</v>
      </c>
      <c r="AU358" t="s">
        <v>13051</v>
      </c>
      <c r="AW358" t="s">
        <v>3059</v>
      </c>
    </row>
    <row r="359" spans="1:50">
      <c r="A359" s="1" t="s">
        <v>68</v>
      </c>
      <c r="B359" t="s">
        <v>163</v>
      </c>
      <c r="C359" t="s">
        <v>3569</v>
      </c>
      <c r="D359" t="s">
        <v>275</v>
      </c>
      <c r="F359" t="s">
        <v>6966</v>
      </c>
      <c r="G359" t="s">
        <v>8050</v>
      </c>
      <c r="H359" t="s">
        <v>1124</v>
      </c>
      <c r="I359" t="s">
        <v>1558</v>
      </c>
      <c r="J359" t="s">
        <v>1643</v>
      </c>
      <c r="K359">
        <v>10034</v>
      </c>
      <c r="L359" t="s">
        <v>1670</v>
      </c>
      <c r="M359" t="s">
        <v>1670</v>
      </c>
      <c r="P359" t="s">
        <v>1958</v>
      </c>
      <c r="R359" t="s">
        <v>50</v>
      </c>
      <c r="S359" t="s">
        <v>1671</v>
      </c>
      <c r="U359" t="s">
        <v>1972</v>
      </c>
      <c r="W359" t="s">
        <v>275</v>
      </c>
      <c r="X359">
        <v>4200</v>
      </c>
      <c r="Y359" t="s">
        <v>2008</v>
      </c>
      <c r="Z359" t="s">
        <v>2013</v>
      </c>
      <c r="AB359" t="s">
        <v>13255</v>
      </c>
      <c r="AD359" t="s">
        <v>15902</v>
      </c>
      <c r="AE359" t="s">
        <v>13051</v>
      </c>
      <c r="AF359" t="s">
        <v>2902</v>
      </c>
      <c r="AG359" t="s">
        <v>1754</v>
      </c>
      <c r="AH359">
        <v>1</v>
      </c>
      <c r="AI359">
        <v>1</v>
      </c>
      <c r="AJ359">
        <v>3</v>
      </c>
      <c r="AK359">
        <v>271.84</v>
      </c>
      <c r="AN359" t="s">
        <v>2926</v>
      </c>
      <c r="AO359">
        <v>70000</v>
      </c>
      <c r="AU359">
        <v>2.65</v>
      </c>
      <c r="AV359" t="s">
        <v>230</v>
      </c>
      <c r="AW359" t="s">
        <v>3042</v>
      </c>
    </row>
    <row r="360" spans="1:50">
      <c r="A360" s="1" t="s">
        <v>132</v>
      </c>
      <c r="B360" t="s">
        <v>164</v>
      </c>
      <c r="C360" t="s">
        <v>3570</v>
      </c>
      <c r="D360" t="s">
        <v>227</v>
      </c>
      <c r="E360" t="s">
        <v>394</v>
      </c>
      <c r="F360" t="s">
        <v>6954</v>
      </c>
      <c r="G360" t="s">
        <v>8033</v>
      </c>
      <c r="H360" t="s">
        <v>9532</v>
      </c>
      <c r="I360" t="s">
        <v>1520</v>
      </c>
      <c r="J360" t="s">
        <v>1644</v>
      </c>
      <c r="K360">
        <v>11221</v>
      </c>
      <c r="L360" t="s">
        <v>1670</v>
      </c>
      <c r="M360" t="s">
        <v>1670</v>
      </c>
      <c r="O360" t="s">
        <v>1937</v>
      </c>
      <c r="P360" t="s">
        <v>1962</v>
      </c>
      <c r="Q360" t="s">
        <v>1968</v>
      </c>
      <c r="R360" t="s">
        <v>50</v>
      </c>
      <c r="S360" t="s">
        <v>1670</v>
      </c>
      <c r="U360" t="s">
        <v>1972</v>
      </c>
      <c r="W360" t="s">
        <v>264</v>
      </c>
      <c r="X360">
        <v>732</v>
      </c>
      <c r="Y360" t="s">
        <v>2009</v>
      </c>
      <c r="Z360" t="s">
        <v>2015</v>
      </c>
      <c r="AA360" t="s">
        <v>2031</v>
      </c>
      <c r="AB360" t="s">
        <v>13311</v>
      </c>
      <c r="AD360" t="s">
        <v>15887</v>
      </c>
      <c r="AE360">
        <v>13</v>
      </c>
      <c r="AF360" t="s">
        <v>2902</v>
      </c>
      <c r="AG360" t="s">
        <v>1754</v>
      </c>
      <c r="AH360">
        <v>25</v>
      </c>
      <c r="AI360">
        <v>3</v>
      </c>
      <c r="AJ360">
        <v>2</v>
      </c>
      <c r="AK360">
        <v>271.92</v>
      </c>
      <c r="AN360" t="s">
        <v>2926</v>
      </c>
      <c r="AO360">
        <v>80000</v>
      </c>
      <c r="AP360" t="s">
        <v>2953</v>
      </c>
      <c r="AU360">
        <v>0.08</v>
      </c>
      <c r="AV360" t="s">
        <v>367</v>
      </c>
      <c r="AW360" t="s">
        <v>3060</v>
      </c>
    </row>
    <row r="361" spans="1:50">
      <c r="A361" s="1" t="s">
        <v>132</v>
      </c>
      <c r="B361" t="s">
        <v>163</v>
      </c>
      <c r="C361" t="s">
        <v>3571</v>
      </c>
      <c r="D361" t="s">
        <v>227</v>
      </c>
      <c r="F361" t="s">
        <v>6954</v>
      </c>
      <c r="G361" t="s">
        <v>8033</v>
      </c>
      <c r="H361" t="s">
        <v>9532</v>
      </c>
      <c r="I361" t="s">
        <v>1520</v>
      </c>
      <c r="J361" t="s">
        <v>1644</v>
      </c>
      <c r="K361">
        <v>11221</v>
      </c>
      <c r="L361" t="s">
        <v>1670</v>
      </c>
      <c r="M361" t="s">
        <v>1670</v>
      </c>
      <c r="O361" t="s">
        <v>1938</v>
      </c>
      <c r="P361" t="s">
        <v>1961</v>
      </c>
      <c r="R361" t="s">
        <v>50</v>
      </c>
      <c r="S361" t="s">
        <v>1670</v>
      </c>
      <c r="U361" t="s">
        <v>1972</v>
      </c>
      <c r="W361" t="s">
        <v>264</v>
      </c>
      <c r="X361">
        <v>732</v>
      </c>
      <c r="Y361" t="s">
        <v>2009</v>
      </c>
      <c r="Z361" t="s">
        <v>2015</v>
      </c>
      <c r="AB361" t="s">
        <v>13311</v>
      </c>
      <c r="AD361" t="s">
        <v>15887</v>
      </c>
      <c r="AE361">
        <v>13</v>
      </c>
      <c r="AF361" t="s">
        <v>2902</v>
      </c>
      <c r="AG361" t="s">
        <v>1754</v>
      </c>
      <c r="AH361">
        <v>25</v>
      </c>
      <c r="AI361">
        <v>3</v>
      </c>
      <c r="AJ361">
        <v>2</v>
      </c>
      <c r="AK361">
        <v>271.92</v>
      </c>
      <c r="AN361" t="s">
        <v>2926</v>
      </c>
      <c r="AO361">
        <v>80000</v>
      </c>
      <c r="AP361" t="s">
        <v>18115</v>
      </c>
      <c r="AU361" t="s">
        <v>13051</v>
      </c>
      <c r="AW361" t="s">
        <v>3060</v>
      </c>
    </row>
    <row r="362" spans="1:50">
      <c r="A362" s="1" t="s">
        <v>132</v>
      </c>
      <c r="B362" t="s">
        <v>163</v>
      </c>
      <c r="C362" t="s">
        <v>3572</v>
      </c>
      <c r="D362" t="s">
        <v>227</v>
      </c>
      <c r="F362" t="s">
        <v>6954</v>
      </c>
      <c r="G362" t="s">
        <v>8033</v>
      </c>
      <c r="H362" t="s">
        <v>9532</v>
      </c>
      <c r="I362" t="s">
        <v>1520</v>
      </c>
      <c r="J362" t="s">
        <v>1644</v>
      </c>
      <c r="K362">
        <v>11221</v>
      </c>
      <c r="L362" t="s">
        <v>1670</v>
      </c>
      <c r="M362" t="s">
        <v>1670</v>
      </c>
      <c r="O362" t="s">
        <v>1939</v>
      </c>
      <c r="P362" t="s">
        <v>1960</v>
      </c>
      <c r="R362" t="s">
        <v>50</v>
      </c>
      <c r="S362" t="s">
        <v>1670</v>
      </c>
      <c r="U362" t="s">
        <v>1972</v>
      </c>
      <c r="W362" t="s">
        <v>264</v>
      </c>
      <c r="X362">
        <v>732</v>
      </c>
      <c r="Y362" t="s">
        <v>2009</v>
      </c>
      <c r="Z362" t="s">
        <v>2015</v>
      </c>
      <c r="AB362" t="s">
        <v>13311</v>
      </c>
      <c r="AD362" t="s">
        <v>15887</v>
      </c>
      <c r="AE362">
        <v>13</v>
      </c>
      <c r="AF362" t="s">
        <v>2902</v>
      </c>
      <c r="AG362" t="s">
        <v>1754</v>
      </c>
      <c r="AH362">
        <v>25</v>
      </c>
      <c r="AI362">
        <v>3</v>
      </c>
      <c r="AJ362">
        <v>2</v>
      </c>
      <c r="AK362">
        <v>271.92</v>
      </c>
      <c r="AN362" t="s">
        <v>2926</v>
      </c>
      <c r="AO362">
        <v>80000</v>
      </c>
      <c r="AP362" t="s">
        <v>18115</v>
      </c>
      <c r="AU362" t="s">
        <v>13051</v>
      </c>
      <c r="AW362" t="s">
        <v>3060</v>
      </c>
    </row>
    <row r="363" spans="1:50">
      <c r="A363" s="1" t="s">
        <v>58</v>
      </c>
      <c r="B363" t="s">
        <v>164</v>
      </c>
      <c r="C363" t="s">
        <v>3573</v>
      </c>
      <c r="D363" t="s">
        <v>290</v>
      </c>
      <c r="E363" t="s">
        <v>334</v>
      </c>
      <c r="F363" t="s">
        <v>492</v>
      </c>
      <c r="G363" t="s">
        <v>8051</v>
      </c>
      <c r="H363" t="s">
        <v>9547</v>
      </c>
      <c r="I363" t="s">
        <v>1548</v>
      </c>
      <c r="J363" t="s">
        <v>1641</v>
      </c>
      <c r="K363">
        <v>10453</v>
      </c>
      <c r="L363" t="s">
        <v>1670</v>
      </c>
      <c r="M363" t="s">
        <v>1672</v>
      </c>
      <c r="O363" t="s">
        <v>1675</v>
      </c>
      <c r="P363" t="s">
        <v>1958</v>
      </c>
      <c r="Q363" t="s">
        <v>1965</v>
      </c>
      <c r="R363" t="s">
        <v>50</v>
      </c>
      <c r="S363" t="s">
        <v>1671</v>
      </c>
      <c r="U363" t="s">
        <v>1972</v>
      </c>
      <c r="W363" t="s">
        <v>1994</v>
      </c>
      <c r="X363">
        <v>842.59</v>
      </c>
      <c r="Y363" t="s">
        <v>2006</v>
      </c>
      <c r="Z363" t="s">
        <v>2016</v>
      </c>
      <c r="AA363" t="s">
        <v>2029</v>
      </c>
      <c r="AB363" t="s">
        <v>13333</v>
      </c>
      <c r="AD363" t="s">
        <v>15903</v>
      </c>
      <c r="AE363">
        <v>83</v>
      </c>
      <c r="AF363" t="s">
        <v>2902</v>
      </c>
      <c r="AH363">
        <v>8</v>
      </c>
      <c r="AI363">
        <v>2</v>
      </c>
      <c r="AJ363">
        <v>0</v>
      </c>
      <c r="AK363">
        <v>272.15</v>
      </c>
      <c r="AN363" t="s">
        <v>2926</v>
      </c>
      <c r="AO363">
        <v>46020</v>
      </c>
      <c r="AU363">
        <v>1</v>
      </c>
      <c r="AV363" t="s">
        <v>290</v>
      </c>
      <c r="AW363" t="s">
        <v>3045</v>
      </c>
      <c r="AX363" t="s">
        <v>18685</v>
      </c>
    </row>
    <row r="364" spans="1:50">
      <c r="A364" s="1" t="s">
        <v>57</v>
      </c>
      <c r="B364" t="s">
        <v>164</v>
      </c>
      <c r="C364" t="s">
        <v>3574</v>
      </c>
      <c r="D364" t="s">
        <v>250</v>
      </c>
      <c r="E364" t="s">
        <v>174</v>
      </c>
      <c r="F364" t="s">
        <v>6967</v>
      </c>
      <c r="G364" t="s">
        <v>8052</v>
      </c>
      <c r="H364" t="s">
        <v>9548</v>
      </c>
      <c r="I364" t="s">
        <v>10965</v>
      </c>
      <c r="J364" t="s">
        <v>1641</v>
      </c>
      <c r="K364">
        <v>10453</v>
      </c>
      <c r="L364" t="s">
        <v>1670</v>
      </c>
      <c r="M364" t="s">
        <v>1670</v>
      </c>
      <c r="O364" t="s">
        <v>1939</v>
      </c>
      <c r="P364" t="s">
        <v>1962</v>
      </c>
      <c r="Q364" t="s">
        <v>1968</v>
      </c>
      <c r="R364" t="s">
        <v>50</v>
      </c>
      <c r="S364" t="s">
        <v>1671</v>
      </c>
      <c r="U364" t="s">
        <v>1972</v>
      </c>
      <c r="W364" t="s">
        <v>250</v>
      </c>
      <c r="X364">
        <v>1043</v>
      </c>
      <c r="Y364" t="s">
        <v>2006</v>
      </c>
      <c r="AA364" t="s">
        <v>2030</v>
      </c>
      <c r="AB364" t="s">
        <v>13334</v>
      </c>
      <c r="AD364" t="s">
        <v>15904</v>
      </c>
      <c r="AE364">
        <v>44</v>
      </c>
      <c r="AF364" t="s">
        <v>2902</v>
      </c>
      <c r="AG364" t="s">
        <v>2919</v>
      </c>
      <c r="AH364">
        <v>28</v>
      </c>
      <c r="AI364">
        <v>3</v>
      </c>
      <c r="AJ364">
        <v>0</v>
      </c>
      <c r="AK364">
        <v>272.17</v>
      </c>
      <c r="AN364" t="s">
        <v>2927</v>
      </c>
      <c r="AO364">
        <v>56556</v>
      </c>
      <c r="AU364">
        <v>0.3</v>
      </c>
      <c r="AV364" t="s">
        <v>174</v>
      </c>
      <c r="AW364" t="s">
        <v>3046</v>
      </c>
    </row>
    <row r="365" spans="1:50">
      <c r="A365" s="1" t="s">
        <v>100</v>
      </c>
      <c r="B365" t="s">
        <v>164</v>
      </c>
      <c r="C365" t="s">
        <v>3575</v>
      </c>
      <c r="D365" t="s">
        <v>249</v>
      </c>
      <c r="E365" t="s">
        <v>400</v>
      </c>
      <c r="F365" t="s">
        <v>6968</v>
      </c>
      <c r="G365" t="s">
        <v>932</v>
      </c>
      <c r="H365" t="s">
        <v>9549</v>
      </c>
      <c r="I365" t="s">
        <v>1475</v>
      </c>
      <c r="J365" t="s">
        <v>1643</v>
      </c>
      <c r="K365">
        <v>10033</v>
      </c>
      <c r="L365" t="s">
        <v>1670</v>
      </c>
      <c r="M365" t="s">
        <v>1672</v>
      </c>
      <c r="P365" t="s">
        <v>1962</v>
      </c>
      <c r="Q365" t="s">
        <v>1968</v>
      </c>
      <c r="R365" t="s">
        <v>50</v>
      </c>
      <c r="S365" t="s">
        <v>1671</v>
      </c>
      <c r="U365" t="s">
        <v>1972</v>
      </c>
      <c r="W365" t="s">
        <v>249</v>
      </c>
      <c r="X365">
        <v>1800</v>
      </c>
      <c r="Y365" t="s">
        <v>2008</v>
      </c>
      <c r="Z365" t="s">
        <v>2013</v>
      </c>
      <c r="AA365" t="s">
        <v>2034</v>
      </c>
      <c r="AB365" t="s">
        <v>13335</v>
      </c>
      <c r="AD365" t="s">
        <v>15905</v>
      </c>
      <c r="AE365">
        <v>95</v>
      </c>
      <c r="AF365" t="s">
        <v>2902</v>
      </c>
      <c r="AG365" t="s">
        <v>1754</v>
      </c>
      <c r="AH365">
        <v>9</v>
      </c>
      <c r="AI365">
        <v>1</v>
      </c>
      <c r="AJ365">
        <v>0</v>
      </c>
      <c r="AK365">
        <v>272.22</v>
      </c>
      <c r="AN365" t="s">
        <v>2926</v>
      </c>
      <c r="AO365">
        <v>34000</v>
      </c>
      <c r="AU365">
        <v>0.1</v>
      </c>
      <c r="AV365" t="s">
        <v>400</v>
      </c>
      <c r="AW365" t="s">
        <v>3042</v>
      </c>
      <c r="AX365" t="s">
        <v>18685</v>
      </c>
    </row>
    <row r="366" spans="1:50">
      <c r="A366" s="1" t="s">
        <v>3149</v>
      </c>
      <c r="B366" t="s">
        <v>164</v>
      </c>
      <c r="C366" t="s">
        <v>3576</v>
      </c>
      <c r="D366" t="s">
        <v>387</v>
      </c>
      <c r="E366" t="s">
        <v>375</v>
      </c>
      <c r="F366" t="s">
        <v>6969</v>
      </c>
      <c r="G366" t="s">
        <v>8053</v>
      </c>
      <c r="H366" t="s">
        <v>9550</v>
      </c>
      <c r="I366">
        <v>36</v>
      </c>
      <c r="J366" t="s">
        <v>1643</v>
      </c>
      <c r="K366">
        <v>10031</v>
      </c>
      <c r="L366" t="s">
        <v>1670</v>
      </c>
      <c r="M366" t="s">
        <v>1670</v>
      </c>
      <c r="N366" t="s">
        <v>11924</v>
      </c>
      <c r="O366" t="s">
        <v>1940</v>
      </c>
      <c r="P366" t="s">
        <v>1958</v>
      </c>
      <c r="Q366" t="s">
        <v>1965</v>
      </c>
      <c r="R366" t="s">
        <v>50</v>
      </c>
      <c r="S366" t="s">
        <v>1671</v>
      </c>
      <c r="U366" t="s">
        <v>1972</v>
      </c>
      <c r="V366" t="s">
        <v>1984</v>
      </c>
      <c r="W366" t="s">
        <v>387</v>
      </c>
      <c r="X366">
        <v>1514.5</v>
      </c>
      <c r="Y366" t="s">
        <v>2008</v>
      </c>
      <c r="Z366" t="s">
        <v>2013</v>
      </c>
      <c r="AA366" t="s">
        <v>2029</v>
      </c>
      <c r="AB366" t="s">
        <v>13336</v>
      </c>
      <c r="AE366">
        <v>39</v>
      </c>
      <c r="AF366" t="s">
        <v>2902</v>
      </c>
      <c r="AG366" t="s">
        <v>1754</v>
      </c>
      <c r="AH366">
        <v>14</v>
      </c>
      <c r="AI366">
        <v>2</v>
      </c>
      <c r="AJ366">
        <v>0</v>
      </c>
      <c r="AK366">
        <v>273.15</v>
      </c>
      <c r="AN366" t="s">
        <v>2927</v>
      </c>
      <c r="AO366">
        <v>44960.04</v>
      </c>
      <c r="AU366">
        <v>0.1</v>
      </c>
      <c r="AV366" t="s">
        <v>375</v>
      </c>
      <c r="AW366" t="s">
        <v>3048</v>
      </c>
    </row>
    <row r="367" spans="1:50">
      <c r="A367" s="1" t="s">
        <v>99</v>
      </c>
      <c r="B367" t="s">
        <v>164</v>
      </c>
      <c r="C367" t="s">
        <v>3577</v>
      </c>
      <c r="D367" t="s">
        <v>196</v>
      </c>
      <c r="E367" t="s">
        <v>253</v>
      </c>
      <c r="F367" t="s">
        <v>6970</v>
      </c>
      <c r="G367" t="s">
        <v>859</v>
      </c>
      <c r="H367" t="s">
        <v>9551</v>
      </c>
      <c r="I367" t="s">
        <v>1581</v>
      </c>
      <c r="J367" t="s">
        <v>1656</v>
      </c>
      <c r="K367">
        <v>11101</v>
      </c>
      <c r="L367" t="s">
        <v>1670</v>
      </c>
      <c r="M367" t="s">
        <v>1670</v>
      </c>
      <c r="N367" t="s">
        <v>11925</v>
      </c>
      <c r="O367" t="s">
        <v>1936</v>
      </c>
      <c r="P367" t="s">
        <v>1960</v>
      </c>
      <c r="Q367" t="s">
        <v>1969</v>
      </c>
      <c r="R367" t="s">
        <v>51</v>
      </c>
      <c r="S367" t="s">
        <v>1671</v>
      </c>
      <c r="U367" t="s">
        <v>1979</v>
      </c>
      <c r="V367" t="s">
        <v>1984</v>
      </c>
      <c r="W367" t="s">
        <v>196</v>
      </c>
      <c r="X367">
        <v>562</v>
      </c>
      <c r="Y367" t="s">
        <v>2007</v>
      </c>
      <c r="Z367" t="s">
        <v>2012</v>
      </c>
      <c r="AA367" t="s">
        <v>2037</v>
      </c>
      <c r="AB367" t="s">
        <v>13337</v>
      </c>
      <c r="AD367" t="s">
        <v>15906</v>
      </c>
      <c r="AE367">
        <v>525</v>
      </c>
      <c r="AF367" t="s">
        <v>2905</v>
      </c>
      <c r="AG367" t="s">
        <v>2915</v>
      </c>
      <c r="AH367">
        <v>2</v>
      </c>
      <c r="AI367">
        <v>1</v>
      </c>
      <c r="AJ367">
        <v>1</v>
      </c>
      <c r="AK367">
        <v>273.39</v>
      </c>
      <c r="AL367" t="s">
        <v>2923</v>
      </c>
      <c r="AM367" t="s">
        <v>2924</v>
      </c>
      <c r="AN367" t="s">
        <v>2926</v>
      </c>
      <c r="AO367">
        <v>45000</v>
      </c>
      <c r="AQ367" t="s">
        <v>2977</v>
      </c>
      <c r="AR367" t="s">
        <v>2983</v>
      </c>
      <c r="AS367" t="s">
        <v>2992</v>
      </c>
      <c r="AT367" t="s">
        <v>18507</v>
      </c>
      <c r="AU367">
        <v>13.85</v>
      </c>
      <c r="AV367" t="s">
        <v>324</v>
      </c>
      <c r="AW367" t="s">
        <v>99</v>
      </c>
    </row>
    <row r="368" spans="1:50">
      <c r="A368" s="1" t="s">
        <v>71</v>
      </c>
      <c r="B368" t="s">
        <v>163</v>
      </c>
      <c r="C368" t="s">
        <v>3578</v>
      </c>
      <c r="D368" t="s">
        <v>214</v>
      </c>
      <c r="F368" t="s">
        <v>6971</v>
      </c>
      <c r="G368" t="s">
        <v>8054</v>
      </c>
      <c r="H368" t="s">
        <v>9552</v>
      </c>
      <c r="I368" t="s">
        <v>11026</v>
      </c>
      <c r="J368" t="s">
        <v>1646</v>
      </c>
      <c r="K368">
        <v>10304</v>
      </c>
      <c r="L368" t="s">
        <v>1670</v>
      </c>
      <c r="M368" t="s">
        <v>1670</v>
      </c>
      <c r="N368" t="s">
        <v>1693</v>
      </c>
      <c r="O368" t="s">
        <v>1939</v>
      </c>
      <c r="P368" t="s">
        <v>1962</v>
      </c>
      <c r="R368" t="s">
        <v>50</v>
      </c>
      <c r="S368" t="s">
        <v>1671</v>
      </c>
      <c r="U368" t="s">
        <v>1972</v>
      </c>
      <c r="V368" t="s">
        <v>1984</v>
      </c>
      <c r="W368" t="s">
        <v>214</v>
      </c>
      <c r="X368">
        <v>1400</v>
      </c>
      <c r="Y368" t="s">
        <v>2010</v>
      </c>
      <c r="Z368" t="s">
        <v>2020</v>
      </c>
      <c r="AB368" t="s">
        <v>13338</v>
      </c>
      <c r="AD368" t="s">
        <v>15907</v>
      </c>
      <c r="AE368">
        <v>137</v>
      </c>
      <c r="AF368" t="s">
        <v>2909</v>
      </c>
      <c r="AG368" t="s">
        <v>2915</v>
      </c>
      <c r="AH368">
        <v>9</v>
      </c>
      <c r="AI368">
        <v>1</v>
      </c>
      <c r="AJ368">
        <v>1</v>
      </c>
      <c r="AK368">
        <v>273.39</v>
      </c>
      <c r="AN368" t="s">
        <v>2926</v>
      </c>
      <c r="AO368">
        <v>45000</v>
      </c>
      <c r="AU368">
        <v>2.5</v>
      </c>
      <c r="AV368" t="s">
        <v>239</v>
      </c>
      <c r="AW368" t="s">
        <v>71</v>
      </c>
    </row>
    <row r="369" spans="1:50">
      <c r="A369" s="1" t="s">
        <v>100</v>
      </c>
      <c r="B369" t="s">
        <v>164</v>
      </c>
      <c r="C369" t="s">
        <v>3579</v>
      </c>
      <c r="D369" t="s">
        <v>178</v>
      </c>
      <c r="E369" t="s">
        <v>1994</v>
      </c>
      <c r="F369" t="s">
        <v>544</v>
      </c>
      <c r="G369" t="s">
        <v>780</v>
      </c>
      <c r="H369" t="s">
        <v>1244</v>
      </c>
      <c r="I369">
        <v>53</v>
      </c>
      <c r="J369" t="s">
        <v>1643</v>
      </c>
      <c r="K369">
        <v>10034</v>
      </c>
      <c r="L369" t="s">
        <v>1670</v>
      </c>
      <c r="M369" t="s">
        <v>1670</v>
      </c>
      <c r="O369" t="s">
        <v>1675</v>
      </c>
      <c r="P369" t="s">
        <v>1959</v>
      </c>
      <c r="Q369" t="s">
        <v>1968</v>
      </c>
      <c r="R369" t="s">
        <v>50</v>
      </c>
      <c r="S369" t="s">
        <v>1671</v>
      </c>
      <c r="T369" t="s">
        <v>50</v>
      </c>
      <c r="U369" t="s">
        <v>1972</v>
      </c>
      <c r="W369" t="s">
        <v>1994</v>
      </c>
      <c r="X369">
        <v>1100</v>
      </c>
      <c r="Y369" t="s">
        <v>2008</v>
      </c>
      <c r="AA369" t="s">
        <v>2032</v>
      </c>
      <c r="AB369" t="s">
        <v>13339</v>
      </c>
      <c r="AD369" t="s">
        <v>15908</v>
      </c>
      <c r="AE369">
        <v>25</v>
      </c>
      <c r="AF369" t="s">
        <v>2908</v>
      </c>
      <c r="AG369" t="s">
        <v>1754</v>
      </c>
      <c r="AH369">
        <v>11</v>
      </c>
      <c r="AI369">
        <v>4</v>
      </c>
      <c r="AJ369">
        <v>0</v>
      </c>
      <c r="AK369">
        <v>275.54</v>
      </c>
      <c r="AN369" t="s">
        <v>2927</v>
      </c>
      <c r="AO369">
        <v>69160</v>
      </c>
      <c r="AU369">
        <v>1.2</v>
      </c>
      <c r="AV369" t="s">
        <v>249</v>
      </c>
      <c r="AW369" t="s">
        <v>3068</v>
      </c>
      <c r="AX369" t="s">
        <v>18685</v>
      </c>
    </row>
    <row r="370" spans="1:50">
      <c r="A370" s="1" t="s">
        <v>58</v>
      </c>
      <c r="B370" t="s">
        <v>163</v>
      </c>
      <c r="C370" t="s">
        <v>3580</v>
      </c>
      <c r="D370" t="s">
        <v>172</v>
      </c>
      <c r="F370" t="s">
        <v>6960</v>
      </c>
      <c r="G370" t="s">
        <v>8043</v>
      </c>
      <c r="H370" t="s">
        <v>1113</v>
      </c>
      <c r="I370" t="s">
        <v>1534</v>
      </c>
      <c r="J370" t="s">
        <v>1641</v>
      </c>
      <c r="K370">
        <v>10452</v>
      </c>
      <c r="L370" t="s">
        <v>1670</v>
      </c>
      <c r="M370" t="s">
        <v>1670</v>
      </c>
      <c r="N370" t="s">
        <v>1678</v>
      </c>
      <c r="O370" t="s">
        <v>1939</v>
      </c>
      <c r="P370" t="s">
        <v>1960</v>
      </c>
      <c r="R370" t="s">
        <v>50</v>
      </c>
      <c r="S370" t="s">
        <v>1670</v>
      </c>
      <c r="U370" t="s">
        <v>1972</v>
      </c>
      <c r="W370" t="s">
        <v>359</v>
      </c>
      <c r="X370">
        <v>1800</v>
      </c>
      <c r="Y370" t="s">
        <v>2006</v>
      </c>
      <c r="Z370" t="s">
        <v>2016</v>
      </c>
      <c r="AB370" t="s">
        <v>13323</v>
      </c>
      <c r="AD370" t="s">
        <v>15896</v>
      </c>
      <c r="AE370">
        <v>41</v>
      </c>
      <c r="AF370" t="s">
        <v>2904</v>
      </c>
      <c r="AG370" t="s">
        <v>1754</v>
      </c>
      <c r="AH370">
        <v>6</v>
      </c>
      <c r="AI370">
        <v>3</v>
      </c>
      <c r="AJ370">
        <v>0</v>
      </c>
      <c r="AK370">
        <v>277.19</v>
      </c>
      <c r="AN370" t="s">
        <v>2927</v>
      </c>
      <c r="AO370">
        <v>57600</v>
      </c>
      <c r="AU370" t="s">
        <v>13051</v>
      </c>
      <c r="AW370" t="s">
        <v>3046</v>
      </c>
    </row>
    <row r="371" spans="1:50">
      <c r="A371" s="1" t="s">
        <v>90</v>
      </c>
      <c r="B371" t="s">
        <v>163</v>
      </c>
      <c r="C371" t="s">
        <v>3581</v>
      </c>
      <c r="D371" t="s">
        <v>240</v>
      </c>
      <c r="F371" t="s">
        <v>6972</v>
      </c>
      <c r="G371" t="s">
        <v>8055</v>
      </c>
      <c r="H371" t="s">
        <v>9553</v>
      </c>
      <c r="I371" t="s">
        <v>11027</v>
      </c>
      <c r="J371" t="s">
        <v>1646</v>
      </c>
      <c r="K371">
        <v>10304</v>
      </c>
      <c r="L371" t="s">
        <v>1670</v>
      </c>
      <c r="M371" t="s">
        <v>1670</v>
      </c>
      <c r="N371" t="s">
        <v>11926</v>
      </c>
      <c r="O371" t="s">
        <v>1936</v>
      </c>
      <c r="P371" t="s">
        <v>1960</v>
      </c>
      <c r="R371" t="s">
        <v>50</v>
      </c>
      <c r="S371" t="s">
        <v>1671</v>
      </c>
      <c r="U371" t="s">
        <v>1972</v>
      </c>
      <c r="V371" t="s">
        <v>1984</v>
      </c>
      <c r="W371" t="s">
        <v>240</v>
      </c>
      <c r="X371">
        <v>843</v>
      </c>
      <c r="Y371" t="s">
        <v>2010</v>
      </c>
      <c r="Z371" t="s">
        <v>2011</v>
      </c>
      <c r="AB371" t="s">
        <v>13340</v>
      </c>
      <c r="AD371" t="s">
        <v>15909</v>
      </c>
      <c r="AE371">
        <v>72</v>
      </c>
      <c r="AG371" t="s">
        <v>2915</v>
      </c>
      <c r="AH371">
        <v>2</v>
      </c>
      <c r="AI371">
        <v>1</v>
      </c>
      <c r="AJ371">
        <v>0</v>
      </c>
      <c r="AK371">
        <v>277.28</v>
      </c>
      <c r="AL371" t="s">
        <v>283</v>
      </c>
      <c r="AM371" t="s">
        <v>18031</v>
      </c>
      <c r="AN371" t="s">
        <v>2926</v>
      </c>
      <c r="AO371">
        <v>34632</v>
      </c>
      <c r="AU371">
        <v>6.3</v>
      </c>
      <c r="AV371" t="s">
        <v>220</v>
      </c>
      <c r="AW371" t="s">
        <v>3050</v>
      </c>
    </row>
    <row r="372" spans="1:50">
      <c r="A372" s="1" t="s">
        <v>69</v>
      </c>
      <c r="B372" t="s">
        <v>164</v>
      </c>
      <c r="C372" t="s">
        <v>3582</v>
      </c>
      <c r="D372" t="s">
        <v>298</v>
      </c>
      <c r="E372" t="s">
        <v>192</v>
      </c>
      <c r="F372" t="s">
        <v>6973</v>
      </c>
      <c r="G372" t="s">
        <v>8056</v>
      </c>
      <c r="H372" t="s">
        <v>9383</v>
      </c>
      <c r="I372" t="s">
        <v>11028</v>
      </c>
      <c r="J372" t="s">
        <v>1644</v>
      </c>
      <c r="K372">
        <v>11226</v>
      </c>
      <c r="L372" t="s">
        <v>1670</v>
      </c>
      <c r="M372" t="s">
        <v>1672</v>
      </c>
      <c r="O372" t="s">
        <v>1675</v>
      </c>
      <c r="P372" t="s">
        <v>1962</v>
      </c>
      <c r="Q372" t="s">
        <v>1965</v>
      </c>
      <c r="R372" t="s">
        <v>50</v>
      </c>
      <c r="U372" t="s">
        <v>1980</v>
      </c>
      <c r="W372" t="s">
        <v>250</v>
      </c>
      <c r="X372">
        <v>914</v>
      </c>
      <c r="Y372" t="s">
        <v>2009</v>
      </c>
      <c r="Z372" t="s">
        <v>2015</v>
      </c>
      <c r="AA372" t="s">
        <v>2029</v>
      </c>
      <c r="AB372" t="s">
        <v>13341</v>
      </c>
      <c r="AE372">
        <v>125</v>
      </c>
      <c r="AF372" t="s">
        <v>2902</v>
      </c>
      <c r="AG372" t="s">
        <v>1754</v>
      </c>
      <c r="AH372">
        <v>35</v>
      </c>
      <c r="AI372">
        <v>1</v>
      </c>
      <c r="AJ372">
        <v>0</v>
      </c>
      <c r="AK372">
        <v>277.36</v>
      </c>
      <c r="AN372" t="s">
        <v>2926</v>
      </c>
      <c r="AO372">
        <v>33672</v>
      </c>
      <c r="AU372">
        <v>1.9</v>
      </c>
      <c r="AV372" t="s">
        <v>1995</v>
      </c>
      <c r="AW372" t="s">
        <v>3069</v>
      </c>
      <c r="AX372" t="s">
        <v>18685</v>
      </c>
    </row>
    <row r="373" spans="1:50">
      <c r="A373" s="1" t="s">
        <v>142</v>
      </c>
      <c r="B373" t="s">
        <v>163</v>
      </c>
      <c r="C373" t="s">
        <v>3583</v>
      </c>
      <c r="D373" t="s">
        <v>390</v>
      </c>
      <c r="F373" t="s">
        <v>6974</v>
      </c>
      <c r="G373" t="s">
        <v>8057</v>
      </c>
      <c r="H373" t="s">
        <v>9554</v>
      </c>
      <c r="I373" t="s">
        <v>11029</v>
      </c>
      <c r="J373" t="s">
        <v>1641</v>
      </c>
      <c r="K373">
        <v>10452</v>
      </c>
      <c r="L373" t="s">
        <v>1670</v>
      </c>
      <c r="M373" t="s">
        <v>1672</v>
      </c>
      <c r="N373" t="s">
        <v>11927</v>
      </c>
      <c r="O373" t="s">
        <v>1936</v>
      </c>
      <c r="P373" t="s">
        <v>1960</v>
      </c>
      <c r="R373" t="s">
        <v>50</v>
      </c>
      <c r="S373" t="s">
        <v>1671</v>
      </c>
      <c r="U373" t="s">
        <v>1972</v>
      </c>
      <c r="V373" t="s">
        <v>1984</v>
      </c>
      <c r="W373" t="s">
        <v>1991</v>
      </c>
      <c r="X373">
        <v>899.79</v>
      </c>
      <c r="Y373" t="s">
        <v>2006</v>
      </c>
      <c r="Z373" t="s">
        <v>2020</v>
      </c>
      <c r="AB373" t="s">
        <v>13342</v>
      </c>
      <c r="AD373" t="s">
        <v>15910</v>
      </c>
      <c r="AE373">
        <v>50</v>
      </c>
      <c r="AF373" t="s">
        <v>2902</v>
      </c>
      <c r="AG373" t="s">
        <v>1754</v>
      </c>
      <c r="AH373">
        <v>43</v>
      </c>
      <c r="AI373">
        <v>2</v>
      </c>
      <c r="AJ373">
        <v>0</v>
      </c>
      <c r="AK373">
        <v>277.73</v>
      </c>
      <c r="AN373" t="s">
        <v>2926</v>
      </c>
      <c r="AO373">
        <v>46964</v>
      </c>
      <c r="AU373">
        <v>1</v>
      </c>
      <c r="AV373" t="s">
        <v>390</v>
      </c>
      <c r="AW373" t="s">
        <v>3054</v>
      </c>
      <c r="AX373" t="s">
        <v>18685</v>
      </c>
    </row>
    <row r="374" spans="1:50">
      <c r="A374" s="1" t="s">
        <v>125</v>
      </c>
      <c r="B374" t="s">
        <v>163</v>
      </c>
      <c r="C374" t="s">
        <v>3584</v>
      </c>
      <c r="D374" t="s">
        <v>179</v>
      </c>
      <c r="F374" t="s">
        <v>646</v>
      </c>
      <c r="G374" t="s">
        <v>8058</v>
      </c>
      <c r="H374" t="s">
        <v>9555</v>
      </c>
      <c r="I374" t="s">
        <v>11030</v>
      </c>
      <c r="J374" t="s">
        <v>1644</v>
      </c>
      <c r="K374">
        <v>11220</v>
      </c>
      <c r="L374" t="s">
        <v>1670</v>
      </c>
      <c r="M374" t="s">
        <v>1672</v>
      </c>
      <c r="O374" t="s">
        <v>1937</v>
      </c>
      <c r="P374" t="s">
        <v>1959</v>
      </c>
      <c r="R374" t="s">
        <v>50</v>
      </c>
      <c r="U374" t="s">
        <v>1972</v>
      </c>
      <c r="W374" t="s">
        <v>179</v>
      </c>
      <c r="X374" t="s">
        <v>13051</v>
      </c>
      <c r="Y374" t="s">
        <v>2009</v>
      </c>
      <c r="AB374" t="s">
        <v>13343</v>
      </c>
      <c r="AE374" t="s">
        <v>13051</v>
      </c>
      <c r="AH374" t="s">
        <v>13051</v>
      </c>
      <c r="AI374">
        <v>2</v>
      </c>
      <c r="AJ374">
        <v>0</v>
      </c>
      <c r="AK374">
        <v>277.94</v>
      </c>
      <c r="AL374" t="s">
        <v>399</v>
      </c>
      <c r="AM374" t="s">
        <v>18031</v>
      </c>
      <c r="AN374" t="s">
        <v>2927</v>
      </c>
      <c r="AO374">
        <v>47000</v>
      </c>
      <c r="AU374" t="s">
        <v>13051</v>
      </c>
      <c r="AW374" t="s">
        <v>158</v>
      </c>
      <c r="AX374" t="s">
        <v>18685</v>
      </c>
    </row>
    <row r="375" spans="1:50">
      <c r="A375" s="1" t="s">
        <v>125</v>
      </c>
      <c r="B375" t="s">
        <v>163</v>
      </c>
      <c r="C375" t="s">
        <v>3585</v>
      </c>
      <c r="D375" t="s">
        <v>263</v>
      </c>
      <c r="F375" t="s">
        <v>646</v>
      </c>
      <c r="G375" t="s">
        <v>8058</v>
      </c>
      <c r="H375" t="s">
        <v>9555</v>
      </c>
      <c r="I375" t="s">
        <v>11030</v>
      </c>
      <c r="J375" t="s">
        <v>1644</v>
      </c>
      <c r="K375">
        <v>11220</v>
      </c>
      <c r="L375" t="s">
        <v>1670</v>
      </c>
      <c r="M375" t="s">
        <v>1670</v>
      </c>
      <c r="N375" t="s">
        <v>11928</v>
      </c>
      <c r="O375" t="s">
        <v>1940</v>
      </c>
      <c r="P375" t="s">
        <v>1960</v>
      </c>
      <c r="R375" t="s">
        <v>50</v>
      </c>
      <c r="U375" t="s">
        <v>1972</v>
      </c>
      <c r="W375" t="s">
        <v>263</v>
      </c>
      <c r="X375">
        <v>425.19</v>
      </c>
      <c r="Y375" t="s">
        <v>2009</v>
      </c>
      <c r="AB375" t="s">
        <v>13343</v>
      </c>
      <c r="AE375" t="s">
        <v>13051</v>
      </c>
      <c r="AH375">
        <v>50</v>
      </c>
      <c r="AI375">
        <v>2</v>
      </c>
      <c r="AJ375">
        <v>0</v>
      </c>
      <c r="AK375">
        <v>277.94</v>
      </c>
      <c r="AL375" t="s">
        <v>399</v>
      </c>
      <c r="AM375" t="s">
        <v>18031</v>
      </c>
      <c r="AN375" t="s">
        <v>2927</v>
      </c>
      <c r="AO375">
        <v>47000</v>
      </c>
      <c r="AU375">
        <v>1</v>
      </c>
      <c r="AV375" t="s">
        <v>263</v>
      </c>
      <c r="AW375" t="s">
        <v>158</v>
      </c>
    </row>
    <row r="376" spans="1:50">
      <c r="A376" s="1" t="s">
        <v>62</v>
      </c>
      <c r="B376" t="s">
        <v>163</v>
      </c>
      <c r="C376" t="s">
        <v>3586</v>
      </c>
      <c r="D376" t="s">
        <v>6148</v>
      </c>
      <c r="F376" t="s">
        <v>763</v>
      </c>
      <c r="G376" t="s">
        <v>8059</v>
      </c>
      <c r="H376" t="s">
        <v>9556</v>
      </c>
      <c r="I376" t="s">
        <v>11010</v>
      </c>
      <c r="J376" t="s">
        <v>1644</v>
      </c>
      <c r="K376">
        <v>11226</v>
      </c>
      <c r="L376" t="s">
        <v>1670</v>
      </c>
      <c r="M376" t="s">
        <v>1672</v>
      </c>
      <c r="N376" t="s">
        <v>11929</v>
      </c>
      <c r="O376" t="s">
        <v>1949</v>
      </c>
      <c r="P376" t="s">
        <v>1960</v>
      </c>
      <c r="R376" t="s">
        <v>50</v>
      </c>
      <c r="S376" t="s">
        <v>1670</v>
      </c>
      <c r="U376" t="s">
        <v>1972</v>
      </c>
      <c r="W376" t="s">
        <v>13036</v>
      </c>
      <c r="X376" t="s">
        <v>13051</v>
      </c>
      <c r="Y376" t="s">
        <v>2009</v>
      </c>
      <c r="Z376" t="s">
        <v>2015</v>
      </c>
      <c r="AB376" t="s">
        <v>13344</v>
      </c>
      <c r="AD376" t="s">
        <v>15911</v>
      </c>
      <c r="AE376">
        <v>61</v>
      </c>
      <c r="AF376" t="s">
        <v>2902</v>
      </c>
      <c r="AH376">
        <v>18</v>
      </c>
      <c r="AI376">
        <v>2</v>
      </c>
      <c r="AJ376">
        <v>2</v>
      </c>
      <c r="AK376">
        <v>278.88</v>
      </c>
      <c r="AN376" t="s">
        <v>2926</v>
      </c>
      <c r="AO376">
        <v>70000</v>
      </c>
      <c r="AU376" t="s">
        <v>13051</v>
      </c>
      <c r="AW376" t="s">
        <v>3079</v>
      </c>
      <c r="AX376" t="s">
        <v>18685</v>
      </c>
    </row>
    <row r="377" spans="1:50">
      <c r="A377" s="1" t="s">
        <v>98</v>
      </c>
      <c r="B377" t="s">
        <v>163</v>
      </c>
      <c r="C377" t="s">
        <v>3587</v>
      </c>
      <c r="D377" t="s">
        <v>333</v>
      </c>
      <c r="F377" t="s">
        <v>6975</v>
      </c>
      <c r="G377" t="s">
        <v>1003</v>
      </c>
      <c r="H377" t="s">
        <v>9557</v>
      </c>
      <c r="I377" t="s">
        <v>11031</v>
      </c>
      <c r="J377" t="s">
        <v>1641</v>
      </c>
      <c r="K377">
        <v>10468</v>
      </c>
      <c r="L377" t="s">
        <v>1670</v>
      </c>
      <c r="M377" t="s">
        <v>1672</v>
      </c>
      <c r="O377" t="s">
        <v>1675</v>
      </c>
      <c r="P377" t="s">
        <v>1958</v>
      </c>
      <c r="R377" t="s">
        <v>50</v>
      </c>
      <c r="S377" t="s">
        <v>1671</v>
      </c>
      <c r="U377" t="s">
        <v>1972</v>
      </c>
      <c r="W377" t="s">
        <v>1991</v>
      </c>
      <c r="X377">
        <v>905.48</v>
      </c>
      <c r="Y377" t="s">
        <v>2006</v>
      </c>
      <c r="Z377" t="s">
        <v>2015</v>
      </c>
      <c r="AB377" t="s">
        <v>13345</v>
      </c>
      <c r="AD377" t="s">
        <v>15912</v>
      </c>
      <c r="AE377" t="s">
        <v>13051</v>
      </c>
      <c r="AF377" t="s">
        <v>2902</v>
      </c>
      <c r="AG377" t="s">
        <v>1754</v>
      </c>
      <c r="AH377">
        <v>14</v>
      </c>
      <c r="AI377">
        <v>1</v>
      </c>
      <c r="AJ377">
        <v>0</v>
      </c>
      <c r="AK377">
        <v>280.03</v>
      </c>
      <c r="AN377" t="s">
        <v>2926</v>
      </c>
      <c r="AO377">
        <v>34976</v>
      </c>
      <c r="AU377">
        <v>2.7</v>
      </c>
      <c r="AV377" t="s">
        <v>388</v>
      </c>
      <c r="AW377" t="s">
        <v>98</v>
      </c>
      <c r="AX377" t="s">
        <v>18685</v>
      </c>
    </row>
    <row r="378" spans="1:50">
      <c r="A378" s="1" t="s">
        <v>119</v>
      </c>
      <c r="B378" t="s">
        <v>163</v>
      </c>
      <c r="C378" t="s">
        <v>3588</v>
      </c>
      <c r="D378" t="s">
        <v>224</v>
      </c>
      <c r="F378" t="s">
        <v>6976</v>
      </c>
      <c r="G378" t="s">
        <v>7760</v>
      </c>
      <c r="H378" t="s">
        <v>9558</v>
      </c>
      <c r="J378" t="s">
        <v>1644</v>
      </c>
      <c r="K378">
        <v>11239</v>
      </c>
      <c r="L378" t="s">
        <v>1670</v>
      </c>
      <c r="M378" t="s">
        <v>1670</v>
      </c>
      <c r="N378" t="s">
        <v>11930</v>
      </c>
      <c r="O378" t="s">
        <v>1936</v>
      </c>
      <c r="P378" t="s">
        <v>1960</v>
      </c>
      <c r="R378" t="s">
        <v>50</v>
      </c>
      <c r="S378" t="s">
        <v>1671</v>
      </c>
      <c r="U378" t="s">
        <v>1972</v>
      </c>
      <c r="V378" t="s">
        <v>1987</v>
      </c>
      <c r="W378" t="s">
        <v>383</v>
      </c>
      <c r="X378">
        <v>793</v>
      </c>
      <c r="Y378" t="s">
        <v>2009</v>
      </c>
      <c r="Z378" t="s">
        <v>2026</v>
      </c>
      <c r="AB378" t="s">
        <v>13346</v>
      </c>
      <c r="AC378" t="s">
        <v>1691</v>
      </c>
      <c r="AE378">
        <v>1092</v>
      </c>
      <c r="AF378" t="s">
        <v>2904</v>
      </c>
      <c r="AG378" t="s">
        <v>2915</v>
      </c>
      <c r="AH378">
        <v>30</v>
      </c>
      <c r="AI378">
        <v>1</v>
      </c>
      <c r="AJ378">
        <v>0</v>
      </c>
      <c r="AK378">
        <v>280.07</v>
      </c>
      <c r="AL378" t="s">
        <v>190</v>
      </c>
      <c r="AM378" t="s">
        <v>18031</v>
      </c>
      <c r="AO378">
        <v>34000</v>
      </c>
      <c r="AR378" t="s">
        <v>2982</v>
      </c>
      <c r="AS378" t="s">
        <v>2992</v>
      </c>
      <c r="AU378">
        <v>7.51</v>
      </c>
      <c r="AV378" t="s">
        <v>289</v>
      </c>
      <c r="AW378" t="s">
        <v>88</v>
      </c>
    </row>
    <row r="379" spans="1:50">
      <c r="A379" s="1" t="s">
        <v>92</v>
      </c>
      <c r="B379" t="s">
        <v>163</v>
      </c>
      <c r="C379" t="s">
        <v>3589</v>
      </c>
      <c r="D379" t="s">
        <v>168</v>
      </c>
      <c r="F379" t="s">
        <v>6977</v>
      </c>
      <c r="G379" t="s">
        <v>8060</v>
      </c>
      <c r="H379" t="s">
        <v>9559</v>
      </c>
      <c r="I379" t="s">
        <v>1475</v>
      </c>
      <c r="J379" t="s">
        <v>1643</v>
      </c>
      <c r="K379">
        <v>10029</v>
      </c>
      <c r="L379" t="s">
        <v>1670</v>
      </c>
      <c r="M379" t="s">
        <v>1670</v>
      </c>
      <c r="N379" t="s">
        <v>11931</v>
      </c>
      <c r="O379" t="s">
        <v>1940</v>
      </c>
      <c r="P379" t="s">
        <v>1960</v>
      </c>
      <c r="R379" t="s">
        <v>50</v>
      </c>
      <c r="S379" t="s">
        <v>1671</v>
      </c>
      <c r="U379" t="s">
        <v>1972</v>
      </c>
      <c r="V379" t="s">
        <v>1984</v>
      </c>
      <c r="W379" t="s">
        <v>298</v>
      </c>
      <c r="X379">
        <v>101</v>
      </c>
      <c r="Y379" t="s">
        <v>2008</v>
      </c>
      <c r="Z379" t="s">
        <v>13055</v>
      </c>
      <c r="AA379" t="s">
        <v>13062</v>
      </c>
      <c r="AB379" t="s">
        <v>13347</v>
      </c>
      <c r="AD379" t="s">
        <v>15913</v>
      </c>
      <c r="AE379">
        <v>23</v>
      </c>
      <c r="AF379" t="s">
        <v>2908</v>
      </c>
      <c r="AG379" t="s">
        <v>1754</v>
      </c>
      <c r="AH379">
        <v>36</v>
      </c>
      <c r="AI379">
        <v>1</v>
      </c>
      <c r="AJ379">
        <v>0</v>
      </c>
      <c r="AK379">
        <v>280.07</v>
      </c>
      <c r="AL379" t="s">
        <v>271</v>
      </c>
      <c r="AM379" t="s">
        <v>18031</v>
      </c>
      <c r="AN379" t="s">
        <v>2926</v>
      </c>
      <c r="AO379">
        <v>34000</v>
      </c>
      <c r="AU379">
        <v>18.4</v>
      </c>
      <c r="AV379" t="s">
        <v>3039</v>
      </c>
      <c r="AW379" t="s">
        <v>18654</v>
      </c>
    </row>
    <row r="380" spans="1:50">
      <c r="A380" s="1" t="s">
        <v>78</v>
      </c>
      <c r="B380" t="s">
        <v>163</v>
      </c>
      <c r="C380" t="s">
        <v>3590</v>
      </c>
      <c r="D380" t="s">
        <v>339</v>
      </c>
      <c r="F380" t="s">
        <v>6978</v>
      </c>
      <c r="G380" t="s">
        <v>8061</v>
      </c>
      <c r="H380" t="s">
        <v>9560</v>
      </c>
      <c r="I380" t="s">
        <v>1580</v>
      </c>
      <c r="J380" t="s">
        <v>1646</v>
      </c>
      <c r="K380">
        <v>10301</v>
      </c>
      <c r="L380" t="s">
        <v>1670</v>
      </c>
      <c r="M380" t="s">
        <v>1670</v>
      </c>
      <c r="P380" t="s">
        <v>1958</v>
      </c>
      <c r="R380" t="s">
        <v>50</v>
      </c>
      <c r="U380" t="s">
        <v>1972</v>
      </c>
      <c r="W380" t="s">
        <v>274</v>
      </c>
      <c r="X380" t="s">
        <v>13051</v>
      </c>
      <c r="Y380" t="s">
        <v>2010</v>
      </c>
      <c r="AB380" t="s">
        <v>13348</v>
      </c>
      <c r="AD380" t="s">
        <v>15914</v>
      </c>
      <c r="AE380" t="s">
        <v>13051</v>
      </c>
      <c r="AH380" t="s">
        <v>13051</v>
      </c>
      <c r="AI380">
        <v>1</v>
      </c>
      <c r="AJ380">
        <v>0</v>
      </c>
      <c r="AK380">
        <v>280.22</v>
      </c>
      <c r="AN380" t="s">
        <v>2926</v>
      </c>
      <c r="AO380">
        <v>35000</v>
      </c>
      <c r="AU380" t="s">
        <v>13051</v>
      </c>
      <c r="AW380" t="s">
        <v>158</v>
      </c>
    </row>
    <row r="381" spans="1:50">
      <c r="A381" s="1" t="s">
        <v>82</v>
      </c>
      <c r="B381" t="s">
        <v>163</v>
      </c>
      <c r="C381" t="s">
        <v>3591</v>
      </c>
      <c r="D381" t="s">
        <v>253</v>
      </c>
      <c r="F381" t="s">
        <v>420</v>
      </c>
      <c r="G381" t="s">
        <v>1008</v>
      </c>
      <c r="H381" t="s">
        <v>1144</v>
      </c>
      <c r="I381" t="s">
        <v>11012</v>
      </c>
      <c r="J381" t="s">
        <v>1644</v>
      </c>
      <c r="K381">
        <v>11233</v>
      </c>
      <c r="L381" t="s">
        <v>1670</v>
      </c>
      <c r="M381" t="s">
        <v>1671</v>
      </c>
      <c r="O381" t="s">
        <v>1937</v>
      </c>
      <c r="P381" t="s">
        <v>1962</v>
      </c>
      <c r="R381" t="s">
        <v>50</v>
      </c>
      <c r="S381" t="s">
        <v>1670</v>
      </c>
      <c r="U381" t="s">
        <v>1972</v>
      </c>
      <c r="V381" t="s">
        <v>1984</v>
      </c>
      <c r="W381" t="s">
        <v>221</v>
      </c>
      <c r="X381">
        <v>2500</v>
      </c>
      <c r="Y381" t="s">
        <v>2009</v>
      </c>
      <c r="Z381" t="s">
        <v>2017</v>
      </c>
      <c r="AB381" t="s">
        <v>13349</v>
      </c>
      <c r="AE381">
        <v>359</v>
      </c>
      <c r="AF381" t="s">
        <v>2902</v>
      </c>
      <c r="AH381">
        <v>51</v>
      </c>
      <c r="AI381">
        <v>1</v>
      </c>
      <c r="AJ381">
        <v>0</v>
      </c>
      <c r="AK381">
        <v>280.22</v>
      </c>
      <c r="AN381" t="s">
        <v>2926</v>
      </c>
      <c r="AO381">
        <v>35000</v>
      </c>
      <c r="AP381" t="s">
        <v>18116</v>
      </c>
      <c r="AU381" t="s">
        <v>13051</v>
      </c>
      <c r="AW381" t="s">
        <v>3059</v>
      </c>
    </row>
    <row r="382" spans="1:50">
      <c r="A382" s="1" t="s">
        <v>79</v>
      </c>
      <c r="B382" t="s">
        <v>163</v>
      </c>
      <c r="C382" t="s">
        <v>3592</v>
      </c>
      <c r="D382" t="s">
        <v>384</v>
      </c>
      <c r="F382" t="s">
        <v>6979</v>
      </c>
      <c r="G382" t="s">
        <v>938</v>
      </c>
      <c r="H382" t="s">
        <v>9438</v>
      </c>
      <c r="J382" t="s">
        <v>1644</v>
      </c>
      <c r="K382">
        <v>11208</v>
      </c>
      <c r="L382" t="s">
        <v>1670</v>
      </c>
      <c r="M382" t="s">
        <v>1670</v>
      </c>
      <c r="O382" t="s">
        <v>1937</v>
      </c>
      <c r="P382" t="s">
        <v>1962</v>
      </c>
      <c r="R382" t="s">
        <v>50</v>
      </c>
      <c r="S382" t="s">
        <v>1670</v>
      </c>
      <c r="U382" t="s">
        <v>1972</v>
      </c>
      <c r="V382" t="s">
        <v>1984</v>
      </c>
      <c r="W382" t="s">
        <v>196</v>
      </c>
      <c r="X382">
        <v>400</v>
      </c>
      <c r="Y382" t="s">
        <v>2009</v>
      </c>
      <c r="AB382" t="s">
        <v>13350</v>
      </c>
      <c r="AE382" t="s">
        <v>13051</v>
      </c>
      <c r="AH382">
        <v>3</v>
      </c>
      <c r="AI382">
        <v>1</v>
      </c>
      <c r="AJ382">
        <v>0</v>
      </c>
      <c r="AK382">
        <v>280.22</v>
      </c>
      <c r="AL382" t="s">
        <v>166</v>
      </c>
      <c r="AM382" t="s">
        <v>18031</v>
      </c>
      <c r="AO382">
        <v>35000</v>
      </c>
      <c r="AP382" t="s">
        <v>18117</v>
      </c>
      <c r="AU382" t="s">
        <v>13051</v>
      </c>
      <c r="AW382" t="s">
        <v>3060</v>
      </c>
    </row>
    <row r="383" spans="1:50">
      <c r="A383" s="1" t="s">
        <v>82</v>
      </c>
      <c r="B383" t="s">
        <v>163</v>
      </c>
      <c r="C383" t="s">
        <v>3593</v>
      </c>
      <c r="D383" t="s">
        <v>253</v>
      </c>
      <c r="F383" t="s">
        <v>420</v>
      </c>
      <c r="G383" t="s">
        <v>1008</v>
      </c>
      <c r="H383" t="s">
        <v>1144</v>
      </c>
      <c r="I383" t="s">
        <v>11012</v>
      </c>
      <c r="J383" t="s">
        <v>1644</v>
      </c>
      <c r="K383">
        <v>11233</v>
      </c>
      <c r="L383" t="s">
        <v>1670</v>
      </c>
      <c r="M383" t="s">
        <v>1671</v>
      </c>
      <c r="O383" t="s">
        <v>1938</v>
      </c>
      <c r="P383" t="s">
        <v>1961</v>
      </c>
      <c r="R383" t="s">
        <v>50</v>
      </c>
      <c r="S383" t="s">
        <v>1670</v>
      </c>
      <c r="U383" t="s">
        <v>1972</v>
      </c>
      <c r="V383" t="s">
        <v>1984</v>
      </c>
      <c r="W383" t="s">
        <v>248</v>
      </c>
      <c r="X383">
        <v>2500</v>
      </c>
      <c r="Y383" t="s">
        <v>2009</v>
      </c>
      <c r="Z383" t="s">
        <v>2017</v>
      </c>
      <c r="AB383" t="s">
        <v>13349</v>
      </c>
      <c r="AE383">
        <v>359</v>
      </c>
      <c r="AF383" t="s">
        <v>2902</v>
      </c>
      <c r="AH383">
        <v>51</v>
      </c>
      <c r="AI383">
        <v>1</v>
      </c>
      <c r="AJ383">
        <v>0</v>
      </c>
      <c r="AK383">
        <v>280.22</v>
      </c>
      <c r="AN383" t="s">
        <v>2926</v>
      </c>
      <c r="AO383">
        <v>35000</v>
      </c>
      <c r="AP383" t="s">
        <v>18068</v>
      </c>
      <c r="AU383" t="s">
        <v>13051</v>
      </c>
      <c r="AW383" t="s">
        <v>3059</v>
      </c>
    </row>
    <row r="384" spans="1:50">
      <c r="A384" s="1" t="s">
        <v>74</v>
      </c>
      <c r="B384" t="s">
        <v>163</v>
      </c>
      <c r="C384" t="s">
        <v>3594</v>
      </c>
      <c r="D384" t="s">
        <v>191</v>
      </c>
      <c r="F384" t="s">
        <v>6980</v>
      </c>
      <c r="G384" t="s">
        <v>6804</v>
      </c>
      <c r="H384" t="s">
        <v>1131</v>
      </c>
      <c r="I384" t="s">
        <v>11032</v>
      </c>
      <c r="J384" t="s">
        <v>1641</v>
      </c>
      <c r="K384">
        <v>10460</v>
      </c>
      <c r="L384" t="s">
        <v>1670</v>
      </c>
      <c r="M384" t="s">
        <v>1672</v>
      </c>
      <c r="N384" t="s">
        <v>1692</v>
      </c>
      <c r="O384" t="s">
        <v>1675</v>
      </c>
      <c r="P384" t="s">
        <v>1959</v>
      </c>
      <c r="R384" t="s">
        <v>50</v>
      </c>
      <c r="S384" t="s">
        <v>1670</v>
      </c>
      <c r="U384" t="s">
        <v>1972</v>
      </c>
      <c r="W384" t="s">
        <v>1991</v>
      </c>
      <c r="X384">
        <v>1071</v>
      </c>
      <c r="Y384" t="s">
        <v>2006</v>
      </c>
      <c r="Z384" t="s">
        <v>2015</v>
      </c>
      <c r="AB384" t="s">
        <v>13351</v>
      </c>
      <c r="AD384" t="s">
        <v>15915</v>
      </c>
      <c r="AE384">
        <v>168</v>
      </c>
      <c r="AF384" t="s">
        <v>2904</v>
      </c>
      <c r="AG384" t="s">
        <v>2915</v>
      </c>
      <c r="AH384">
        <v>10</v>
      </c>
      <c r="AI384">
        <v>1</v>
      </c>
      <c r="AJ384">
        <v>1</v>
      </c>
      <c r="AK384">
        <v>280.9</v>
      </c>
      <c r="AN384" t="s">
        <v>2926</v>
      </c>
      <c r="AO384">
        <v>47500</v>
      </c>
      <c r="AU384" t="s">
        <v>13051</v>
      </c>
      <c r="AW384" t="s">
        <v>3045</v>
      </c>
      <c r="AX384" t="s">
        <v>18685</v>
      </c>
    </row>
    <row r="385" spans="1:50">
      <c r="A385" s="1" t="s">
        <v>79</v>
      </c>
      <c r="B385" t="s">
        <v>163</v>
      </c>
      <c r="C385" t="s">
        <v>3595</v>
      </c>
      <c r="D385" t="s">
        <v>212</v>
      </c>
      <c r="F385" t="s">
        <v>6981</v>
      </c>
      <c r="G385" t="s">
        <v>6782</v>
      </c>
      <c r="H385" t="s">
        <v>9473</v>
      </c>
      <c r="I385" t="s">
        <v>10939</v>
      </c>
      <c r="J385" t="s">
        <v>1644</v>
      </c>
      <c r="K385">
        <v>11212</v>
      </c>
      <c r="L385" t="s">
        <v>1670</v>
      </c>
      <c r="M385" t="s">
        <v>1671</v>
      </c>
      <c r="N385" t="s">
        <v>11932</v>
      </c>
      <c r="O385" t="s">
        <v>1940</v>
      </c>
      <c r="P385" t="s">
        <v>1960</v>
      </c>
      <c r="R385" t="s">
        <v>50</v>
      </c>
      <c r="S385" t="s">
        <v>1671</v>
      </c>
      <c r="U385" t="s">
        <v>1972</v>
      </c>
      <c r="V385" t="s">
        <v>1984</v>
      </c>
      <c r="W385" t="s">
        <v>212</v>
      </c>
      <c r="X385">
        <v>1298.3</v>
      </c>
      <c r="Y385" t="s">
        <v>2009</v>
      </c>
      <c r="Z385" t="s">
        <v>2015</v>
      </c>
      <c r="AB385" t="s">
        <v>13352</v>
      </c>
      <c r="AC385" t="s">
        <v>1754</v>
      </c>
      <c r="AD385" t="s">
        <v>15916</v>
      </c>
      <c r="AE385">
        <v>72</v>
      </c>
      <c r="AF385" t="s">
        <v>2902</v>
      </c>
      <c r="AG385" t="s">
        <v>1754</v>
      </c>
      <c r="AH385">
        <v>11</v>
      </c>
      <c r="AI385">
        <v>3</v>
      </c>
      <c r="AJ385">
        <v>0</v>
      </c>
      <c r="AK385">
        <v>281.29</v>
      </c>
      <c r="AL385" t="s">
        <v>399</v>
      </c>
      <c r="AN385" t="s">
        <v>2926</v>
      </c>
      <c r="AO385">
        <v>60000</v>
      </c>
      <c r="AU385">
        <v>20.5</v>
      </c>
      <c r="AV385" t="s">
        <v>397</v>
      </c>
      <c r="AW385" t="s">
        <v>3060</v>
      </c>
      <c r="AX385" t="s">
        <v>18685</v>
      </c>
    </row>
    <row r="386" spans="1:50">
      <c r="A386" s="1" t="s">
        <v>82</v>
      </c>
      <c r="B386" t="s">
        <v>163</v>
      </c>
      <c r="C386" t="s">
        <v>3596</v>
      </c>
      <c r="D386" t="s">
        <v>165</v>
      </c>
      <c r="F386" t="s">
        <v>6982</v>
      </c>
      <c r="G386" t="s">
        <v>8062</v>
      </c>
      <c r="H386" t="s">
        <v>1144</v>
      </c>
      <c r="I386" t="s">
        <v>1510</v>
      </c>
      <c r="J386" t="s">
        <v>1644</v>
      </c>
      <c r="K386">
        <v>11233</v>
      </c>
      <c r="L386" t="s">
        <v>1670</v>
      </c>
      <c r="M386" t="s">
        <v>1671</v>
      </c>
      <c r="O386" t="s">
        <v>1937</v>
      </c>
      <c r="P386" t="s">
        <v>1962</v>
      </c>
      <c r="R386" t="s">
        <v>50</v>
      </c>
      <c r="S386" t="s">
        <v>1670</v>
      </c>
      <c r="U386" t="s">
        <v>1972</v>
      </c>
      <c r="V386" t="s">
        <v>1984</v>
      </c>
      <c r="W386" t="s">
        <v>221</v>
      </c>
      <c r="X386">
        <v>978</v>
      </c>
      <c r="Y386" t="s">
        <v>2009</v>
      </c>
      <c r="Z386" t="s">
        <v>2017</v>
      </c>
      <c r="AB386" t="s">
        <v>13353</v>
      </c>
      <c r="AE386">
        <v>359</v>
      </c>
      <c r="AF386" t="s">
        <v>2902</v>
      </c>
      <c r="AG386" t="s">
        <v>1754</v>
      </c>
      <c r="AH386">
        <v>3</v>
      </c>
      <c r="AI386">
        <v>2</v>
      </c>
      <c r="AJ386">
        <v>1</v>
      </c>
      <c r="AK386">
        <v>281.29</v>
      </c>
      <c r="AN386" t="s">
        <v>2926</v>
      </c>
      <c r="AO386">
        <v>60000</v>
      </c>
      <c r="AP386" t="s">
        <v>18118</v>
      </c>
      <c r="AU386" t="s">
        <v>13051</v>
      </c>
      <c r="AW386" t="s">
        <v>3059</v>
      </c>
    </row>
    <row r="387" spans="1:50">
      <c r="A387" s="1" t="s">
        <v>82</v>
      </c>
      <c r="B387" t="s">
        <v>163</v>
      </c>
      <c r="C387" t="s">
        <v>3597</v>
      </c>
      <c r="D387" t="s">
        <v>256</v>
      </c>
      <c r="F387" t="s">
        <v>6983</v>
      </c>
      <c r="G387" t="s">
        <v>8063</v>
      </c>
      <c r="H387" t="s">
        <v>9482</v>
      </c>
      <c r="I387" t="s">
        <v>1578</v>
      </c>
      <c r="J387" t="s">
        <v>1644</v>
      </c>
      <c r="K387">
        <v>11233</v>
      </c>
      <c r="L387" t="s">
        <v>1670</v>
      </c>
      <c r="M387" t="s">
        <v>1671</v>
      </c>
      <c r="O387" t="s">
        <v>1937</v>
      </c>
      <c r="P387" t="s">
        <v>1962</v>
      </c>
      <c r="R387" t="s">
        <v>50</v>
      </c>
      <c r="S387" t="s">
        <v>1670</v>
      </c>
      <c r="U387" t="s">
        <v>1972</v>
      </c>
      <c r="V387" t="s">
        <v>1984</v>
      </c>
      <c r="W387" t="s">
        <v>221</v>
      </c>
      <c r="X387">
        <v>1200</v>
      </c>
      <c r="Y387" t="s">
        <v>2009</v>
      </c>
      <c r="Z387" t="s">
        <v>2017</v>
      </c>
      <c r="AB387" t="s">
        <v>13354</v>
      </c>
      <c r="AE387">
        <v>359</v>
      </c>
      <c r="AF387" t="s">
        <v>2902</v>
      </c>
      <c r="AH387">
        <v>4</v>
      </c>
      <c r="AI387">
        <v>2</v>
      </c>
      <c r="AJ387">
        <v>1</v>
      </c>
      <c r="AK387">
        <v>281.29</v>
      </c>
      <c r="AN387" t="s">
        <v>2926</v>
      </c>
      <c r="AO387">
        <v>60000</v>
      </c>
      <c r="AP387" t="s">
        <v>18119</v>
      </c>
      <c r="AU387" t="s">
        <v>13051</v>
      </c>
      <c r="AW387" t="s">
        <v>3059</v>
      </c>
    </row>
    <row r="388" spans="1:50">
      <c r="A388" s="1" t="s">
        <v>82</v>
      </c>
      <c r="B388" t="s">
        <v>163</v>
      </c>
      <c r="C388" t="s">
        <v>3598</v>
      </c>
      <c r="D388" t="s">
        <v>165</v>
      </c>
      <c r="F388" t="s">
        <v>6982</v>
      </c>
      <c r="G388" t="s">
        <v>8062</v>
      </c>
      <c r="H388" t="s">
        <v>1144</v>
      </c>
      <c r="I388" t="s">
        <v>1510</v>
      </c>
      <c r="J388" t="s">
        <v>1644</v>
      </c>
      <c r="K388">
        <v>11233</v>
      </c>
      <c r="L388" t="s">
        <v>1670</v>
      </c>
      <c r="M388" t="s">
        <v>1671</v>
      </c>
      <c r="O388" t="s">
        <v>1938</v>
      </c>
      <c r="P388" t="s">
        <v>1961</v>
      </c>
      <c r="R388" t="s">
        <v>50</v>
      </c>
      <c r="S388" t="s">
        <v>1670</v>
      </c>
      <c r="U388" t="s">
        <v>1972</v>
      </c>
      <c r="V388" t="s">
        <v>1984</v>
      </c>
      <c r="W388" t="s">
        <v>248</v>
      </c>
      <c r="X388">
        <v>978</v>
      </c>
      <c r="Y388" t="s">
        <v>2009</v>
      </c>
      <c r="Z388" t="s">
        <v>2017</v>
      </c>
      <c r="AB388" t="s">
        <v>13353</v>
      </c>
      <c r="AE388">
        <v>359</v>
      </c>
      <c r="AF388" t="s">
        <v>2902</v>
      </c>
      <c r="AG388" t="s">
        <v>1754</v>
      </c>
      <c r="AH388">
        <v>3</v>
      </c>
      <c r="AI388">
        <v>2</v>
      </c>
      <c r="AJ388">
        <v>1</v>
      </c>
      <c r="AK388">
        <v>281.29</v>
      </c>
      <c r="AN388" t="s">
        <v>2926</v>
      </c>
      <c r="AO388">
        <v>60000</v>
      </c>
      <c r="AP388" t="s">
        <v>18068</v>
      </c>
      <c r="AU388" t="s">
        <v>13051</v>
      </c>
      <c r="AW388" t="s">
        <v>3059</v>
      </c>
    </row>
    <row r="389" spans="1:50">
      <c r="A389" s="1" t="s">
        <v>82</v>
      </c>
      <c r="B389" t="s">
        <v>163</v>
      </c>
      <c r="C389" t="s">
        <v>3599</v>
      </c>
      <c r="D389" t="s">
        <v>256</v>
      </c>
      <c r="F389" t="s">
        <v>6983</v>
      </c>
      <c r="G389" t="s">
        <v>8063</v>
      </c>
      <c r="H389" t="s">
        <v>9482</v>
      </c>
      <c r="I389" t="s">
        <v>1578</v>
      </c>
      <c r="J389" t="s">
        <v>1644</v>
      </c>
      <c r="K389">
        <v>11233</v>
      </c>
      <c r="L389" t="s">
        <v>1670</v>
      </c>
      <c r="M389" t="s">
        <v>1671</v>
      </c>
      <c r="O389" t="s">
        <v>1938</v>
      </c>
      <c r="P389" t="s">
        <v>1961</v>
      </c>
      <c r="R389" t="s">
        <v>50</v>
      </c>
      <c r="S389" t="s">
        <v>1670</v>
      </c>
      <c r="U389" t="s">
        <v>1972</v>
      </c>
      <c r="V389" t="s">
        <v>1984</v>
      </c>
      <c r="W389" t="s">
        <v>248</v>
      </c>
      <c r="X389">
        <v>1200</v>
      </c>
      <c r="Y389" t="s">
        <v>2009</v>
      </c>
      <c r="Z389" t="s">
        <v>2017</v>
      </c>
      <c r="AB389" t="s">
        <v>13354</v>
      </c>
      <c r="AE389">
        <v>359</v>
      </c>
      <c r="AF389" t="s">
        <v>2902</v>
      </c>
      <c r="AH389">
        <v>4</v>
      </c>
      <c r="AI389">
        <v>2</v>
      </c>
      <c r="AJ389">
        <v>1</v>
      </c>
      <c r="AK389">
        <v>281.29</v>
      </c>
      <c r="AN389" t="s">
        <v>2926</v>
      </c>
      <c r="AO389">
        <v>60000</v>
      </c>
      <c r="AP389" t="s">
        <v>18120</v>
      </c>
      <c r="AU389" t="s">
        <v>13051</v>
      </c>
      <c r="AW389" t="s">
        <v>3059</v>
      </c>
    </row>
    <row r="390" spans="1:50">
      <c r="A390" s="1" t="s">
        <v>82</v>
      </c>
      <c r="B390" t="s">
        <v>163</v>
      </c>
      <c r="C390" t="s">
        <v>3600</v>
      </c>
      <c r="D390" t="s">
        <v>294</v>
      </c>
      <c r="F390" t="s">
        <v>453</v>
      </c>
      <c r="G390" t="s">
        <v>558</v>
      </c>
      <c r="H390" t="s">
        <v>9420</v>
      </c>
      <c r="I390" t="s">
        <v>11033</v>
      </c>
      <c r="J390" t="s">
        <v>1644</v>
      </c>
      <c r="K390">
        <v>11233</v>
      </c>
      <c r="L390" t="s">
        <v>1670</v>
      </c>
      <c r="M390" t="s">
        <v>1671</v>
      </c>
      <c r="N390" t="s">
        <v>1691</v>
      </c>
      <c r="O390" t="s">
        <v>1937</v>
      </c>
      <c r="P390" t="s">
        <v>1962</v>
      </c>
      <c r="R390" t="s">
        <v>50</v>
      </c>
      <c r="S390" t="s">
        <v>1670</v>
      </c>
      <c r="U390" t="s">
        <v>1972</v>
      </c>
      <c r="V390" t="s">
        <v>1984</v>
      </c>
      <c r="W390" t="s">
        <v>221</v>
      </c>
      <c r="X390">
        <v>1003</v>
      </c>
      <c r="Y390" t="s">
        <v>2009</v>
      </c>
      <c r="AB390" t="s">
        <v>13355</v>
      </c>
      <c r="AE390">
        <v>359</v>
      </c>
      <c r="AF390" t="s">
        <v>2902</v>
      </c>
      <c r="AH390">
        <v>13</v>
      </c>
      <c r="AI390">
        <v>1</v>
      </c>
      <c r="AJ390">
        <v>2</v>
      </c>
      <c r="AK390">
        <v>281.29</v>
      </c>
      <c r="AL390" t="s">
        <v>365</v>
      </c>
      <c r="AM390" t="s">
        <v>18031</v>
      </c>
      <c r="AN390" t="s">
        <v>2926</v>
      </c>
      <c r="AO390">
        <v>60000</v>
      </c>
      <c r="AP390" t="s">
        <v>18121</v>
      </c>
      <c r="AU390" t="s">
        <v>13051</v>
      </c>
      <c r="AW390" t="s">
        <v>3060</v>
      </c>
    </row>
    <row r="391" spans="1:50">
      <c r="A391" s="1" t="s">
        <v>82</v>
      </c>
      <c r="B391" t="s">
        <v>163</v>
      </c>
      <c r="C391" t="s">
        <v>3601</v>
      </c>
      <c r="D391" t="s">
        <v>294</v>
      </c>
      <c r="F391" t="s">
        <v>453</v>
      </c>
      <c r="G391" t="s">
        <v>558</v>
      </c>
      <c r="H391" t="s">
        <v>9420</v>
      </c>
      <c r="I391" t="s">
        <v>11033</v>
      </c>
      <c r="J391" t="s">
        <v>1644</v>
      </c>
      <c r="K391">
        <v>11233</v>
      </c>
      <c r="L391" t="s">
        <v>1670</v>
      </c>
      <c r="M391" t="s">
        <v>1671</v>
      </c>
      <c r="N391" t="s">
        <v>1691</v>
      </c>
      <c r="O391" t="s">
        <v>1938</v>
      </c>
      <c r="P391" t="s">
        <v>1961</v>
      </c>
      <c r="R391" t="s">
        <v>50</v>
      </c>
      <c r="S391" t="s">
        <v>1670</v>
      </c>
      <c r="U391" t="s">
        <v>1972</v>
      </c>
      <c r="V391" t="s">
        <v>1984</v>
      </c>
      <c r="W391" t="s">
        <v>248</v>
      </c>
      <c r="X391">
        <v>1003</v>
      </c>
      <c r="Y391" t="s">
        <v>2009</v>
      </c>
      <c r="AB391" t="s">
        <v>13355</v>
      </c>
      <c r="AE391">
        <v>359</v>
      </c>
      <c r="AF391" t="s">
        <v>2902</v>
      </c>
      <c r="AH391">
        <v>13</v>
      </c>
      <c r="AI391">
        <v>1</v>
      </c>
      <c r="AJ391">
        <v>2</v>
      </c>
      <c r="AK391">
        <v>281.29</v>
      </c>
      <c r="AL391" t="s">
        <v>365</v>
      </c>
      <c r="AM391" t="s">
        <v>18031</v>
      </c>
      <c r="AN391" t="s">
        <v>2926</v>
      </c>
      <c r="AO391">
        <v>60000</v>
      </c>
      <c r="AP391" t="s">
        <v>18076</v>
      </c>
      <c r="AU391" t="s">
        <v>13051</v>
      </c>
      <c r="AW391" t="s">
        <v>3060</v>
      </c>
    </row>
    <row r="392" spans="1:50">
      <c r="A392" s="1" t="s">
        <v>130</v>
      </c>
      <c r="B392" t="s">
        <v>164</v>
      </c>
      <c r="C392" t="s">
        <v>3602</v>
      </c>
      <c r="D392" t="s">
        <v>271</v>
      </c>
      <c r="E392" t="s">
        <v>359</v>
      </c>
      <c r="F392" t="s">
        <v>6984</v>
      </c>
      <c r="G392" t="s">
        <v>7551</v>
      </c>
      <c r="H392" t="s">
        <v>9561</v>
      </c>
      <c r="I392" t="s">
        <v>1509</v>
      </c>
      <c r="J392" t="s">
        <v>1644</v>
      </c>
      <c r="K392">
        <v>11233</v>
      </c>
      <c r="L392" t="s">
        <v>1670</v>
      </c>
      <c r="M392" t="s">
        <v>1670</v>
      </c>
      <c r="O392" t="s">
        <v>1937</v>
      </c>
      <c r="P392" t="s">
        <v>1962</v>
      </c>
      <c r="Q392" t="s">
        <v>1968</v>
      </c>
      <c r="R392" t="s">
        <v>50</v>
      </c>
      <c r="S392" t="s">
        <v>1670</v>
      </c>
      <c r="U392" t="s">
        <v>1972</v>
      </c>
      <c r="W392" t="s">
        <v>376</v>
      </c>
      <c r="X392">
        <v>1433.14</v>
      </c>
      <c r="Y392" t="s">
        <v>2009</v>
      </c>
      <c r="Z392" t="s">
        <v>2026</v>
      </c>
      <c r="AA392" t="s">
        <v>2030</v>
      </c>
      <c r="AB392" t="s">
        <v>13356</v>
      </c>
      <c r="AD392" t="s">
        <v>15917</v>
      </c>
      <c r="AE392">
        <v>7</v>
      </c>
      <c r="AF392" t="s">
        <v>2902</v>
      </c>
      <c r="AH392">
        <v>3</v>
      </c>
      <c r="AI392">
        <v>2</v>
      </c>
      <c r="AJ392">
        <v>0</v>
      </c>
      <c r="AK392">
        <v>282.26</v>
      </c>
      <c r="AL392" t="s">
        <v>190</v>
      </c>
      <c r="AM392" t="s">
        <v>18031</v>
      </c>
      <c r="AN392" t="s">
        <v>2926</v>
      </c>
      <c r="AO392">
        <v>46460</v>
      </c>
      <c r="AR392" t="s">
        <v>2017</v>
      </c>
      <c r="AU392">
        <v>0.2</v>
      </c>
      <c r="AV392" t="s">
        <v>271</v>
      </c>
      <c r="AW392" t="s">
        <v>3059</v>
      </c>
    </row>
    <row r="393" spans="1:50">
      <c r="A393" s="1" t="s">
        <v>130</v>
      </c>
      <c r="B393" t="s">
        <v>164</v>
      </c>
      <c r="C393" t="s">
        <v>3603</v>
      </c>
      <c r="D393" t="s">
        <v>271</v>
      </c>
      <c r="E393" t="s">
        <v>359</v>
      </c>
      <c r="F393" t="s">
        <v>6984</v>
      </c>
      <c r="G393" t="s">
        <v>7551</v>
      </c>
      <c r="H393" t="s">
        <v>9561</v>
      </c>
      <c r="I393" t="s">
        <v>1509</v>
      </c>
      <c r="J393" t="s">
        <v>1644</v>
      </c>
      <c r="K393">
        <v>11233</v>
      </c>
      <c r="L393" t="s">
        <v>1670</v>
      </c>
      <c r="M393" t="s">
        <v>1670</v>
      </c>
      <c r="N393" t="s">
        <v>11904</v>
      </c>
      <c r="O393" t="s">
        <v>1938</v>
      </c>
      <c r="P393" t="s">
        <v>1961</v>
      </c>
      <c r="Q393" t="s">
        <v>1970</v>
      </c>
      <c r="R393" t="s">
        <v>50</v>
      </c>
      <c r="S393" t="s">
        <v>1670</v>
      </c>
      <c r="U393" t="s">
        <v>1972</v>
      </c>
      <c r="W393" t="s">
        <v>1989</v>
      </c>
      <c r="X393">
        <v>1433.14</v>
      </c>
      <c r="Y393" t="s">
        <v>2009</v>
      </c>
      <c r="Z393" t="s">
        <v>2026</v>
      </c>
      <c r="AA393" t="s">
        <v>2030</v>
      </c>
      <c r="AB393" t="s">
        <v>13356</v>
      </c>
      <c r="AD393" t="s">
        <v>15917</v>
      </c>
      <c r="AE393">
        <v>7</v>
      </c>
      <c r="AF393" t="s">
        <v>2902</v>
      </c>
      <c r="AH393">
        <v>3</v>
      </c>
      <c r="AI393">
        <v>2</v>
      </c>
      <c r="AJ393">
        <v>0</v>
      </c>
      <c r="AK393">
        <v>282.27</v>
      </c>
      <c r="AL393" t="s">
        <v>190</v>
      </c>
      <c r="AM393" t="s">
        <v>18031</v>
      </c>
      <c r="AN393" t="s">
        <v>2926</v>
      </c>
      <c r="AO393">
        <v>46462</v>
      </c>
      <c r="AR393" t="s">
        <v>18452</v>
      </c>
      <c r="AU393">
        <v>0.4</v>
      </c>
      <c r="AV393" t="s">
        <v>271</v>
      </c>
      <c r="AW393" t="s">
        <v>3059</v>
      </c>
    </row>
    <row r="394" spans="1:50">
      <c r="A394" s="1" t="s">
        <v>130</v>
      </c>
      <c r="B394" t="s">
        <v>164</v>
      </c>
      <c r="C394" t="s">
        <v>3604</v>
      </c>
      <c r="D394" t="s">
        <v>271</v>
      </c>
      <c r="E394" t="s">
        <v>359</v>
      </c>
      <c r="F394" t="s">
        <v>6984</v>
      </c>
      <c r="G394" t="s">
        <v>7551</v>
      </c>
      <c r="H394" t="s">
        <v>9561</v>
      </c>
      <c r="I394" t="s">
        <v>1509</v>
      </c>
      <c r="J394" t="s">
        <v>1644</v>
      </c>
      <c r="K394">
        <v>11233</v>
      </c>
      <c r="L394" t="s">
        <v>1670</v>
      </c>
      <c r="M394" t="s">
        <v>1670</v>
      </c>
      <c r="N394" t="s">
        <v>11933</v>
      </c>
      <c r="O394" t="s">
        <v>1938</v>
      </c>
      <c r="P394" t="s">
        <v>1961</v>
      </c>
      <c r="Q394" t="s">
        <v>1966</v>
      </c>
      <c r="R394" t="s">
        <v>50</v>
      </c>
      <c r="S394" t="s">
        <v>1670</v>
      </c>
      <c r="U394" t="s">
        <v>1972</v>
      </c>
      <c r="W394" t="s">
        <v>252</v>
      </c>
      <c r="X394">
        <v>1433.14</v>
      </c>
      <c r="Y394" t="s">
        <v>2009</v>
      </c>
      <c r="Z394" t="s">
        <v>2026</v>
      </c>
      <c r="AA394" t="s">
        <v>2030</v>
      </c>
      <c r="AB394" t="s">
        <v>13356</v>
      </c>
      <c r="AD394" t="s">
        <v>15917</v>
      </c>
      <c r="AE394">
        <v>7</v>
      </c>
      <c r="AF394" t="s">
        <v>2902</v>
      </c>
      <c r="AH394">
        <v>3</v>
      </c>
      <c r="AI394">
        <v>2</v>
      </c>
      <c r="AJ394">
        <v>0</v>
      </c>
      <c r="AK394">
        <v>282.27</v>
      </c>
      <c r="AL394" t="s">
        <v>190</v>
      </c>
      <c r="AM394" t="s">
        <v>18031</v>
      </c>
      <c r="AN394" t="s">
        <v>2926</v>
      </c>
      <c r="AO394">
        <v>46462</v>
      </c>
      <c r="AR394" t="s">
        <v>2017</v>
      </c>
      <c r="AU394">
        <v>0.5</v>
      </c>
      <c r="AV394" t="s">
        <v>395</v>
      </c>
      <c r="AW394" t="s">
        <v>3059</v>
      </c>
    </row>
    <row r="395" spans="1:50">
      <c r="A395" s="1" t="s">
        <v>138</v>
      </c>
      <c r="B395" t="s">
        <v>164</v>
      </c>
      <c r="C395" t="s">
        <v>3605</v>
      </c>
      <c r="D395" t="s">
        <v>6149</v>
      </c>
      <c r="E395" t="s">
        <v>361</v>
      </c>
      <c r="F395" t="s">
        <v>6867</v>
      </c>
      <c r="G395" t="s">
        <v>8064</v>
      </c>
      <c r="H395" t="s">
        <v>9562</v>
      </c>
      <c r="I395" t="s">
        <v>11034</v>
      </c>
      <c r="J395" t="s">
        <v>1646</v>
      </c>
      <c r="K395">
        <v>10304</v>
      </c>
      <c r="L395" t="s">
        <v>1670</v>
      </c>
      <c r="M395" t="s">
        <v>1672</v>
      </c>
      <c r="N395" t="s">
        <v>11934</v>
      </c>
      <c r="O395" t="s">
        <v>1936</v>
      </c>
      <c r="P395" t="s">
        <v>1960</v>
      </c>
      <c r="Q395" t="s">
        <v>1969</v>
      </c>
      <c r="R395" t="s">
        <v>50</v>
      </c>
      <c r="S395" t="s">
        <v>1671</v>
      </c>
      <c r="U395" t="s">
        <v>1972</v>
      </c>
      <c r="V395" t="s">
        <v>1984</v>
      </c>
      <c r="W395" t="s">
        <v>315</v>
      </c>
      <c r="X395" t="s">
        <v>13051</v>
      </c>
      <c r="Y395" t="s">
        <v>2010</v>
      </c>
      <c r="AA395" t="s">
        <v>2042</v>
      </c>
      <c r="AB395" t="s">
        <v>2421</v>
      </c>
      <c r="AD395" t="s">
        <v>15918</v>
      </c>
      <c r="AE395" t="s">
        <v>13051</v>
      </c>
      <c r="AH395">
        <v>3</v>
      </c>
      <c r="AI395">
        <v>1</v>
      </c>
      <c r="AJ395">
        <v>0</v>
      </c>
      <c r="AK395">
        <v>282.27</v>
      </c>
      <c r="AN395" t="s">
        <v>2926</v>
      </c>
      <c r="AO395">
        <v>34268</v>
      </c>
      <c r="AU395">
        <v>22.6</v>
      </c>
      <c r="AV395" t="s">
        <v>361</v>
      </c>
      <c r="AW395" t="s">
        <v>3056</v>
      </c>
      <c r="AX395" t="s">
        <v>18685</v>
      </c>
    </row>
    <row r="396" spans="1:50">
      <c r="A396" s="1" t="s">
        <v>3165</v>
      </c>
      <c r="B396" t="s">
        <v>163</v>
      </c>
      <c r="C396" t="s">
        <v>3606</v>
      </c>
      <c r="D396" t="s">
        <v>309</v>
      </c>
      <c r="F396" t="s">
        <v>6985</v>
      </c>
      <c r="G396" t="s">
        <v>941</v>
      </c>
      <c r="H396" t="s">
        <v>9563</v>
      </c>
      <c r="I396" t="s">
        <v>1507</v>
      </c>
      <c r="J396" t="s">
        <v>1641</v>
      </c>
      <c r="K396">
        <v>10452</v>
      </c>
      <c r="L396" t="s">
        <v>1670</v>
      </c>
      <c r="M396" t="s">
        <v>1670</v>
      </c>
      <c r="N396" t="s">
        <v>11935</v>
      </c>
      <c r="O396" t="s">
        <v>1936</v>
      </c>
      <c r="P396" t="s">
        <v>1960</v>
      </c>
      <c r="R396" t="s">
        <v>50</v>
      </c>
      <c r="S396" t="s">
        <v>1671</v>
      </c>
      <c r="U396" t="s">
        <v>1972</v>
      </c>
      <c r="V396" t="s">
        <v>1983</v>
      </c>
      <c r="W396" t="s">
        <v>306</v>
      </c>
      <c r="X396">
        <v>1300</v>
      </c>
      <c r="Y396" t="s">
        <v>2006</v>
      </c>
      <c r="Z396" t="s">
        <v>2015</v>
      </c>
      <c r="AB396" t="s">
        <v>13357</v>
      </c>
      <c r="AD396" t="s">
        <v>15919</v>
      </c>
      <c r="AE396" t="s">
        <v>13051</v>
      </c>
      <c r="AF396" t="s">
        <v>2902</v>
      </c>
      <c r="AG396" t="s">
        <v>1754</v>
      </c>
      <c r="AH396">
        <v>4</v>
      </c>
      <c r="AI396">
        <v>2</v>
      </c>
      <c r="AJ396">
        <v>1</v>
      </c>
      <c r="AK396">
        <v>282.96</v>
      </c>
      <c r="AL396" t="s">
        <v>390</v>
      </c>
      <c r="AM396" t="s">
        <v>18031</v>
      </c>
      <c r="AN396" t="s">
        <v>2926</v>
      </c>
      <c r="AO396">
        <v>58800</v>
      </c>
      <c r="AP396" t="s">
        <v>18122</v>
      </c>
      <c r="AU396">
        <v>16.5</v>
      </c>
      <c r="AV396" t="s">
        <v>369</v>
      </c>
      <c r="AW396" t="s">
        <v>3166</v>
      </c>
    </row>
    <row r="397" spans="1:50">
      <c r="A397" s="1" t="s">
        <v>96</v>
      </c>
      <c r="B397" t="s">
        <v>163</v>
      </c>
      <c r="C397" t="s">
        <v>3607</v>
      </c>
      <c r="D397" t="s">
        <v>239</v>
      </c>
      <c r="F397" t="s">
        <v>6986</v>
      </c>
      <c r="G397" t="s">
        <v>8065</v>
      </c>
      <c r="H397" t="s">
        <v>9564</v>
      </c>
      <c r="I397" t="s">
        <v>11035</v>
      </c>
      <c r="J397" t="s">
        <v>1644</v>
      </c>
      <c r="K397">
        <v>11203</v>
      </c>
      <c r="L397" t="s">
        <v>1670</v>
      </c>
      <c r="M397" t="s">
        <v>1672</v>
      </c>
      <c r="O397" t="s">
        <v>1945</v>
      </c>
      <c r="P397" t="s">
        <v>1959</v>
      </c>
      <c r="R397" t="s">
        <v>50</v>
      </c>
      <c r="U397" t="s">
        <v>1972</v>
      </c>
      <c r="W397" t="s">
        <v>239</v>
      </c>
      <c r="X397">
        <v>1235.14</v>
      </c>
      <c r="Y397" t="s">
        <v>2009</v>
      </c>
      <c r="Z397" t="s">
        <v>2020</v>
      </c>
      <c r="AB397" t="s">
        <v>13358</v>
      </c>
      <c r="AD397" t="s">
        <v>15920</v>
      </c>
      <c r="AE397">
        <v>42</v>
      </c>
      <c r="AF397" t="s">
        <v>2902</v>
      </c>
      <c r="AH397">
        <v>13</v>
      </c>
      <c r="AI397">
        <v>2</v>
      </c>
      <c r="AJ397">
        <v>0</v>
      </c>
      <c r="AK397">
        <v>283.04</v>
      </c>
      <c r="AL397" t="s">
        <v>399</v>
      </c>
      <c r="AM397" t="s">
        <v>18031</v>
      </c>
      <c r="AN397" t="s">
        <v>2926</v>
      </c>
      <c r="AO397">
        <v>47861.76</v>
      </c>
      <c r="AU397">
        <v>11.25</v>
      </c>
      <c r="AV397" t="s">
        <v>399</v>
      </c>
      <c r="AW397" t="s">
        <v>96</v>
      </c>
      <c r="AX397" t="s">
        <v>18685</v>
      </c>
    </row>
    <row r="398" spans="1:50">
      <c r="A398" s="1" t="s">
        <v>82</v>
      </c>
      <c r="B398" t="s">
        <v>163</v>
      </c>
      <c r="C398" t="s">
        <v>3608</v>
      </c>
      <c r="D398" t="s">
        <v>226</v>
      </c>
      <c r="F398" t="s">
        <v>6953</v>
      </c>
      <c r="G398" t="s">
        <v>877</v>
      </c>
      <c r="H398" t="s">
        <v>9565</v>
      </c>
      <c r="I398" t="s">
        <v>11036</v>
      </c>
      <c r="J398" t="s">
        <v>1644</v>
      </c>
      <c r="K398">
        <v>11233</v>
      </c>
      <c r="L398" t="s">
        <v>1670</v>
      </c>
      <c r="M398" t="s">
        <v>1671</v>
      </c>
      <c r="N398" t="s">
        <v>1754</v>
      </c>
      <c r="O398" t="s">
        <v>1937</v>
      </c>
      <c r="P398" t="s">
        <v>1962</v>
      </c>
      <c r="R398" t="s">
        <v>50</v>
      </c>
      <c r="S398" t="s">
        <v>1670</v>
      </c>
      <c r="U398" t="s">
        <v>1972</v>
      </c>
      <c r="V398" t="s">
        <v>1984</v>
      </c>
      <c r="W398" t="s">
        <v>221</v>
      </c>
      <c r="X398" t="s">
        <v>13051</v>
      </c>
      <c r="Y398" t="s">
        <v>2009</v>
      </c>
      <c r="Z398" t="s">
        <v>2017</v>
      </c>
      <c r="AB398" t="s">
        <v>13359</v>
      </c>
      <c r="AC398" t="s">
        <v>1754</v>
      </c>
      <c r="AE398">
        <v>359</v>
      </c>
      <c r="AF398" t="s">
        <v>2902</v>
      </c>
      <c r="AG398" t="s">
        <v>1754</v>
      </c>
      <c r="AH398">
        <v>21</v>
      </c>
      <c r="AI398">
        <v>1</v>
      </c>
      <c r="AJ398">
        <v>0</v>
      </c>
      <c r="AK398">
        <v>283.43</v>
      </c>
      <c r="AN398" t="s">
        <v>2926</v>
      </c>
      <c r="AO398">
        <v>35400</v>
      </c>
      <c r="AP398" t="s">
        <v>18123</v>
      </c>
      <c r="AU398" t="s">
        <v>13051</v>
      </c>
      <c r="AW398" t="s">
        <v>3059</v>
      </c>
      <c r="AX398" t="s">
        <v>1754</v>
      </c>
    </row>
    <row r="399" spans="1:50">
      <c r="A399" s="1" t="s">
        <v>82</v>
      </c>
      <c r="B399" t="s">
        <v>163</v>
      </c>
      <c r="C399" t="s">
        <v>3609</v>
      </c>
      <c r="D399" t="s">
        <v>226</v>
      </c>
      <c r="F399" t="s">
        <v>6953</v>
      </c>
      <c r="G399" t="s">
        <v>877</v>
      </c>
      <c r="H399" t="s">
        <v>9565</v>
      </c>
      <c r="I399" t="s">
        <v>11036</v>
      </c>
      <c r="J399" t="s">
        <v>1644</v>
      </c>
      <c r="K399">
        <v>11233</v>
      </c>
      <c r="L399" t="s">
        <v>1670</v>
      </c>
      <c r="M399" t="s">
        <v>1671</v>
      </c>
      <c r="N399" t="s">
        <v>1754</v>
      </c>
      <c r="O399" t="s">
        <v>1938</v>
      </c>
      <c r="P399" t="s">
        <v>1961</v>
      </c>
      <c r="R399" t="s">
        <v>50</v>
      </c>
      <c r="S399" t="s">
        <v>1670</v>
      </c>
      <c r="U399" t="s">
        <v>1972</v>
      </c>
      <c r="V399" t="s">
        <v>1984</v>
      </c>
      <c r="W399" t="s">
        <v>248</v>
      </c>
      <c r="X399" t="s">
        <v>13051</v>
      </c>
      <c r="Y399" t="s">
        <v>2009</v>
      </c>
      <c r="Z399" t="s">
        <v>2017</v>
      </c>
      <c r="AB399" t="s">
        <v>13359</v>
      </c>
      <c r="AE399">
        <v>359</v>
      </c>
      <c r="AF399" t="s">
        <v>2902</v>
      </c>
      <c r="AH399">
        <v>21</v>
      </c>
      <c r="AI399">
        <v>1</v>
      </c>
      <c r="AJ399">
        <v>0</v>
      </c>
      <c r="AK399">
        <v>283.43</v>
      </c>
      <c r="AN399" t="s">
        <v>2926</v>
      </c>
      <c r="AO399">
        <v>35400</v>
      </c>
      <c r="AP399" t="s">
        <v>18124</v>
      </c>
      <c r="AU399" t="s">
        <v>13051</v>
      </c>
      <c r="AW399" t="s">
        <v>3059</v>
      </c>
      <c r="AX399" t="s">
        <v>1754</v>
      </c>
    </row>
    <row r="400" spans="1:50">
      <c r="A400" s="1" t="s">
        <v>82</v>
      </c>
      <c r="B400" t="s">
        <v>163</v>
      </c>
      <c r="C400" t="s">
        <v>3610</v>
      </c>
      <c r="D400" t="s">
        <v>256</v>
      </c>
      <c r="F400" t="s">
        <v>6987</v>
      </c>
      <c r="G400" t="s">
        <v>8066</v>
      </c>
      <c r="H400" t="s">
        <v>9442</v>
      </c>
      <c r="I400" t="s">
        <v>11037</v>
      </c>
      <c r="J400" t="s">
        <v>1644</v>
      </c>
      <c r="K400">
        <v>11233</v>
      </c>
      <c r="L400" t="s">
        <v>1670</v>
      </c>
      <c r="M400" t="s">
        <v>1671</v>
      </c>
      <c r="O400" t="s">
        <v>1937</v>
      </c>
      <c r="P400" t="s">
        <v>1962</v>
      </c>
      <c r="R400" t="s">
        <v>50</v>
      </c>
      <c r="S400" t="s">
        <v>1670</v>
      </c>
      <c r="U400" t="s">
        <v>1972</v>
      </c>
      <c r="V400" t="s">
        <v>1984</v>
      </c>
      <c r="W400" t="s">
        <v>221</v>
      </c>
      <c r="X400">
        <v>1825</v>
      </c>
      <c r="Y400" t="s">
        <v>2009</v>
      </c>
      <c r="Z400" t="s">
        <v>2017</v>
      </c>
      <c r="AB400" t="s">
        <v>13360</v>
      </c>
      <c r="AE400">
        <v>359</v>
      </c>
      <c r="AF400" t="s">
        <v>2902</v>
      </c>
      <c r="AH400">
        <v>1</v>
      </c>
      <c r="AI400">
        <v>2</v>
      </c>
      <c r="AJ400">
        <v>0</v>
      </c>
      <c r="AK400">
        <v>283.86</v>
      </c>
      <c r="AL400" t="s">
        <v>365</v>
      </c>
      <c r="AM400" t="s">
        <v>18031</v>
      </c>
      <c r="AN400" t="s">
        <v>2926</v>
      </c>
      <c r="AO400">
        <v>48000</v>
      </c>
      <c r="AP400" t="s">
        <v>18125</v>
      </c>
      <c r="AU400" t="s">
        <v>13051</v>
      </c>
      <c r="AW400" t="s">
        <v>3059</v>
      </c>
    </row>
    <row r="401" spans="1:50">
      <c r="A401" s="1" t="s">
        <v>82</v>
      </c>
      <c r="B401" t="s">
        <v>163</v>
      </c>
      <c r="C401" t="s">
        <v>3611</v>
      </c>
      <c r="D401" t="s">
        <v>256</v>
      </c>
      <c r="F401" t="s">
        <v>6987</v>
      </c>
      <c r="G401" t="s">
        <v>8066</v>
      </c>
      <c r="H401" t="s">
        <v>9442</v>
      </c>
      <c r="I401" t="s">
        <v>11037</v>
      </c>
      <c r="J401" t="s">
        <v>1644</v>
      </c>
      <c r="K401">
        <v>11233</v>
      </c>
      <c r="L401" t="s">
        <v>1670</v>
      </c>
      <c r="M401" t="s">
        <v>1671</v>
      </c>
      <c r="O401" t="s">
        <v>1938</v>
      </c>
      <c r="P401" t="s">
        <v>1961</v>
      </c>
      <c r="R401" t="s">
        <v>50</v>
      </c>
      <c r="S401" t="s">
        <v>1670</v>
      </c>
      <c r="U401" t="s">
        <v>1972</v>
      </c>
      <c r="V401" t="s">
        <v>1984</v>
      </c>
      <c r="W401" t="s">
        <v>248</v>
      </c>
      <c r="X401">
        <v>1825</v>
      </c>
      <c r="Y401" t="s">
        <v>2009</v>
      </c>
      <c r="Z401" t="s">
        <v>2017</v>
      </c>
      <c r="AB401" t="s">
        <v>13360</v>
      </c>
      <c r="AE401">
        <v>359</v>
      </c>
      <c r="AF401" t="s">
        <v>2902</v>
      </c>
      <c r="AH401">
        <v>1</v>
      </c>
      <c r="AI401">
        <v>2</v>
      </c>
      <c r="AJ401">
        <v>0</v>
      </c>
      <c r="AK401">
        <v>283.86</v>
      </c>
      <c r="AL401" t="s">
        <v>365</v>
      </c>
      <c r="AM401" t="s">
        <v>18031</v>
      </c>
      <c r="AN401" t="s">
        <v>2926</v>
      </c>
      <c r="AO401">
        <v>48000</v>
      </c>
      <c r="AP401" t="s">
        <v>18126</v>
      </c>
      <c r="AU401" t="s">
        <v>13051</v>
      </c>
      <c r="AW401" t="s">
        <v>3059</v>
      </c>
    </row>
    <row r="402" spans="1:50">
      <c r="A402" s="1" t="s">
        <v>57</v>
      </c>
      <c r="B402" t="s">
        <v>163</v>
      </c>
      <c r="C402" t="s">
        <v>3612</v>
      </c>
      <c r="D402" t="s">
        <v>266</v>
      </c>
      <c r="F402" t="s">
        <v>6988</v>
      </c>
      <c r="G402" t="s">
        <v>8067</v>
      </c>
      <c r="H402" t="s">
        <v>9500</v>
      </c>
      <c r="I402" t="s">
        <v>11024</v>
      </c>
      <c r="J402" t="s">
        <v>1641</v>
      </c>
      <c r="K402">
        <v>10453</v>
      </c>
      <c r="L402" t="s">
        <v>1670</v>
      </c>
      <c r="M402" t="s">
        <v>1670</v>
      </c>
      <c r="O402" t="s">
        <v>1938</v>
      </c>
      <c r="P402" t="s">
        <v>1961</v>
      </c>
      <c r="R402" t="s">
        <v>50</v>
      </c>
      <c r="S402" t="s">
        <v>1670</v>
      </c>
      <c r="U402" t="s">
        <v>1972</v>
      </c>
      <c r="W402" t="s">
        <v>283</v>
      </c>
      <c r="X402">
        <v>1081</v>
      </c>
      <c r="Y402" t="s">
        <v>2006</v>
      </c>
      <c r="Z402" t="s">
        <v>2016</v>
      </c>
      <c r="AB402" t="s">
        <v>13361</v>
      </c>
      <c r="AD402" t="s">
        <v>15921</v>
      </c>
      <c r="AE402">
        <v>170</v>
      </c>
      <c r="AF402" t="s">
        <v>2902</v>
      </c>
      <c r="AG402" t="s">
        <v>1754</v>
      </c>
      <c r="AH402">
        <v>21</v>
      </c>
      <c r="AI402">
        <v>2</v>
      </c>
      <c r="AJ402">
        <v>0</v>
      </c>
      <c r="AK402">
        <v>283.86</v>
      </c>
      <c r="AN402" t="s">
        <v>2926</v>
      </c>
      <c r="AO402">
        <v>48000</v>
      </c>
      <c r="AU402" t="s">
        <v>13051</v>
      </c>
      <c r="AW402" t="s">
        <v>3045</v>
      </c>
    </row>
    <row r="403" spans="1:50">
      <c r="A403" s="1" t="s">
        <v>57</v>
      </c>
      <c r="B403" t="s">
        <v>163</v>
      </c>
      <c r="C403" t="s">
        <v>3613</v>
      </c>
      <c r="D403" t="s">
        <v>190</v>
      </c>
      <c r="F403" t="s">
        <v>6988</v>
      </c>
      <c r="G403" t="s">
        <v>8067</v>
      </c>
      <c r="H403" t="s">
        <v>9500</v>
      </c>
      <c r="I403" t="s">
        <v>11024</v>
      </c>
      <c r="J403" t="s">
        <v>1641</v>
      </c>
      <c r="K403">
        <v>10453</v>
      </c>
      <c r="L403" t="s">
        <v>1670</v>
      </c>
      <c r="M403" t="s">
        <v>1670</v>
      </c>
      <c r="N403" t="s">
        <v>1677</v>
      </c>
      <c r="O403" t="s">
        <v>1939</v>
      </c>
      <c r="P403" t="s">
        <v>1960</v>
      </c>
      <c r="R403" t="s">
        <v>50</v>
      </c>
      <c r="S403" t="s">
        <v>1670</v>
      </c>
      <c r="U403" t="s">
        <v>1972</v>
      </c>
      <c r="W403" t="s">
        <v>283</v>
      </c>
      <c r="X403">
        <v>1081</v>
      </c>
      <c r="Y403" t="s">
        <v>2006</v>
      </c>
      <c r="Z403" t="s">
        <v>2016</v>
      </c>
      <c r="AB403" t="s">
        <v>13361</v>
      </c>
      <c r="AD403" t="s">
        <v>15921</v>
      </c>
      <c r="AE403">
        <v>170</v>
      </c>
      <c r="AF403" t="s">
        <v>2902</v>
      </c>
      <c r="AG403" t="s">
        <v>1754</v>
      </c>
      <c r="AH403">
        <v>21</v>
      </c>
      <c r="AI403">
        <v>2</v>
      </c>
      <c r="AJ403">
        <v>0</v>
      </c>
      <c r="AK403">
        <v>283.86</v>
      </c>
      <c r="AN403" t="s">
        <v>2926</v>
      </c>
      <c r="AO403">
        <v>48000</v>
      </c>
      <c r="AU403" t="s">
        <v>13051</v>
      </c>
      <c r="AW403" t="s">
        <v>3045</v>
      </c>
    </row>
    <row r="404" spans="1:50">
      <c r="A404" s="1" t="s">
        <v>122</v>
      </c>
      <c r="B404" t="s">
        <v>164</v>
      </c>
      <c r="C404" t="s">
        <v>3614</v>
      </c>
      <c r="D404" t="s">
        <v>301</v>
      </c>
      <c r="E404" t="s">
        <v>326</v>
      </c>
      <c r="F404" t="s">
        <v>724</v>
      </c>
      <c r="G404" t="s">
        <v>8068</v>
      </c>
      <c r="H404" t="s">
        <v>9566</v>
      </c>
      <c r="I404" t="s">
        <v>11038</v>
      </c>
      <c r="J404" t="s">
        <v>1641</v>
      </c>
      <c r="K404">
        <v>10452</v>
      </c>
      <c r="L404" t="s">
        <v>1670</v>
      </c>
      <c r="M404" t="s">
        <v>1670</v>
      </c>
      <c r="O404" t="s">
        <v>1675</v>
      </c>
      <c r="P404" t="s">
        <v>1958</v>
      </c>
      <c r="Q404" t="s">
        <v>1965</v>
      </c>
      <c r="R404" t="s">
        <v>50</v>
      </c>
      <c r="S404" t="s">
        <v>1671</v>
      </c>
      <c r="U404" t="s">
        <v>1972</v>
      </c>
      <c r="W404" t="s">
        <v>301</v>
      </c>
      <c r="X404">
        <v>1247</v>
      </c>
      <c r="Y404" t="s">
        <v>2006</v>
      </c>
      <c r="Z404" t="s">
        <v>2015</v>
      </c>
      <c r="AA404" t="s">
        <v>2029</v>
      </c>
      <c r="AB404" t="s">
        <v>13362</v>
      </c>
      <c r="AD404" t="s">
        <v>15922</v>
      </c>
      <c r="AE404" t="s">
        <v>13051</v>
      </c>
      <c r="AF404" t="s">
        <v>2902</v>
      </c>
      <c r="AG404" t="s">
        <v>1754</v>
      </c>
      <c r="AH404">
        <v>5</v>
      </c>
      <c r="AI404">
        <v>1</v>
      </c>
      <c r="AJ404">
        <v>0</v>
      </c>
      <c r="AK404">
        <v>285.19</v>
      </c>
      <c r="AN404" t="s">
        <v>2927</v>
      </c>
      <c r="AO404">
        <v>35620</v>
      </c>
      <c r="AU404">
        <v>0.5</v>
      </c>
      <c r="AV404" t="s">
        <v>301</v>
      </c>
      <c r="AW404" t="s">
        <v>122</v>
      </c>
    </row>
    <row r="405" spans="1:50">
      <c r="A405" s="1" t="s">
        <v>57</v>
      </c>
      <c r="B405" t="s">
        <v>163</v>
      </c>
      <c r="C405" t="s">
        <v>3615</v>
      </c>
      <c r="D405" t="s">
        <v>170</v>
      </c>
      <c r="F405" t="s">
        <v>422</v>
      </c>
      <c r="G405" t="s">
        <v>8069</v>
      </c>
      <c r="H405" t="s">
        <v>1112</v>
      </c>
      <c r="I405" t="s">
        <v>1497</v>
      </c>
      <c r="J405" t="s">
        <v>1641</v>
      </c>
      <c r="K405">
        <v>10453</v>
      </c>
      <c r="L405" t="s">
        <v>1670</v>
      </c>
      <c r="M405" t="s">
        <v>1670</v>
      </c>
      <c r="O405" t="s">
        <v>1938</v>
      </c>
      <c r="P405" t="s">
        <v>1961</v>
      </c>
      <c r="R405" t="s">
        <v>50</v>
      </c>
      <c r="S405" t="s">
        <v>1670</v>
      </c>
      <c r="U405" t="s">
        <v>1972</v>
      </c>
      <c r="W405" t="s">
        <v>283</v>
      </c>
      <c r="X405">
        <v>1194</v>
      </c>
      <c r="Y405" t="s">
        <v>2006</v>
      </c>
      <c r="Z405" t="s">
        <v>2015</v>
      </c>
      <c r="AB405" t="s">
        <v>13363</v>
      </c>
      <c r="AD405" t="s">
        <v>15923</v>
      </c>
      <c r="AE405">
        <v>167</v>
      </c>
      <c r="AF405" t="s">
        <v>2902</v>
      </c>
      <c r="AG405" t="s">
        <v>1754</v>
      </c>
      <c r="AH405">
        <v>12</v>
      </c>
      <c r="AI405">
        <v>1</v>
      </c>
      <c r="AJ405">
        <v>0</v>
      </c>
      <c r="AK405">
        <v>288.23</v>
      </c>
      <c r="AN405" t="s">
        <v>2926</v>
      </c>
      <c r="AO405">
        <v>36000</v>
      </c>
      <c r="AU405" t="s">
        <v>13051</v>
      </c>
      <c r="AW405" t="s">
        <v>3046</v>
      </c>
    </row>
    <row r="406" spans="1:50">
      <c r="A406" s="1" t="s">
        <v>57</v>
      </c>
      <c r="B406" t="s">
        <v>163</v>
      </c>
      <c r="C406" t="s">
        <v>3616</v>
      </c>
      <c r="D406" t="s">
        <v>170</v>
      </c>
      <c r="F406" t="s">
        <v>422</v>
      </c>
      <c r="G406" t="s">
        <v>8069</v>
      </c>
      <c r="H406" t="s">
        <v>1112</v>
      </c>
      <c r="I406" t="s">
        <v>1497</v>
      </c>
      <c r="J406" t="s">
        <v>1641</v>
      </c>
      <c r="K406">
        <v>10453</v>
      </c>
      <c r="L406" t="s">
        <v>1670</v>
      </c>
      <c r="M406" t="s">
        <v>1670</v>
      </c>
      <c r="N406" t="s">
        <v>1677</v>
      </c>
      <c r="O406" t="s">
        <v>1939</v>
      </c>
      <c r="P406" t="s">
        <v>1960</v>
      </c>
      <c r="R406" t="s">
        <v>50</v>
      </c>
      <c r="S406" t="s">
        <v>1670</v>
      </c>
      <c r="U406" t="s">
        <v>1972</v>
      </c>
      <c r="W406" t="s">
        <v>283</v>
      </c>
      <c r="X406">
        <v>1194</v>
      </c>
      <c r="Y406" t="s">
        <v>2006</v>
      </c>
      <c r="Z406" t="s">
        <v>2015</v>
      </c>
      <c r="AB406" t="s">
        <v>13363</v>
      </c>
      <c r="AD406" t="s">
        <v>15923</v>
      </c>
      <c r="AE406">
        <v>167</v>
      </c>
      <c r="AF406" t="s">
        <v>2902</v>
      </c>
      <c r="AG406" t="s">
        <v>1754</v>
      </c>
      <c r="AH406">
        <v>12</v>
      </c>
      <c r="AI406">
        <v>1</v>
      </c>
      <c r="AJ406">
        <v>0</v>
      </c>
      <c r="AK406">
        <v>288.23</v>
      </c>
      <c r="AN406" t="s">
        <v>2926</v>
      </c>
      <c r="AO406">
        <v>36000</v>
      </c>
      <c r="AU406" t="s">
        <v>13051</v>
      </c>
      <c r="AW406" t="s">
        <v>3046</v>
      </c>
    </row>
    <row r="407" spans="1:50">
      <c r="A407" s="1" t="s">
        <v>3166</v>
      </c>
      <c r="B407" t="s">
        <v>163</v>
      </c>
      <c r="C407" t="s">
        <v>3617</v>
      </c>
      <c r="D407" t="s">
        <v>213</v>
      </c>
      <c r="F407" t="s">
        <v>6989</v>
      </c>
      <c r="G407" t="s">
        <v>912</v>
      </c>
      <c r="H407" t="s">
        <v>9567</v>
      </c>
      <c r="I407" t="s">
        <v>1562</v>
      </c>
      <c r="J407" t="s">
        <v>1641</v>
      </c>
      <c r="K407">
        <v>10453</v>
      </c>
      <c r="L407" t="s">
        <v>1670</v>
      </c>
      <c r="M407" t="s">
        <v>1672</v>
      </c>
      <c r="N407" t="s">
        <v>11936</v>
      </c>
      <c r="O407" t="s">
        <v>1936</v>
      </c>
      <c r="P407" t="s">
        <v>1960</v>
      </c>
      <c r="R407" t="s">
        <v>50</v>
      </c>
      <c r="S407" t="s">
        <v>1671</v>
      </c>
      <c r="U407" t="s">
        <v>1974</v>
      </c>
      <c r="W407" t="s">
        <v>291</v>
      </c>
      <c r="X407">
        <v>1235</v>
      </c>
      <c r="Y407" t="s">
        <v>2006</v>
      </c>
      <c r="AB407" t="s">
        <v>13364</v>
      </c>
      <c r="AD407" t="s">
        <v>15924</v>
      </c>
      <c r="AE407">
        <v>36</v>
      </c>
      <c r="AF407" t="s">
        <v>2908</v>
      </c>
      <c r="AG407" t="s">
        <v>1754</v>
      </c>
      <c r="AH407">
        <v>3</v>
      </c>
      <c r="AI407">
        <v>1</v>
      </c>
      <c r="AJ407">
        <v>0</v>
      </c>
      <c r="AK407">
        <v>288.23</v>
      </c>
      <c r="AL407" t="s">
        <v>291</v>
      </c>
      <c r="AM407" t="s">
        <v>18031</v>
      </c>
      <c r="AN407" t="s">
        <v>2926</v>
      </c>
      <c r="AO407">
        <v>36000</v>
      </c>
      <c r="AU407">
        <v>0.5</v>
      </c>
      <c r="AV407" t="s">
        <v>401</v>
      </c>
      <c r="AW407" t="s">
        <v>3053</v>
      </c>
      <c r="AX407" t="s">
        <v>18685</v>
      </c>
    </row>
    <row r="408" spans="1:50">
      <c r="A408" s="1" t="s">
        <v>95</v>
      </c>
      <c r="B408" t="s">
        <v>164</v>
      </c>
      <c r="C408" t="s">
        <v>3618</v>
      </c>
      <c r="D408" t="s">
        <v>382</v>
      </c>
      <c r="E408" t="s">
        <v>297</v>
      </c>
      <c r="F408" t="s">
        <v>542</v>
      </c>
      <c r="G408" t="s">
        <v>8070</v>
      </c>
      <c r="H408" t="s">
        <v>9568</v>
      </c>
      <c r="I408">
        <v>5</v>
      </c>
      <c r="J408" t="s">
        <v>1641</v>
      </c>
      <c r="K408">
        <v>10467</v>
      </c>
      <c r="L408" t="s">
        <v>1670</v>
      </c>
      <c r="M408" t="s">
        <v>1670</v>
      </c>
      <c r="O408" t="s">
        <v>1675</v>
      </c>
      <c r="P408" t="s">
        <v>1958</v>
      </c>
      <c r="Q408" t="s">
        <v>1965</v>
      </c>
      <c r="R408" t="s">
        <v>50</v>
      </c>
      <c r="U408" t="s">
        <v>1972</v>
      </c>
      <c r="W408" t="s">
        <v>174</v>
      </c>
      <c r="X408">
        <v>1400</v>
      </c>
      <c r="Y408" t="s">
        <v>2006</v>
      </c>
      <c r="AA408" t="s">
        <v>2029</v>
      </c>
      <c r="AB408" t="s">
        <v>2072</v>
      </c>
      <c r="AE408" t="s">
        <v>13051</v>
      </c>
      <c r="AF408" t="s">
        <v>2902</v>
      </c>
      <c r="AH408">
        <v>6</v>
      </c>
      <c r="AI408">
        <v>1</v>
      </c>
      <c r="AJ408">
        <v>0</v>
      </c>
      <c r="AK408">
        <v>288.3</v>
      </c>
      <c r="AN408" t="s">
        <v>2926</v>
      </c>
      <c r="AO408">
        <v>35000</v>
      </c>
      <c r="AU408">
        <v>0.75</v>
      </c>
      <c r="AV408" t="s">
        <v>329</v>
      </c>
      <c r="AW408" t="s">
        <v>95</v>
      </c>
    </row>
    <row r="409" spans="1:50">
      <c r="A409" s="1" t="s">
        <v>62</v>
      </c>
      <c r="B409" t="s">
        <v>164</v>
      </c>
      <c r="C409" t="s">
        <v>3619</v>
      </c>
      <c r="D409" t="s">
        <v>279</v>
      </c>
      <c r="E409" t="s">
        <v>271</v>
      </c>
      <c r="F409" t="s">
        <v>6990</v>
      </c>
      <c r="G409" t="s">
        <v>8071</v>
      </c>
      <c r="H409" t="s">
        <v>9569</v>
      </c>
      <c r="I409" t="s">
        <v>1538</v>
      </c>
      <c r="J409" t="s">
        <v>1644</v>
      </c>
      <c r="K409">
        <v>11230</v>
      </c>
      <c r="L409" t="s">
        <v>1670</v>
      </c>
      <c r="M409" t="s">
        <v>1671</v>
      </c>
      <c r="O409" t="s">
        <v>1937</v>
      </c>
      <c r="P409" t="s">
        <v>1959</v>
      </c>
      <c r="Q409" t="s">
        <v>1968</v>
      </c>
      <c r="R409" t="s">
        <v>50</v>
      </c>
      <c r="S409" t="s">
        <v>1670</v>
      </c>
      <c r="U409" t="s">
        <v>1972</v>
      </c>
      <c r="W409" t="s">
        <v>238</v>
      </c>
      <c r="X409">
        <v>1475</v>
      </c>
      <c r="Y409" t="s">
        <v>2009</v>
      </c>
      <c r="AA409" t="s">
        <v>2031</v>
      </c>
      <c r="AB409" t="s">
        <v>13365</v>
      </c>
      <c r="AD409" t="s">
        <v>15925</v>
      </c>
      <c r="AE409">
        <v>66</v>
      </c>
      <c r="AF409" t="s">
        <v>2902</v>
      </c>
      <c r="AH409">
        <v>22</v>
      </c>
      <c r="AI409">
        <v>1</v>
      </c>
      <c r="AJ409">
        <v>0</v>
      </c>
      <c r="AK409">
        <v>288.3</v>
      </c>
      <c r="AN409" t="s">
        <v>2926</v>
      </c>
      <c r="AO409">
        <v>35000</v>
      </c>
      <c r="AU409">
        <v>0.55</v>
      </c>
      <c r="AV409" t="s">
        <v>395</v>
      </c>
      <c r="AW409" t="s">
        <v>69</v>
      </c>
    </row>
    <row r="410" spans="1:50">
      <c r="A410" s="1" t="s">
        <v>79</v>
      </c>
      <c r="B410" t="s">
        <v>164</v>
      </c>
      <c r="C410" t="s">
        <v>3620</v>
      </c>
      <c r="D410" t="s">
        <v>2000</v>
      </c>
      <c r="E410" t="s">
        <v>2005</v>
      </c>
      <c r="F410" t="s">
        <v>6979</v>
      </c>
      <c r="G410" t="s">
        <v>938</v>
      </c>
      <c r="H410" t="s">
        <v>9438</v>
      </c>
      <c r="J410" t="s">
        <v>1644</v>
      </c>
      <c r="K410">
        <v>11208</v>
      </c>
      <c r="L410" t="s">
        <v>1670</v>
      </c>
      <c r="M410" t="s">
        <v>1670</v>
      </c>
      <c r="N410" t="s">
        <v>11937</v>
      </c>
      <c r="O410" t="s">
        <v>1940</v>
      </c>
      <c r="P410" t="s">
        <v>1960</v>
      </c>
      <c r="Q410" t="s">
        <v>1969</v>
      </c>
      <c r="R410" t="s">
        <v>50</v>
      </c>
      <c r="S410" t="s">
        <v>1670</v>
      </c>
      <c r="U410" t="s">
        <v>1972</v>
      </c>
      <c r="W410" t="s">
        <v>166</v>
      </c>
      <c r="X410">
        <v>400</v>
      </c>
      <c r="Y410" t="s">
        <v>2009</v>
      </c>
      <c r="AA410" t="s">
        <v>2032</v>
      </c>
      <c r="AB410" t="s">
        <v>13350</v>
      </c>
      <c r="AE410" t="s">
        <v>13051</v>
      </c>
      <c r="AH410">
        <v>3</v>
      </c>
      <c r="AI410">
        <v>1</v>
      </c>
      <c r="AJ410">
        <v>0</v>
      </c>
      <c r="AK410">
        <v>288.3</v>
      </c>
      <c r="AL410" t="s">
        <v>166</v>
      </c>
      <c r="AM410" t="s">
        <v>18031</v>
      </c>
      <c r="AO410">
        <v>35000</v>
      </c>
      <c r="AP410" t="s">
        <v>18081</v>
      </c>
      <c r="AQ410" t="s">
        <v>2979</v>
      </c>
      <c r="AR410" t="s">
        <v>2988</v>
      </c>
      <c r="AS410" t="s">
        <v>2992</v>
      </c>
      <c r="AT410" t="s">
        <v>18508</v>
      </c>
      <c r="AU410">
        <v>2.9</v>
      </c>
      <c r="AV410" t="s">
        <v>349</v>
      </c>
      <c r="AW410" t="s">
        <v>79</v>
      </c>
    </row>
    <row r="411" spans="1:50">
      <c r="A411" s="1" t="s">
        <v>74</v>
      </c>
      <c r="B411" t="s">
        <v>163</v>
      </c>
      <c r="C411" t="s">
        <v>3621</v>
      </c>
      <c r="D411" t="s">
        <v>306</v>
      </c>
      <c r="F411" t="s">
        <v>6980</v>
      </c>
      <c r="G411" t="s">
        <v>6804</v>
      </c>
      <c r="H411" t="s">
        <v>1131</v>
      </c>
      <c r="I411" t="s">
        <v>11032</v>
      </c>
      <c r="J411" t="s">
        <v>1641</v>
      </c>
      <c r="K411">
        <v>10460</v>
      </c>
      <c r="L411" t="s">
        <v>1670</v>
      </c>
      <c r="M411" t="s">
        <v>1670</v>
      </c>
      <c r="N411" t="s">
        <v>1692</v>
      </c>
      <c r="O411" t="s">
        <v>1939</v>
      </c>
      <c r="P411" t="s">
        <v>1960</v>
      </c>
      <c r="R411" t="s">
        <v>50</v>
      </c>
      <c r="S411" t="s">
        <v>1670</v>
      </c>
      <c r="U411" t="s">
        <v>1972</v>
      </c>
      <c r="W411" t="s">
        <v>283</v>
      </c>
      <c r="X411">
        <v>1071</v>
      </c>
      <c r="Y411" t="s">
        <v>2006</v>
      </c>
      <c r="Z411" t="s">
        <v>2015</v>
      </c>
      <c r="AB411" t="s">
        <v>13351</v>
      </c>
      <c r="AD411" t="s">
        <v>15915</v>
      </c>
      <c r="AE411">
        <v>168</v>
      </c>
      <c r="AF411" t="s">
        <v>2904</v>
      </c>
      <c r="AG411" t="s">
        <v>2915</v>
      </c>
      <c r="AH411">
        <v>10</v>
      </c>
      <c r="AI411">
        <v>1</v>
      </c>
      <c r="AJ411">
        <v>1</v>
      </c>
      <c r="AK411">
        <v>288.58</v>
      </c>
      <c r="AN411" t="s">
        <v>2926</v>
      </c>
      <c r="AO411">
        <v>47500</v>
      </c>
      <c r="AU411" t="s">
        <v>13051</v>
      </c>
      <c r="AW411" t="s">
        <v>3046</v>
      </c>
    </row>
    <row r="412" spans="1:50">
      <c r="A412" s="1" t="s">
        <v>100</v>
      </c>
      <c r="B412" t="s">
        <v>164</v>
      </c>
      <c r="C412" t="s">
        <v>3622</v>
      </c>
      <c r="D412" t="s">
        <v>170</v>
      </c>
      <c r="E412" t="s">
        <v>354</v>
      </c>
      <c r="F412" t="s">
        <v>6991</v>
      </c>
      <c r="G412" t="s">
        <v>6924</v>
      </c>
      <c r="H412" t="s">
        <v>9570</v>
      </c>
      <c r="I412" t="s">
        <v>1570</v>
      </c>
      <c r="J412" t="s">
        <v>1643</v>
      </c>
      <c r="K412">
        <v>10032</v>
      </c>
      <c r="L412" t="s">
        <v>1670</v>
      </c>
      <c r="M412" t="s">
        <v>1670</v>
      </c>
      <c r="O412" t="s">
        <v>1940</v>
      </c>
      <c r="P412" t="s">
        <v>1958</v>
      </c>
      <c r="Q412" t="s">
        <v>1965</v>
      </c>
      <c r="R412" t="s">
        <v>50</v>
      </c>
      <c r="S412" t="s">
        <v>1671</v>
      </c>
      <c r="U412" t="s">
        <v>1972</v>
      </c>
      <c r="W412" t="s">
        <v>170</v>
      </c>
      <c r="X412">
        <v>909.6799999999999</v>
      </c>
      <c r="Y412" t="s">
        <v>2008</v>
      </c>
      <c r="Z412" t="s">
        <v>2013</v>
      </c>
      <c r="AA412" t="s">
        <v>2029</v>
      </c>
      <c r="AB412" t="s">
        <v>13366</v>
      </c>
      <c r="AD412" t="s">
        <v>15926</v>
      </c>
      <c r="AE412">
        <v>42</v>
      </c>
      <c r="AF412" t="s">
        <v>2902</v>
      </c>
      <c r="AG412" t="s">
        <v>1754</v>
      </c>
      <c r="AH412">
        <v>37</v>
      </c>
      <c r="AI412">
        <v>3</v>
      </c>
      <c r="AJ412">
        <v>0</v>
      </c>
      <c r="AK412">
        <v>290.67</v>
      </c>
      <c r="AN412" t="s">
        <v>2927</v>
      </c>
      <c r="AO412">
        <v>62000</v>
      </c>
      <c r="AU412">
        <v>0.45</v>
      </c>
      <c r="AV412" t="s">
        <v>221</v>
      </c>
      <c r="AW412" t="s">
        <v>3042</v>
      </c>
      <c r="AX412" t="s">
        <v>18685</v>
      </c>
    </row>
    <row r="413" spans="1:50">
      <c r="A413" s="1" t="s">
        <v>96</v>
      </c>
      <c r="B413" t="s">
        <v>164</v>
      </c>
      <c r="C413" t="s">
        <v>3623</v>
      </c>
      <c r="D413" t="s">
        <v>2002</v>
      </c>
      <c r="E413" t="s">
        <v>171</v>
      </c>
      <c r="F413" t="s">
        <v>6986</v>
      </c>
      <c r="G413" t="s">
        <v>8065</v>
      </c>
      <c r="H413" t="s">
        <v>9564</v>
      </c>
      <c r="I413" t="s">
        <v>11035</v>
      </c>
      <c r="J413" t="s">
        <v>1644</v>
      </c>
      <c r="K413">
        <v>11203</v>
      </c>
      <c r="L413" t="s">
        <v>1670</v>
      </c>
      <c r="M413" t="s">
        <v>1670</v>
      </c>
      <c r="N413" t="s">
        <v>11938</v>
      </c>
      <c r="O413" t="s">
        <v>1939</v>
      </c>
      <c r="P413" t="s">
        <v>1960</v>
      </c>
      <c r="Q413" t="s">
        <v>1969</v>
      </c>
      <c r="R413" t="s">
        <v>50</v>
      </c>
      <c r="U413" t="s">
        <v>1972</v>
      </c>
      <c r="V413" t="s">
        <v>1987</v>
      </c>
      <c r="W413" t="s">
        <v>247</v>
      </c>
      <c r="X413">
        <v>1216.87</v>
      </c>
      <c r="Y413" t="s">
        <v>2009</v>
      </c>
      <c r="Z413" t="s">
        <v>2020</v>
      </c>
      <c r="AA413" t="s">
        <v>2031</v>
      </c>
      <c r="AB413" t="s">
        <v>13358</v>
      </c>
      <c r="AD413" t="s">
        <v>15920</v>
      </c>
      <c r="AE413">
        <v>40</v>
      </c>
      <c r="AF413" t="s">
        <v>2902</v>
      </c>
      <c r="AG413" t="s">
        <v>2919</v>
      </c>
      <c r="AH413">
        <v>12</v>
      </c>
      <c r="AI413">
        <v>2</v>
      </c>
      <c r="AJ413">
        <v>0</v>
      </c>
      <c r="AK413">
        <v>290.78</v>
      </c>
      <c r="AL413" t="s">
        <v>399</v>
      </c>
      <c r="AM413" t="s">
        <v>18031</v>
      </c>
      <c r="AN413" t="s">
        <v>2926</v>
      </c>
      <c r="AO413">
        <v>47861.76</v>
      </c>
      <c r="AQ413" t="s">
        <v>2976</v>
      </c>
      <c r="AR413" t="s">
        <v>18453</v>
      </c>
      <c r="AS413" t="s">
        <v>2992</v>
      </c>
      <c r="AT413" t="s">
        <v>18509</v>
      </c>
      <c r="AU413">
        <v>9.949999999999999</v>
      </c>
      <c r="AV413" t="s">
        <v>179</v>
      </c>
      <c r="AW413" t="s">
        <v>3069</v>
      </c>
    </row>
    <row r="414" spans="1:50">
      <c r="A414" s="1" t="s">
        <v>66</v>
      </c>
      <c r="B414" t="s">
        <v>163</v>
      </c>
      <c r="C414" t="s">
        <v>3624</v>
      </c>
      <c r="D414" t="s">
        <v>240</v>
      </c>
      <c r="F414" t="s">
        <v>6992</v>
      </c>
      <c r="G414" t="s">
        <v>8072</v>
      </c>
      <c r="H414" t="s">
        <v>9571</v>
      </c>
      <c r="I414" t="s">
        <v>1477</v>
      </c>
      <c r="J414" t="s">
        <v>1644</v>
      </c>
      <c r="K414">
        <v>11233</v>
      </c>
      <c r="L414" t="s">
        <v>1670</v>
      </c>
      <c r="M414" t="s">
        <v>1671</v>
      </c>
      <c r="N414" t="s">
        <v>11939</v>
      </c>
      <c r="O414" t="s">
        <v>1936</v>
      </c>
      <c r="P414" t="s">
        <v>1960</v>
      </c>
      <c r="R414" t="s">
        <v>50</v>
      </c>
      <c r="S414" t="s">
        <v>1671</v>
      </c>
      <c r="U414" t="s">
        <v>1972</v>
      </c>
      <c r="V414" t="s">
        <v>1985</v>
      </c>
      <c r="W414" t="s">
        <v>1999</v>
      </c>
      <c r="X414">
        <v>1300</v>
      </c>
      <c r="Y414" t="s">
        <v>2009</v>
      </c>
      <c r="Z414" t="s">
        <v>2016</v>
      </c>
      <c r="AB414" t="s">
        <v>13344</v>
      </c>
      <c r="AD414" t="s">
        <v>15927</v>
      </c>
      <c r="AE414">
        <v>16</v>
      </c>
      <c r="AF414" t="s">
        <v>2902</v>
      </c>
      <c r="AG414" t="s">
        <v>1754</v>
      </c>
      <c r="AH414" t="s">
        <v>13051</v>
      </c>
      <c r="AI414">
        <v>1</v>
      </c>
      <c r="AJ414">
        <v>0</v>
      </c>
      <c r="AK414">
        <v>291.22</v>
      </c>
      <c r="AN414" t="s">
        <v>2926</v>
      </c>
      <c r="AO414">
        <v>36374</v>
      </c>
      <c r="AU414">
        <v>20.3</v>
      </c>
      <c r="AV414" t="s">
        <v>397</v>
      </c>
      <c r="AW414" t="s">
        <v>3059</v>
      </c>
      <c r="AX414" t="s">
        <v>18685</v>
      </c>
    </row>
    <row r="415" spans="1:50">
      <c r="A415" s="1" t="s">
        <v>103</v>
      </c>
      <c r="B415" t="s">
        <v>163</v>
      </c>
      <c r="C415" t="s">
        <v>3625</v>
      </c>
      <c r="D415" t="s">
        <v>208</v>
      </c>
      <c r="F415" t="s">
        <v>6867</v>
      </c>
      <c r="G415" t="s">
        <v>8073</v>
      </c>
      <c r="H415" t="s">
        <v>9572</v>
      </c>
      <c r="I415">
        <v>3</v>
      </c>
      <c r="J415" t="s">
        <v>1644</v>
      </c>
      <c r="K415">
        <v>11233</v>
      </c>
      <c r="L415" t="s">
        <v>1670</v>
      </c>
      <c r="M415" t="s">
        <v>1670</v>
      </c>
      <c r="N415" t="s">
        <v>11940</v>
      </c>
      <c r="O415" t="s">
        <v>1940</v>
      </c>
      <c r="P415" t="s">
        <v>1958</v>
      </c>
      <c r="R415" t="s">
        <v>50</v>
      </c>
      <c r="S415" t="s">
        <v>1671</v>
      </c>
      <c r="U415" t="s">
        <v>1972</v>
      </c>
      <c r="W415" t="s">
        <v>208</v>
      </c>
      <c r="X415" t="s">
        <v>13051</v>
      </c>
      <c r="Y415" t="s">
        <v>2009</v>
      </c>
      <c r="Z415" t="s">
        <v>2013</v>
      </c>
      <c r="AB415" t="s">
        <v>13367</v>
      </c>
      <c r="AE415">
        <v>14</v>
      </c>
      <c r="AF415" t="s">
        <v>2904</v>
      </c>
      <c r="AG415" t="s">
        <v>1754</v>
      </c>
      <c r="AH415">
        <v>6</v>
      </c>
      <c r="AI415">
        <v>3</v>
      </c>
      <c r="AJ415">
        <v>1</v>
      </c>
      <c r="AK415">
        <v>291.26</v>
      </c>
      <c r="AN415" t="s">
        <v>2926</v>
      </c>
      <c r="AO415">
        <v>75000</v>
      </c>
      <c r="AU415">
        <v>1.25</v>
      </c>
      <c r="AV415" t="s">
        <v>286</v>
      </c>
      <c r="AW415" t="s">
        <v>3059</v>
      </c>
    </row>
    <row r="416" spans="1:50">
      <c r="A416" s="1" t="s">
        <v>114</v>
      </c>
      <c r="B416" t="s">
        <v>164</v>
      </c>
      <c r="C416" t="s">
        <v>3626</v>
      </c>
      <c r="D416" t="s">
        <v>230</v>
      </c>
      <c r="E416" t="s">
        <v>289</v>
      </c>
      <c r="F416" t="s">
        <v>6993</v>
      </c>
      <c r="G416" t="s">
        <v>8074</v>
      </c>
      <c r="H416" t="s">
        <v>9573</v>
      </c>
      <c r="I416" t="s">
        <v>1520</v>
      </c>
      <c r="J416" t="s">
        <v>1641</v>
      </c>
      <c r="K416">
        <v>10458</v>
      </c>
      <c r="L416" t="s">
        <v>1670</v>
      </c>
      <c r="M416" t="s">
        <v>1672</v>
      </c>
      <c r="O416" t="s">
        <v>1675</v>
      </c>
      <c r="P416" t="s">
        <v>1962</v>
      </c>
      <c r="Q416" t="s">
        <v>1968</v>
      </c>
      <c r="R416" t="s">
        <v>50</v>
      </c>
      <c r="S416" t="s">
        <v>1671</v>
      </c>
      <c r="U416" t="s">
        <v>1972</v>
      </c>
      <c r="W416" t="s">
        <v>1991</v>
      </c>
      <c r="X416">
        <v>1108</v>
      </c>
      <c r="Y416" t="s">
        <v>2006</v>
      </c>
      <c r="Z416" t="s">
        <v>2013</v>
      </c>
      <c r="AA416" t="s">
        <v>2030</v>
      </c>
      <c r="AB416" t="s">
        <v>13368</v>
      </c>
      <c r="AD416" t="s">
        <v>15928</v>
      </c>
      <c r="AE416">
        <v>37</v>
      </c>
      <c r="AF416" t="s">
        <v>2902</v>
      </c>
      <c r="AH416">
        <v>9</v>
      </c>
      <c r="AI416">
        <v>1</v>
      </c>
      <c r="AJ416">
        <v>0</v>
      </c>
      <c r="AK416">
        <v>291.43</v>
      </c>
      <c r="AN416" t="s">
        <v>2926</v>
      </c>
      <c r="AO416">
        <v>36400</v>
      </c>
      <c r="AP416" t="s">
        <v>18127</v>
      </c>
      <c r="AU416">
        <v>1.2</v>
      </c>
      <c r="AV416" t="s">
        <v>289</v>
      </c>
      <c r="AW416" t="s">
        <v>114</v>
      </c>
      <c r="AX416" t="s">
        <v>18685</v>
      </c>
    </row>
    <row r="417" spans="1:50">
      <c r="A417" s="1" t="s">
        <v>103</v>
      </c>
      <c r="B417" t="s">
        <v>163</v>
      </c>
      <c r="C417" t="s">
        <v>3627</v>
      </c>
      <c r="D417" t="s">
        <v>332</v>
      </c>
      <c r="F417" t="s">
        <v>6994</v>
      </c>
      <c r="G417" t="s">
        <v>7111</v>
      </c>
      <c r="H417" t="s">
        <v>9574</v>
      </c>
      <c r="I417" t="s">
        <v>11039</v>
      </c>
      <c r="J417" t="s">
        <v>1644</v>
      </c>
      <c r="K417">
        <v>11208</v>
      </c>
      <c r="L417" t="s">
        <v>1670</v>
      </c>
      <c r="M417" t="s">
        <v>1671</v>
      </c>
      <c r="N417" t="s">
        <v>11941</v>
      </c>
      <c r="O417" t="s">
        <v>1936</v>
      </c>
      <c r="P417" t="s">
        <v>1958</v>
      </c>
      <c r="R417" t="s">
        <v>50</v>
      </c>
      <c r="S417" t="s">
        <v>1671</v>
      </c>
      <c r="U417" t="s">
        <v>1972</v>
      </c>
      <c r="V417" t="s">
        <v>1984</v>
      </c>
      <c r="W417" t="s">
        <v>221</v>
      </c>
      <c r="X417">
        <v>1400</v>
      </c>
      <c r="Y417" t="s">
        <v>2009</v>
      </c>
      <c r="Z417" t="s">
        <v>2019</v>
      </c>
      <c r="AB417" t="s">
        <v>13369</v>
      </c>
      <c r="AD417" t="s">
        <v>15929</v>
      </c>
      <c r="AE417">
        <v>102</v>
      </c>
      <c r="AF417" t="s">
        <v>2902</v>
      </c>
      <c r="AG417" t="s">
        <v>2915</v>
      </c>
      <c r="AH417">
        <v>1</v>
      </c>
      <c r="AI417">
        <v>1</v>
      </c>
      <c r="AJ417">
        <v>0</v>
      </c>
      <c r="AK417">
        <v>291.6</v>
      </c>
      <c r="AN417" t="s">
        <v>2926</v>
      </c>
      <c r="AO417">
        <v>35400</v>
      </c>
      <c r="AU417">
        <v>5</v>
      </c>
      <c r="AV417" t="s">
        <v>253</v>
      </c>
      <c r="AW417" t="s">
        <v>3068</v>
      </c>
      <c r="AX417" t="s">
        <v>18685</v>
      </c>
    </row>
    <row r="418" spans="1:50">
      <c r="A418" s="1" t="s">
        <v>75</v>
      </c>
      <c r="B418" t="s">
        <v>164</v>
      </c>
      <c r="C418" t="s">
        <v>3628</v>
      </c>
      <c r="D418" t="s">
        <v>378</v>
      </c>
      <c r="E418" t="s">
        <v>231</v>
      </c>
      <c r="F418" t="s">
        <v>6995</v>
      </c>
      <c r="G418" t="s">
        <v>8075</v>
      </c>
      <c r="H418" t="s">
        <v>9575</v>
      </c>
      <c r="I418" t="s">
        <v>1564</v>
      </c>
      <c r="J418" t="s">
        <v>1643</v>
      </c>
      <c r="K418">
        <v>10029</v>
      </c>
      <c r="L418" t="s">
        <v>1670</v>
      </c>
      <c r="M418" t="s">
        <v>1670</v>
      </c>
      <c r="N418" t="s">
        <v>11942</v>
      </c>
      <c r="O418" t="s">
        <v>1936</v>
      </c>
      <c r="P418" t="s">
        <v>1958</v>
      </c>
      <c r="Q418" t="s">
        <v>1965</v>
      </c>
      <c r="R418" t="s">
        <v>50</v>
      </c>
      <c r="S418" t="s">
        <v>1671</v>
      </c>
      <c r="U418" t="s">
        <v>1972</v>
      </c>
      <c r="V418" t="s">
        <v>1984</v>
      </c>
      <c r="W418" t="s">
        <v>180</v>
      </c>
      <c r="X418">
        <v>2200</v>
      </c>
      <c r="Y418" t="s">
        <v>2008</v>
      </c>
      <c r="Z418" t="s">
        <v>2017</v>
      </c>
      <c r="AA418" t="s">
        <v>2029</v>
      </c>
      <c r="AB418" t="s">
        <v>13370</v>
      </c>
      <c r="AD418" t="s">
        <v>15930</v>
      </c>
      <c r="AE418">
        <v>6</v>
      </c>
      <c r="AF418" t="s">
        <v>2903</v>
      </c>
      <c r="AG418" t="s">
        <v>1754</v>
      </c>
      <c r="AH418">
        <v>3</v>
      </c>
      <c r="AI418">
        <v>2</v>
      </c>
      <c r="AJ418">
        <v>0</v>
      </c>
      <c r="AK418">
        <v>291.62</v>
      </c>
      <c r="AL418" t="s">
        <v>340</v>
      </c>
      <c r="AM418" t="s">
        <v>18031</v>
      </c>
      <c r="AN418" t="s">
        <v>2926</v>
      </c>
      <c r="AO418">
        <v>48000</v>
      </c>
      <c r="AU418">
        <v>1.2</v>
      </c>
      <c r="AV418" t="s">
        <v>262</v>
      </c>
      <c r="AW418" t="s">
        <v>3078</v>
      </c>
    </row>
    <row r="419" spans="1:50">
      <c r="A419" s="1" t="s">
        <v>52</v>
      </c>
      <c r="B419" t="s">
        <v>163</v>
      </c>
      <c r="C419" t="s">
        <v>3629</v>
      </c>
      <c r="D419" t="s">
        <v>261</v>
      </c>
      <c r="F419" t="s">
        <v>724</v>
      </c>
      <c r="G419" t="s">
        <v>8076</v>
      </c>
      <c r="H419" t="s">
        <v>1442</v>
      </c>
      <c r="I419" t="s">
        <v>1486</v>
      </c>
      <c r="J419" t="s">
        <v>1641</v>
      </c>
      <c r="K419">
        <v>10451</v>
      </c>
      <c r="L419" t="s">
        <v>1670</v>
      </c>
      <c r="M419" t="s">
        <v>1670</v>
      </c>
      <c r="N419" t="s">
        <v>11943</v>
      </c>
      <c r="O419" t="s">
        <v>1938</v>
      </c>
      <c r="P419" t="s">
        <v>1961</v>
      </c>
      <c r="R419" t="s">
        <v>50</v>
      </c>
      <c r="S419" t="s">
        <v>1671</v>
      </c>
      <c r="U419" t="s">
        <v>1972</v>
      </c>
      <c r="V419" t="s">
        <v>1984</v>
      </c>
      <c r="W419" t="s">
        <v>316</v>
      </c>
      <c r="X419">
        <v>941.27</v>
      </c>
      <c r="Y419" t="s">
        <v>2006</v>
      </c>
      <c r="Z419" t="s">
        <v>2020</v>
      </c>
      <c r="AB419" t="s">
        <v>13371</v>
      </c>
      <c r="AD419" t="s">
        <v>15931</v>
      </c>
      <c r="AE419">
        <v>81</v>
      </c>
      <c r="AF419" t="s">
        <v>2902</v>
      </c>
      <c r="AG419" t="s">
        <v>1754</v>
      </c>
      <c r="AH419">
        <v>37</v>
      </c>
      <c r="AI419">
        <v>2</v>
      </c>
      <c r="AJ419">
        <v>0</v>
      </c>
      <c r="AK419">
        <v>291.62</v>
      </c>
      <c r="AL419" t="s">
        <v>18024</v>
      </c>
      <c r="AM419" t="s">
        <v>18031</v>
      </c>
      <c r="AN419" t="s">
        <v>2926</v>
      </c>
      <c r="AO419">
        <v>48000</v>
      </c>
      <c r="AU419">
        <v>26.7</v>
      </c>
      <c r="AV419" t="s">
        <v>401</v>
      </c>
      <c r="AW419" t="s">
        <v>3047</v>
      </c>
    </row>
    <row r="420" spans="1:50">
      <c r="A420" s="1" t="s">
        <v>62</v>
      </c>
      <c r="B420" t="s">
        <v>163</v>
      </c>
      <c r="C420" t="s">
        <v>3630</v>
      </c>
      <c r="D420" t="s">
        <v>2343</v>
      </c>
      <c r="F420" t="s">
        <v>6996</v>
      </c>
      <c r="G420" t="s">
        <v>8077</v>
      </c>
      <c r="H420" t="s">
        <v>9576</v>
      </c>
      <c r="I420" t="s">
        <v>11040</v>
      </c>
      <c r="J420" t="s">
        <v>1644</v>
      </c>
      <c r="K420">
        <v>11226</v>
      </c>
      <c r="L420" t="s">
        <v>1670</v>
      </c>
      <c r="M420" t="s">
        <v>1672</v>
      </c>
      <c r="N420" t="s">
        <v>11944</v>
      </c>
      <c r="O420" t="s">
        <v>1939</v>
      </c>
      <c r="P420" t="s">
        <v>1960</v>
      </c>
      <c r="R420" t="s">
        <v>50</v>
      </c>
      <c r="S420" t="s">
        <v>1670</v>
      </c>
      <c r="T420" t="s">
        <v>13026</v>
      </c>
      <c r="U420" t="s">
        <v>1972</v>
      </c>
      <c r="W420" t="s">
        <v>13036</v>
      </c>
      <c r="X420">
        <v>1632</v>
      </c>
      <c r="Y420" t="s">
        <v>2009</v>
      </c>
      <c r="Z420" t="s">
        <v>2013</v>
      </c>
      <c r="AB420" t="s">
        <v>13372</v>
      </c>
      <c r="AD420" t="s">
        <v>15932</v>
      </c>
      <c r="AE420">
        <v>6</v>
      </c>
      <c r="AH420">
        <v>2</v>
      </c>
      <c r="AI420">
        <v>2</v>
      </c>
      <c r="AJ420">
        <v>0</v>
      </c>
      <c r="AK420">
        <v>292.22</v>
      </c>
      <c r="AN420" t="s">
        <v>2926</v>
      </c>
      <c r="AO420">
        <v>48100</v>
      </c>
      <c r="AU420">
        <v>3.6</v>
      </c>
      <c r="AV420" t="s">
        <v>374</v>
      </c>
      <c r="AW420" t="s">
        <v>3043</v>
      </c>
      <c r="AX420" t="s">
        <v>18685</v>
      </c>
    </row>
    <row r="421" spans="1:50">
      <c r="A421" s="1" t="s">
        <v>62</v>
      </c>
      <c r="B421" t="s">
        <v>163</v>
      </c>
      <c r="C421" t="s">
        <v>3631</v>
      </c>
      <c r="D421" t="s">
        <v>200</v>
      </c>
      <c r="F421" t="s">
        <v>6996</v>
      </c>
      <c r="G421" t="s">
        <v>8077</v>
      </c>
      <c r="H421" t="s">
        <v>9576</v>
      </c>
      <c r="I421" t="s">
        <v>11040</v>
      </c>
      <c r="J421" t="s">
        <v>1644</v>
      </c>
      <c r="K421">
        <v>11226</v>
      </c>
      <c r="L421" t="s">
        <v>1670</v>
      </c>
      <c r="M421" t="s">
        <v>1670</v>
      </c>
      <c r="N421" t="s">
        <v>11945</v>
      </c>
      <c r="O421" t="s">
        <v>1939</v>
      </c>
      <c r="P421" t="s">
        <v>1960</v>
      </c>
      <c r="R421" t="s">
        <v>50</v>
      </c>
      <c r="S421" t="s">
        <v>1670</v>
      </c>
      <c r="U421" t="s">
        <v>1972</v>
      </c>
      <c r="W421" t="s">
        <v>238</v>
      </c>
      <c r="X421">
        <v>1632</v>
      </c>
      <c r="Y421" t="s">
        <v>2009</v>
      </c>
      <c r="Z421" t="s">
        <v>2020</v>
      </c>
      <c r="AB421" t="s">
        <v>13372</v>
      </c>
      <c r="AD421" t="s">
        <v>15932</v>
      </c>
      <c r="AE421">
        <v>6</v>
      </c>
      <c r="AH421">
        <v>2</v>
      </c>
      <c r="AI421">
        <v>2</v>
      </c>
      <c r="AJ421">
        <v>0</v>
      </c>
      <c r="AK421">
        <v>292.22</v>
      </c>
      <c r="AN421" t="s">
        <v>2926</v>
      </c>
      <c r="AO421">
        <v>48100</v>
      </c>
      <c r="AP421" t="s">
        <v>18128</v>
      </c>
      <c r="AU421" t="s">
        <v>13051</v>
      </c>
      <c r="AW421" t="s">
        <v>3049</v>
      </c>
    </row>
    <row r="422" spans="1:50">
      <c r="A422" s="1" t="s">
        <v>3157</v>
      </c>
      <c r="B422" t="s">
        <v>164</v>
      </c>
      <c r="C422" t="s">
        <v>3632</v>
      </c>
      <c r="D422" t="s">
        <v>206</v>
      </c>
      <c r="E422" t="s">
        <v>337</v>
      </c>
      <c r="F422" t="s">
        <v>6997</v>
      </c>
      <c r="G422" t="s">
        <v>8078</v>
      </c>
      <c r="H422" t="s">
        <v>9577</v>
      </c>
      <c r="I422">
        <v>2014</v>
      </c>
      <c r="J422" t="s">
        <v>1643</v>
      </c>
      <c r="K422">
        <v>10033</v>
      </c>
      <c r="L422" t="s">
        <v>1670</v>
      </c>
      <c r="M422" t="s">
        <v>1672</v>
      </c>
      <c r="O422" t="s">
        <v>1941</v>
      </c>
      <c r="P422" t="s">
        <v>1962</v>
      </c>
      <c r="Q422" t="s">
        <v>1968</v>
      </c>
      <c r="R422" t="s">
        <v>50</v>
      </c>
      <c r="S422" t="s">
        <v>1671</v>
      </c>
      <c r="U422" t="s">
        <v>1972</v>
      </c>
      <c r="W422" t="s">
        <v>206</v>
      </c>
      <c r="X422">
        <v>1500</v>
      </c>
      <c r="Y422" t="s">
        <v>2008</v>
      </c>
      <c r="Z422" t="s">
        <v>2013</v>
      </c>
      <c r="AA422" t="s">
        <v>2030</v>
      </c>
      <c r="AB422" t="s">
        <v>13373</v>
      </c>
      <c r="AE422">
        <v>480</v>
      </c>
      <c r="AF422" t="s">
        <v>2902</v>
      </c>
      <c r="AG422" t="s">
        <v>1754</v>
      </c>
      <c r="AH422" t="s">
        <v>13051</v>
      </c>
      <c r="AI422">
        <v>1</v>
      </c>
      <c r="AJ422">
        <v>0</v>
      </c>
      <c r="AK422">
        <v>292.36</v>
      </c>
      <c r="AN422" t="s">
        <v>2926</v>
      </c>
      <c r="AO422">
        <v>36516</v>
      </c>
      <c r="AU422">
        <v>0.75</v>
      </c>
      <c r="AV422" t="s">
        <v>206</v>
      </c>
      <c r="AW422" t="s">
        <v>3042</v>
      </c>
      <c r="AX422" t="s">
        <v>18685</v>
      </c>
    </row>
    <row r="423" spans="1:50">
      <c r="A423" s="1" t="s">
        <v>52</v>
      </c>
      <c r="B423" t="s">
        <v>164</v>
      </c>
      <c r="C423" t="s">
        <v>3633</v>
      </c>
      <c r="D423" t="s">
        <v>6150</v>
      </c>
      <c r="E423" t="s">
        <v>265</v>
      </c>
      <c r="F423" t="s">
        <v>6998</v>
      </c>
      <c r="G423" t="s">
        <v>8079</v>
      </c>
      <c r="H423" t="s">
        <v>1416</v>
      </c>
      <c r="I423" t="s">
        <v>11041</v>
      </c>
      <c r="J423" t="s">
        <v>1641</v>
      </c>
      <c r="K423">
        <v>10458</v>
      </c>
      <c r="L423" t="s">
        <v>1670</v>
      </c>
      <c r="M423" t="s">
        <v>1670</v>
      </c>
      <c r="P423" t="s">
        <v>1958</v>
      </c>
      <c r="Q423" t="s">
        <v>1965</v>
      </c>
      <c r="R423" t="s">
        <v>50</v>
      </c>
      <c r="S423" t="s">
        <v>1671</v>
      </c>
      <c r="U423" t="s">
        <v>1972</v>
      </c>
      <c r="W423" t="s">
        <v>1991</v>
      </c>
      <c r="X423">
        <v>873.47</v>
      </c>
      <c r="Y423" t="s">
        <v>2006</v>
      </c>
      <c r="Z423" t="s">
        <v>2015</v>
      </c>
      <c r="AA423" t="s">
        <v>2029</v>
      </c>
      <c r="AB423" t="s">
        <v>13374</v>
      </c>
      <c r="AE423" t="s">
        <v>13051</v>
      </c>
      <c r="AF423" t="s">
        <v>2902</v>
      </c>
      <c r="AG423" t="s">
        <v>1754</v>
      </c>
      <c r="AH423">
        <v>40</v>
      </c>
      <c r="AI423">
        <v>2</v>
      </c>
      <c r="AJ423">
        <v>0</v>
      </c>
      <c r="AK423">
        <v>294.05</v>
      </c>
      <c r="AN423" t="s">
        <v>2926</v>
      </c>
      <c r="AO423">
        <v>48400</v>
      </c>
      <c r="AU423">
        <v>0.2</v>
      </c>
      <c r="AV423" t="s">
        <v>265</v>
      </c>
      <c r="AW423" t="s">
        <v>3047</v>
      </c>
      <c r="AX423" t="s">
        <v>18685</v>
      </c>
    </row>
    <row r="424" spans="1:50">
      <c r="A424" s="1" t="s">
        <v>54</v>
      </c>
      <c r="B424" t="s">
        <v>164</v>
      </c>
      <c r="C424" t="s">
        <v>3634</v>
      </c>
      <c r="D424" t="s">
        <v>251</v>
      </c>
      <c r="E424" t="s">
        <v>320</v>
      </c>
      <c r="F424" t="s">
        <v>6999</v>
      </c>
      <c r="G424" t="s">
        <v>8080</v>
      </c>
      <c r="H424" t="s">
        <v>9578</v>
      </c>
      <c r="I424" t="s">
        <v>1475</v>
      </c>
      <c r="J424" t="s">
        <v>1643</v>
      </c>
      <c r="K424">
        <v>10032</v>
      </c>
      <c r="L424" t="s">
        <v>1670</v>
      </c>
      <c r="M424" t="s">
        <v>1670</v>
      </c>
      <c r="N424" t="s">
        <v>11946</v>
      </c>
      <c r="O424" t="s">
        <v>1940</v>
      </c>
      <c r="P424" t="s">
        <v>1960</v>
      </c>
      <c r="Q424" t="s">
        <v>13024</v>
      </c>
      <c r="R424" t="s">
        <v>50</v>
      </c>
      <c r="S424" t="s">
        <v>1671</v>
      </c>
      <c r="U424" t="s">
        <v>1972</v>
      </c>
      <c r="W424" t="s">
        <v>251</v>
      </c>
      <c r="X424">
        <v>799.9</v>
      </c>
      <c r="Y424" t="s">
        <v>2008</v>
      </c>
      <c r="Z424" t="s">
        <v>2013</v>
      </c>
      <c r="AA424" t="s">
        <v>2032</v>
      </c>
      <c r="AB424" t="s">
        <v>13375</v>
      </c>
      <c r="AD424" t="s">
        <v>15933</v>
      </c>
      <c r="AE424">
        <v>115</v>
      </c>
      <c r="AF424" t="s">
        <v>2902</v>
      </c>
      <c r="AG424" t="s">
        <v>1754</v>
      </c>
      <c r="AH424">
        <v>28</v>
      </c>
      <c r="AI424">
        <v>4</v>
      </c>
      <c r="AJ424">
        <v>0</v>
      </c>
      <c r="AK424">
        <v>294.82</v>
      </c>
      <c r="AL424" t="s">
        <v>264</v>
      </c>
      <c r="AM424" t="s">
        <v>18031</v>
      </c>
      <c r="AN424" t="s">
        <v>2927</v>
      </c>
      <c r="AO424">
        <v>74000</v>
      </c>
      <c r="AU424">
        <v>37.95</v>
      </c>
      <c r="AV424" t="s">
        <v>299</v>
      </c>
      <c r="AW424" t="s">
        <v>3042</v>
      </c>
    </row>
    <row r="425" spans="1:50">
      <c r="A425" s="1" t="s">
        <v>54</v>
      </c>
      <c r="B425" t="s">
        <v>163</v>
      </c>
      <c r="C425" t="s">
        <v>3635</v>
      </c>
      <c r="D425" t="s">
        <v>1993</v>
      </c>
      <c r="F425" t="s">
        <v>6999</v>
      </c>
      <c r="G425" t="s">
        <v>8080</v>
      </c>
      <c r="H425" t="s">
        <v>9578</v>
      </c>
      <c r="I425" t="s">
        <v>1475</v>
      </c>
      <c r="J425" t="s">
        <v>1643</v>
      </c>
      <c r="K425">
        <v>10032</v>
      </c>
      <c r="L425" t="s">
        <v>1670</v>
      </c>
      <c r="M425" t="s">
        <v>1670</v>
      </c>
      <c r="O425" t="s">
        <v>1936</v>
      </c>
      <c r="P425" t="s">
        <v>1960</v>
      </c>
      <c r="R425" t="s">
        <v>50</v>
      </c>
      <c r="S425" t="s">
        <v>1671</v>
      </c>
      <c r="U425" t="s">
        <v>1972</v>
      </c>
      <c r="W425" t="s">
        <v>3029</v>
      </c>
      <c r="X425">
        <v>799.9</v>
      </c>
      <c r="Y425" t="s">
        <v>2008</v>
      </c>
      <c r="Z425" t="s">
        <v>2020</v>
      </c>
      <c r="AB425" t="s">
        <v>13375</v>
      </c>
      <c r="AD425" t="s">
        <v>15933</v>
      </c>
      <c r="AE425">
        <v>115</v>
      </c>
      <c r="AF425" t="s">
        <v>2902</v>
      </c>
      <c r="AG425" t="s">
        <v>1754</v>
      </c>
      <c r="AH425">
        <v>29</v>
      </c>
      <c r="AI425">
        <v>4</v>
      </c>
      <c r="AJ425">
        <v>0</v>
      </c>
      <c r="AK425">
        <v>294.82</v>
      </c>
      <c r="AL425" t="s">
        <v>264</v>
      </c>
      <c r="AM425" t="s">
        <v>18031</v>
      </c>
      <c r="AN425" t="s">
        <v>2927</v>
      </c>
      <c r="AO425">
        <v>74000</v>
      </c>
      <c r="AU425">
        <v>62.1</v>
      </c>
      <c r="AV425" t="s">
        <v>7866</v>
      </c>
      <c r="AW425" t="s">
        <v>3042</v>
      </c>
    </row>
    <row r="426" spans="1:50">
      <c r="A426" s="1" t="s">
        <v>3164</v>
      </c>
      <c r="B426" t="s">
        <v>164</v>
      </c>
      <c r="C426" t="s">
        <v>3636</v>
      </c>
      <c r="D426" t="s">
        <v>6151</v>
      </c>
      <c r="E426" t="s">
        <v>371</v>
      </c>
      <c r="F426" t="s">
        <v>7000</v>
      </c>
      <c r="G426" t="s">
        <v>770</v>
      </c>
      <c r="H426" t="s">
        <v>9579</v>
      </c>
      <c r="I426" t="s">
        <v>11042</v>
      </c>
      <c r="J426" t="s">
        <v>1643</v>
      </c>
      <c r="K426">
        <v>10033</v>
      </c>
      <c r="L426" t="s">
        <v>1670</v>
      </c>
      <c r="M426" t="s">
        <v>1670</v>
      </c>
      <c r="N426" t="s">
        <v>11947</v>
      </c>
      <c r="O426" t="s">
        <v>1940</v>
      </c>
      <c r="P426" t="s">
        <v>1962</v>
      </c>
      <c r="Q426" t="s">
        <v>1965</v>
      </c>
      <c r="R426" t="s">
        <v>50</v>
      </c>
      <c r="S426" t="s">
        <v>1671</v>
      </c>
      <c r="U426" t="s">
        <v>1972</v>
      </c>
      <c r="W426" t="s">
        <v>252</v>
      </c>
      <c r="X426">
        <v>877.51</v>
      </c>
      <c r="Y426" t="s">
        <v>2008</v>
      </c>
      <c r="Z426" t="s">
        <v>2014</v>
      </c>
      <c r="AA426" t="s">
        <v>2029</v>
      </c>
      <c r="AB426" t="s">
        <v>13376</v>
      </c>
      <c r="AD426" t="s">
        <v>15934</v>
      </c>
      <c r="AE426">
        <v>94</v>
      </c>
      <c r="AF426" t="s">
        <v>2904</v>
      </c>
      <c r="AH426">
        <v>15</v>
      </c>
      <c r="AI426">
        <v>2</v>
      </c>
      <c r="AJ426">
        <v>0</v>
      </c>
      <c r="AK426">
        <v>295.57</v>
      </c>
      <c r="AL426" t="s">
        <v>1998</v>
      </c>
      <c r="AM426" t="s">
        <v>18031</v>
      </c>
      <c r="AN426" t="s">
        <v>2926</v>
      </c>
      <c r="AO426">
        <v>48000</v>
      </c>
      <c r="AU426">
        <v>0.8</v>
      </c>
      <c r="AV426" t="s">
        <v>18641</v>
      </c>
      <c r="AW426" t="s">
        <v>3197</v>
      </c>
    </row>
    <row r="427" spans="1:50">
      <c r="A427" s="1" t="s">
        <v>53</v>
      </c>
      <c r="B427" t="s">
        <v>164</v>
      </c>
      <c r="C427" t="s">
        <v>3637</v>
      </c>
      <c r="D427" t="s">
        <v>285</v>
      </c>
      <c r="E427" t="s">
        <v>277</v>
      </c>
      <c r="F427" t="s">
        <v>7001</v>
      </c>
      <c r="G427" t="s">
        <v>8081</v>
      </c>
      <c r="H427" t="s">
        <v>9580</v>
      </c>
      <c r="I427" t="s">
        <v>11043</v>
      </c>
      <c r="J427" t="s">
        <v>11739</v>
      </c>
      <c r="K427">
        <v>11372</v>
      </c>
      <c r="L427" t="s">
        <v>1670</v>
      </c>
      <c r="M427" t="s">
        <v>1670</v>
      </c>
      <c r="N427" t="s">
        <v>1754</v>
      </c>
      <c r="O427" t="s">
        <v>1675</v>
      </c>
      <c r="P427" t="s">
        <v>1958</v>
      </c>
      <c r="Q427" t="s">
        <v>1965</v>
      </c>
      <c r="R427" t="s">
        <v>51</v>
      </c>
      <c r="S427" t="s">
        <v>1671</v>
      </c>
      <c r="U427" t="s">
        <v>1972</v>
      </c>
      <c r="V427" t="s">
        <v>1984</v>
      </c>
      <c r="W427" t="s">
        <v>285</v>
      </c>
      <c r="X427" t="s">
        <v>13051</v>
      </c>
      <c r="Y427" t="s">
        <v>2007</v>
      </c>
      <c r="Z427" t="s">
        <v>2012</v>
      </c>
      <c r="AA427" t="s">
        <v>2029</v>
      </c>
      <c r="AB427" t="s">
        <v>13377</v>
      </c>
      <c r="AD427" t="s">
        <v>15935</v>
      </c>
      <c r="AE427">
        <v>120</v>
      </c>
      <c r="AF427" t="s">
        <v>2911</v>
      </c>
      <c r="AG427" t="s">
        <v>1754</v>
      </c>
      <c r="AH427">
        <v>2</v>
      </c>
      <c r="AI427">
        <v>2</v>
      </c>
      <c r="AJ427">
        <v>0</v>
      </c>
      <c r="AK427">
        <v>295.68</v>
      </c>
      <c r="AL427" t="s">
        <v>2923</v>
      </c>
      <c r="AM427" t="s">
        <v>2924</v>
      </c>
      <c r="AN427" t="s">
        <v>2926</v>
      </c>
      <c r="AO427">
        <v>50000</v>
      </c>
      <c r="AU427">
        <v>0.95</v>
      </c>
      <c r="AV427" t="s">
        <v>199</v>
      </c>
      <c r="AW427" t="s">
        <v>53</v>
      </c>
    </row>
    <row r="428" spans="1:50">
      <c r="A428" s="1" t="s">
        <v>91</v>
      </c>
      <c r="B428" t="s">
        <v>163</v>
      </c>
      <c r="C428" t="s">
        <v>3638</v>
      </c>
      <c r="D428" t="s">
        <v>369</v>
      </c>
      <c r="F428" t="s">
        <v>7002</v>
      </c>
      <c r="G428" t="s">
        <v>8082</v>
      </c>
      <c r="H428" t="s">
        <v>9581</v>
      </c>
      <c r="I428" t="s">
        <v>1633</v>
      </c>
      <c r="J428" t="s">
        <v>1643</v>
      </c>
      <c r="K428">
        <v>10034</v>
      </c>
      <c r="L428" t="s">
        <v>1670</v>
      </c>
      <c r="M428" t="s">
        <v>1672</v>
      </c>
      <c r="N428" t="s">
        <v>11948</v>
      </c>
      <c r="O428" t="s">
        <v>1936</v>
      </c>
      <c r="P428" t="s">
        <v>1958</v>
      </c>
      <c r="R428" t="s">
        <v>50</v>
      </c>
      <c r="S428" t="s">
        <v>1671</v>
      </c>
      <c r="U428" t="s">
        <v>1972</v>
      </c>
      <c r="W428" t="s">
        <v>369</v>
      </c>
      <c r="X428">
        <v>1505.94</v>
      </c>
      <c r="Y428" t="s">
        <v>2008</v>
      </c>
      <c r="Z428" t="s">
        <v>2013</v>
      </c>
      <c r="AB428" t="s">
        <v>13378</v>
      </c>
      <c r="AE428">
        <v>52</v>
      </c>
      <c r="AF428" t="s">
        <v>2902</v>
      </c>
      <c r="AG428" t="s">
        <v>1754</v>
      </c>
      <c r="AH428">
        <v>29</v>
      </c>
      <c r="AI428">
        <v>2</v>
      </c>
      <c r="AJ428">
        <v>0</v>
      </c>
      <c r="AK428">
        <v>295.68</v>
      </c>
      <c r="AN428" t="s">
        <v>2926</v>
      </c>
      <c r="AO428">
        <v>50000</v>
      </c>
      <c r="AU428">
        <v>0.7</v>
      </c>
      <c r="AV428" t="s">
        <v>333</v>
      </c>
      <c r="AW428" t="s">
        <v>3042</v>
      </c>
      <c r="AX428" t="s">
        <v>18685</v>
      </c>
    </row>
    <row r="429" spans="1:50">
      <c r="A429" s="1" t="s">
        <v>57</v>
      </c>
      <c r="B429" t="s">
        <v>163</v>
      </c>
      <c r="C429" t="s">
        <v>3639</v>
      </c>
      <c r="D429" t="s">
        <v>170</v>
      </c>
      <c r="F429" t="s">
        <v>7003</v>
      </c>
      <c r="G429" t="s">
        <v>8083</v>
      </c>
      <c r="H429" t="s">
        <v>1112</v>
      </c>
      <c r="I429" t="s">
        <v>1484</v>
      </c>
      <c r="J429" t="s">
        <v>1641</v>
      </c>
      <c r="K429">
        <v>10453</v>
      </c>
      <c r="L429" t="s">
        <v>1670</v>
      </c>
      <c r="M429" t="s">
        <v>1670</v>
      </c>
      <c r="O429" t="s">
        <v>1938</v>
      </c>
      <c r="P429" t="s">
        <v>1961</v>
      </c>
      <c r="R429" t="s">
        <v>50</v>
      </c>
      <c r="S429" t="s">
        <v>1670</v>
      </c>
      <c r="U429" t="s">
        <v>1972</v>
      </c>
      <c r="W429" t="s">
        <v>283</v>
      </c>
      <c r="X429">
        <v>736</v>
      </c>
      <c r="Y429" t="s">
        <v>2006</v>
      </c>
      <c r="Z429" t="s">
        <v>2015</v>
      </c>
      <c r="AB429" t="s">
        <v>13379</v>
      </c>
      <c r="AD429" t="s">
        <v>15936</v>
      </c>
      <c r="AE429">
        <v>167</v>
      </c>
      <c r="AF429" t="s">
        <v>2902</v>
      </c>
      <c r="AG429" t="s">
        <v>1754</v>
      </c>
      <c r="AH429">
        <v>37</v>
      </c>
      <c r="AI429">
        <v>2</v>
      </c>
      <c r="AJ429">
        <v>0</v>
      </c>
      <c r="AK429">
        <v>295.68</v>
      </c>
      <c r="AN429" t="s">
        <v>2926</v>
      </c>
      <c r="AO429">
        <v>50000</v>
      </c>
      <c r="AU429" t="s">
        <v>13051</v>
      </c>
      <c r="AW429" t="s">
        <v>3046</v>
      </c>
    </row>
    <row r="430" spans="1:50">
      <c r="A430" s="1" t="s">
        <v>57</v>
      </c>
      <c r="B430" t="s">
        <v>163</v>
      </c>
      <c r="C430" t="s">
        <v>3640</v>
      </c>
      <c r="D430" t="s">
        <v>170</v>
      </c>
      <c r="F430" t="s">
        <v>7003</v>
      </c>
      <c r="G430" t="s">
        <v>8083</v>
      </c>
      <c r="H430" t="s">
        <v>1112</v>
      </c>
      <c r="I430" t="s">
        <v>1484</v>
      </c>
      <c r="J430" t="s">
        <v>1641</v>
      </c>
      <c r="K430">
        <v>10453</v>
      </c>
      <c r="L430" t="s">
        <v>1670</v>
      </c>
      <c r="M430" t="s">
        <v>1670</v>
      </c>
      <c r="N430" t="s">
        <v>1677</v>
      </c>
      <c r="O430" t="s">
        <v>1939</v>
      </c>
      <c r="P430" t="s">
        <v>1960</v>
      </c>
      <c r="R430" t="s">
        <v>50</v>
      </c>
      <c r="S430" t="s">
        <v>1670</v>
      </c>
      <c r="U430" t="s">
        <v>1972</v>
      </c>
      <c r="W430" t="s">
        <v>283</v>
      </c>
      <c r="X430">
        <v>736</v>
      </c>
      <c r="Y430" t="s">
        <v>2006</v>
      </c>
      <c r="Z430" t="s">
        <v>2015</v>
      </c>
      <c r="AB430" t="s">
        <v>13379</v>
      </c>
      <c r="AD430" t="s">
        <v>15936</v>
      </c>
      <c r="AE430">
        <v>167</v>
      </c>
      <c r="AF430" t="s">
        <v>2902</v>
      </c>
      <c r="AG430" t="s">
        <v>1754</v>
      </c>
      <c r="AH430">
        <v>37</v>
      </c>
      <c r="AI430">
        <v>2</v>
      </c>
      <c r="AJ430">
        <v>0</v>
      </c>
      <c r="AK430">
        <v>295.68</v>
      </c>
      <c r="AN430" t="s">
        <v>2926</v>
      </c>
      <c r="AO430">
        <v>50000</v>
      </c>
      <c r="AU430" t="s">
        <v>13051</v>
      </c>
      <c r="AW430" t="s">
        <v>3046</v>
      </c>
    </row>
    <row r="431" spans="1:50">
      <c r="A431" s="1" t="s">
        <v>57</v>
      </c>
      <c r="B431" t="s">
        <v>163</v>
      </c>
      <c r="C431" t="s">
        <v>3641</v>
      </c>
      <c r="D431" t="s">
        <v>182</v>
      </c>
      <c r="F431" t="s">
        <v>6786</v>
      </c>
      <c r="G431" t="s">
        <v>7945</v>
      </c>
      <c r="H431" t="s">
        <v>1112</v>
      </c>
      <c r="I431" t="s">
        <v>11017</v>
      </c>
      <c r="J431" t="s">
        <v>1641</v>
      </c>
      <c r="K431">
        <v>10453</v>
      </c>
      <c r="L431" t="s">
        <v>1670</v>
      </c>
      <c r="M431" t="s">
        <v>1670</v>
      </c>
      <c r="O431" t="s">
        <v>1938</v>
      </c>
      <c r="P431" t="s">
        <v>1961</v>
      </c>
      <c r="R431" t="s">
        <v>50</v>
      </c>
      <c r="S431" t="s">
        <v>1670</v>
      </c>
      <c r="U431" t="s">
        <v>1972</v>
      </c>
      <c r="W431" t="s">
        <v>283</v>
      </c>
      <c r="X431">
        <v>873.27</v>
      </c>
      <c r="Y431" t="s">
        <v>2006</v>
      </c>
      <c r="Z431" t="s">
        <v>2015</v>
      </c>
      <c r="AB431" t="s">
        <v>13145</v>
      </c>
      <c r="AD431" t="s">
        <v>15937</v>
      </c>
      <c r="AE431">
        <v>170</v>
      </c>
      <c r="AF431" t="s">
        <v>2902</v>
      </c>
      <c r="AG431" t="s">
        <v>1754</v>
      </c>
      <c r="AH431">
        <v>28</v>
      </c>
      <c r="AI431">
        <v>1</v>
      </c>
      <c r="AJ431">
        <v>1</v>
      </c>
      <c r="AK431">
        <v>295.68</v>
      </c>
      <c r="AN431" t="s">
        <v>2926</v>
      </c>
      <c r="AO431">
        <v>50000</v>
      </c>
      <c r="AU431" t="s">
        <v>13051</v>
      </c>
      <c r="AW431" t="s">
        <v>3047</v>
      </c>
    </row>
    <row r="432" spans="1:50">
      <c r="A432" s="1" t="s">
        <v>57</v>
      </c>
      <c r="B432" t="s">
        <v>163</v>
      </c>
      <c r="C432" t="s">
        <v>3642</v>
      </c>
      <c r="D432" t="s">
        <v>182</v>
      </c>
      <c r="F432" t="s">
        <v>6786</v>
      </c>
      <c r="G432" t="s">
        <v>7945</v>
      </c>
      <c r="H432" t="s">
        <v>1112</v>
      </c>
      <c r="I432" t="s">
        <v>11017</v>
      </c>
      <c r="J432" t="s">
        <v>1641</v>
      </c>
      <c r="K432">
        <v>10453</v>
      </c>
      <c r="L432" t="s">
        <v>1670</v>
      </c>
      <c r="M432" t="s">
        <v>1670</v>
      </c>
      <c r="N432" t="s">
        <v>1677</v>
      </c>
      <c r="O432" t="s">
        <v>1939</v>
      </c>
      <c r="P432" t="s">
        <v>1960</v>
      </c>
      <c r="R432" t="s">
        <v>50</v>
      </c>
      <c r="S432" t="s">
        <v>1670</v>
      </c>
      <c r="U432" t="s">
        <v>1972</v>
      </c>
      <c r="W432" t="s">
        <v>283</v>
      </c>
      <c r="X432">
        <v>87327</v>
      </c>
      <c r="Y432" t="s">
        <v>2006</v>
      </c>
      <c r="Z432" t="s">
        <v>2015</v>
      </c>
      <c r="AB432" t="s">
        <v>13145</v>
      </c>
      <c r="AD432" t="s">
        <v>15937</v>
      </c>
      <c r="AE432">
        <v>170</v>
      </c>
      <c r="AF432" t="s">
        <v>2902</v>
      </c>
      <c r="AG432" t="s">
        <v>1754</v>
      </c>
      <c r="AH432">
        <v>28</v>
      </c>
      <c r="AI432">
        <v>1</v>
      </c>
      <c r="AJ432">
        <v>1</v>
      </c>
      <c r="AK432">
        <v>295.68</v>
      </c>
      <c r="AN432" t="s">
        <v>2926</v>
      </c>
      <c r="AO432">
        <v>50000</v>
      </c>
      <c r="AU432" t="s">
        <v>13051</v>
      </c>
      <c r="AW432" t="s">
        <v>3047</v>
      </c>
    </row>
    <row r="433" spans="1:50">
      <c r="A433" s="1" t="s">
        <v>107</v>
      </c>
      <c r="B433" t="s">
        <v>163</v>
      </c>
      <c r="C433" t="s">
        <v>3643</v>
      </c>
      <c r="D433" t="s">
        <v>274</v>
      </c>
      <c r="F433" t="s">
        <v>7004</v>
      </c>
      <c r="G433" t="s">
        <v>8084</v>
      </c>
      <c r="H433" t="s">
        <v>9582</v>
      </c>
      <c r="I433" t="s">
        <v>1517</v>
      </c>
      <c r="J433" t="s">
        <v>1644</v>
      </c>
      <c r="K433">
        <v>11207</v>
      </c>
      <c r="L433" t="s">
        <v>1670</v>
      </c>
      <c r="M433" t="s">
        <v>1670</v>
      </c>
      <c r="N433" t="s">
        <v>11949</v>
      </c>
      <c r="O433" t="s">
        <v>1936</v>
      </c>
      <c r="P433" t="s">
        <v>1958</v>
      </c>
      <c r="R433" t="s">
        <v>50</v>
      </c>
      <c r="S433" t="s">
        <v>1671</v>
      </c>
      <c r="U433" t="s">
        <v>1972</v>
      </c>
      <c r="W433" t="s">
        <v>249</v>
      </c>
      <c r="X433">
        <v>1400</v>
      </c>
      <c r="Y433" t="s">
        <v>2009</v>
      </c>
      <c r="AB433" t="s">
        <v>13380</v>
      </c>
      <c r="AD433" t="s">
        <v>15938</v>
      </c>
      <c r="AE433" t="s">
        <v>13051</v>
      </c>
      <c r="AF433" t="s">
        <v>2902</v>
      </c>
      <c r="AG433" t="s">
        <v>1754</v>
      </c>
      <c r="AH433">
        <v>1</v>
      </c>
      <c r="AI433">
        <v>1</v>
      </c>
      <c r="AJ433">
        <v>0</v>
      </c>
      <c r="AK433">
        <v>296.24</v>
      </c>
      <c r="AN433" t="s">
        <v>2926</v>
      </c>
      <c r="AO433">
        <v>37000</v>
      </c>
      <c r="AU433">
        <v>1</v>
      </c>
      <c r="AV433" t="s">
        <v>240</v>
      </c>
      <c r="AW433" t="s">
        <v>3059</v>
      </c>
    </row>
    <row r="434" spans="1:50">
      <c r="A434" s="1" t="s">
        <v>61</v>
      </c>
      <c r="B434" t="s">
        <v>164</v>
      </c>
      <c r="C434" t="s">
        <v>3644</v>
      </c>
      <c r="D434" t="s">
        <v>6152</v>
      </c>
      <c r="E434" t="s">
        <v>361</v>
      </c>
      <c r="F434" t="s">
        <v>7005</v>
      </c>
      <c r="G434" t="s">
        <v>8085</v>
      </c>
      <c r="H434" t="s">
        <v>1327</v>
      </c>
      <c r="I434" t="s">
        <v>1637</v>
      </c>
      <c r="J434" t="s">
        <v>1644</v>
      </c>
      <c r="K434">
        <v>11230</v>
      </c>
      <c r="L434" t="s">
        <v>1670</v>
      </c>
      <c r="M434" t="s">
        <v>1670</v>
      </c>
      <c r="O434" t="s">
        <v>1937</v>
      </c>
      <c r="P434" t="s">
        <v>1959</v>
      </c>
      <c r="Q434" t="s">
        <v>1968</v>
      </c>
      <c r="R434" t="s">
        <v>50</v>
      </c>
      <c r="S434" t="s">
        <v>1670</v>
      </c>
      <c r="U434" t="s">
        <v>1972</v>
      </c>
      <c r="W434" t="s">
        <v>318</v>
      </c>
      <c r="X434" t="s">
        <v>13051</v>
      </c>
      <c r="Y434" t="s">
        <v>2009</v>
      </c>
      <c r="Z434" t="s">
        <v>2015</v>
      </c>
      <c r="AA434" t="s">
        <v>2030</v>
      </c>
      <c r="AB434" t="s">
        <v>13381</v>
      </c>
      <c r="AE434">
        <v>60</v>
      </c>
      <c r="AF434" t="s">
        <v>2902</v>
      </c>
      <c r="AH434" t="s">
        <v>13051</v>
      </c>
      <c r="AI434">
        <v>1</v>
      </c>
      <c r="AJ434">
        <v>0</v>
      </c>
      <c r="AK434">
        <v>296.54</v>
      </c>
      <c r="AN434" t="s">
        <v>2926</v>
      </c>
      <c r="AO434">
        <v>36000</v>
      </c>
      <c r="AU434">
        <v>2.4</v>
      </c>
      <c r="AV434" t="s">
        <v>345</v>
      </c>
      <c r="AW434" t="s">
        <v>3184</v>
      </c>
    </row>
    <row r="435" spans="1:50">
      <c r="A435" s="1" t="s">
        <v>125</v>
      </c>
      <c r="B435" t="s">
        <v>164</v>
      </c>
      <c r="C435" t="s">
        <v>3645</v>
      </c>
      <c r="D435" t="s">
        <v>278</v>
      </c>
      <c r="E435" t="s">
        <v>190</v>
      </c>
      <c r="F435" t="s">
        <v>7006</v>
      </c>
      <c r="G435" t="s">
        <v>8086</v>
      </c>
      <c r="H435" t="s">
        <v>9569</v>
      </c>
      <c r="I435" t="s">
        <v>11044</v>
      </c>
      <c r="J435" t="s">
        <v>1644</v>
      </c>
      <c r="K435">
        <v>11230</v>
      </c>
      <c r="L435" t="s">
        <v>1670</v>
      </c>
      <c r="M435" t="s">
        <v>1670</v>
      </c>
      <c r="O435" t="s">
        <v>1937</v>
      </c>
      <c r="P435" t="s">
        <v>1959</v>
      </c>
      <c r="Q435" t="s">
        <v>1966</v>
      </c>
      <c r="R435" t="s">
        <v>50</v>
      </c>
      <c r="S435" t="s">
        <v>1670</v>
      </c>
      <c r="U435" t="s">
        <v>1972</v>
      </c>
      <c r="W435" t="s">
        <v>278</v>
      </c>
      <c r="X435">
        <v>710</v>
      </c>
      <c r="Y435" t="s">
        <v>2009</v>
      </c>
      <c r="AA435" t="s">
        <v>2031</v>
      </c>
      <c r="AB435" t="s">
        <v>13382</v>
      </c>
      <c r="AD435" t="s">
        <v>15939</v>
      </c>
      <c r="AE435">
        <v>66</v>
      </c>
      <c r="AF435" t="s">
        <v>2902</v>
      </c>
      <c r="AH435">
        <v>41</v>
      </c>
      <c r="AI435">
        <v>1</v>
      </c>
      <c r="AJ435">
        <v>0</v>
      </c>
      <c r="AK435">
        <v>296.54</v>
      </c>
      <c r="AN435" t="s">
        <v>2926</v>
      </c>
      <c r="AO435">
        <v>36000</v>
      </c>
      <c r="AU435">
        <v>9.300000000000001</v>
      </c>
      <c r="AV435" t="s">
        <v>271</v>
      </c>
      <c r="AW435" t="s">
        <v>69</v>
      </c>
    </row>
    <row r="436" spans="1:50">
      <c r="A436" s="1" t="s">
        <v>70</v>
      </c>
      <c r="B436" t="s">
        <v>164</v>
      </c>
      <c r="C436" t="s">
        <v>3646</v>
      </c>
      <c r="D436" t="s">
        <v>349</v>
      </c>
      <c r="E436" t="s">
        <v>373</v>
      </c>
      <c r="F436" t="s">
        <v>7007</v>
      </c>
      <c r="G436" t="s">
        <v>810</v>
      </c>
      <c r="H436" t="s">
        <v>1126</v>
      </c>
      <c r="J436" t="s">
        <v>1641</v>
      </c>
      <c r="K436">
        <v>10452</v>
      </c>
      <c r="L436" t="s">
        <v>1670</v>
      </c>
      <c r="M436" t="s">
        <v>1670</v>
      </c>
      <c r="O436" t="s">
        <v>1675</v>
      </c>
      <c r="P436" t="s">
        <v>1958</v>
      </c>
      <c r="Q436" t="s">
        <v>1965</v>
      </c>
      <c r="R436" t="s">
        <v>50</v>
      </c>
      <c r="U436" t="s">
        <v>1972</v>
      </c>
      <c r="W436" t="s">
        <v>349</v>
      </c>
      <c r="X436" t="s">
        <v>13051</v>
      </c>
      <c r="Y436" t="s">
        <v>2006</v>
      </c>
      <c r="Z436" t="s">
        <v>2015</v>
      </c>
      <c r="AA436" t="s">
        <v>2029</v>
      </c>
      <c r="AB436" t="s">
        <v>13383</v>
      </c>
      <c r="AD436" t="s">
        <v>15940</v>
      </c>
      <c r="AE436">
        <v>26</v>
      </c>
      <c r="AF436" t="s">
        <v>2902</v>
      </c>
      <c r="AG436" t="s">
        <v>1754</v>
      </c>
      <c r="AH436" t="s">
        <v>13051</v>
      </c>
      <c r="AI436">
        <v>2</v>
      </c>
      <c r="AJ436">
        <v>0</v>
      </c>
      <c r="AK436">
        <v>297.69</v>
      </c>
      <c r="AN436" t="s">
        <v>2927</v>
      </c>
      <c r="AO436">
        <v>49000</v>
      </c>
      <c r="AU436">
        <v>0.1</v>
      </c>
      <c r="AV436" t="s">
        <v>373</v>
      </c>
      <c r="AW436" t="s">
        <v>3047</v>
      </c>
    </row>
    <row r="437" spans="1:50">
      <c r="A437" s="1" t="s">
        <v>82</v>
      </c>
      <c r="B437" t="s">
        <v>163</v>
      </c>
      <c r="C437" t="s">
        <v>3647</v>
      </c>
      <c r="D437" t="s">
        <v>293</v>
      </c>
      <c r="F437" t="s">
        <v>7008</v>
      </c>
      <c r="G437" t="s">
        <v>8087</v>
      </c>
      <c r="H437" t="s">
        <v>9420</v>
      </c>
      <c r="I437" t="s">
        <v>11045</v>
      </c>
      <c r="J437" t="s">
        <v>1644</v>
      </c>
      <c r="K437">
        <v>11233</v>
      </c>
      <c r="L437" t="s">
        <v>1670</v>
      </c>
      <c r="M437" t="s">
        <v>1671</v>
      </c>
      <c r="O437" t="s">
        <v>1937</v>
      </c>
      <c r="P437" t="s">
        <v>1962</v>
      </c>
      <c r="R437" t="s">
        <v>50</v>
      </c>
      <c r="S437" t="s">
        <v>1670</v>
      </c>
      <c r="U437" t="s">
        <v>1972</v>
      </c>
      <c r="V437" t="s">
        <v>1984</v>
      </c>
      <c r="W437" t="s">
        <v>221</v>
      </c>
      <c r="X437">
        <v>1160</v>
      </c>
      <c r="Y437" t="s">
        <v>2009</v>
      </c>
      <c r="Z437" t="s">
        <v>2017</v>
      </c>
      <c r="AB437" t="s">
        <v>13384</v>
      </c>
      <c r="AE437">
        <v>359</v>
      </c>
      <c r="AF437" t="s">
        <v>2902</v>
      </c>
      <c r="AH437">
        <v>37</v>
      </c>
      <c r="AI437">
        <v>2</v>
      </c>
      <c r="AJ437">
        <v>3</v>
      </c>
      <c r="AK437">
        <v>298.31</v>
      </c>
      <c r="AN437" t="s">
        <v>2926</v>
      </c>
      <c r="AO437">
        <v>90000</v>
      </c>
      <c r="AP437" t="s">
        <v>18129</v>
      </c>
      <c r="AU437" t="s">
        <v>13051</v>
      </c>
      <c r="AW437" t="s">
        <v>3059</v>
      </c>
    </row>
    <row r="438" spans="1:50">
      <c r="A438" s="1" t="s">
        <v>82</v>
      </c>
      <c r="B438" t="s">
        <v>163</v>
      </c>
      <c r="C438" t="s">
        <v>3648</v>
      </c>
      <c r="D438" t="s">
        <v>293</v>
      </c>
      <c r="F438" t="s">
        <v>7008</v>
      </c>
      <c r="G438" t="s">
        <v>8087</v>
      </c>
      <c r="H438" t="s">
        <v>9420</v>
      </c>
      <c r="I438" t="s">
        <v>11045</v>
      </c>
      <c r="J438" t="s">
        <v>1644</v>
      </c>
      <c r="K438">
        <v>11233</v>
      </c>
      <c r="L438" t="s">
        <v>1670</v>
      </c>
      <c r="M438" t="s">
        <v>1671</v>
      </c>
      <c r="O438" t="s">
        <v>1938</v>
      </c>
      <c r="P438" t="s">
        <v>1961</v>
      </c>
      <c r="R438" t="s">
        <v>50</v>
      </c>
      <c r="S438" t="s">
        <v>1670</v>
      </c>
      <c r="U438" t="s">
        <v>1972</v>
      </c>
      <c r="V438" t="s">
        <v>1984</v>
      </c>
      <c r="W438" t="s">
        <v>248</v>
      </c>
      <c r="X438">
        <v>1160</v>
      </c>
      <c r="Y438" t="s">
        <v>2009</v>
      </c>
      <c r="Z438" t="s">
        <v>2017</v>
      </c>
      <c r="AB438" t="s">
        <v>13384</v>
      </c>
      <c r="AE438">
        <v>359</v>
      </c>
      <c r="AF438" t="s">
        <v>2902</v>
      </c>
      <c r="AH438">
        <v>37</v>
      </c>
      <c r="AI438">
        <v>2</v>
      </c>
      <c r="AJ438">
        <v>3</v>
      </c>
      <c r="AK438">
        <v>298.31</v>
      </c>
      <c r="AN438" t="s">
        <v>2926</v>
      </c>
      <c r="AO438">
        <v>90000</v>
      </c>
      <c r="AP438" t="s">
        <v>18071</v>
      </c>
      <c r="AU438" t="s">
        <v>13051</v>
      </c>
      <c r="AW438" t="s">
        <v>3059</v>
      </c>
    </row>
    <row r="439" spans="1:50">
      <c r="A439" s="1" t="s">
        <v>3167</v>
      </c>
      <c r="B439" t="s">
        <v>164</v>
      </c>
      <c r="C439" t="s">
        <v>3649</v>
      </c>
      <c r="D439" t="s">
        <v>371</v>
      </c>
      <c r="E439" t="s">
        <v>174</v>
      </c>
      <c r="F439" t="s">
        <v>7009</v>
      </c>
      <c r="G439" t="s">
        <v>8088</v>
      </c>
      <c r="H439" t="s">
        <v>9583</v>
      </c>
      <c r="I439" t="s">
        <v>1515</v>
      </c>
      <c r="J439" t="s">
        <v>1644</v>
      </c>
      <c r="K439">
        <v>11238</v>
      </c>
      <c r="L439" t="s">
        <v>1670</v>
      </c>
      <c r="M439" t="s">
        <v>1670</v>
      </c>
      <c r="N439" t="s">
        <v>11950</v>
      </c>
      <c r="O439" t="s">
        <v>1936</v>
      </c>
      <c r="P439" t="s">
        <v>1958</v>
      </c>
      <c r="Q439" t="s">
        <v>1965</v>
      </c>
      <c r="R439" t="s">
        <v>50</v>
      </c>
      <c r="S439" t="s">
        <v>1671</v>
      </c>
      <c r="U439" t="s">
        <v>1972</v>
      </c>
      <c r="W439" t="s">
        <v>273</v>
      </c>
      <c r="X439">
        <v>1302.02</v>
      </c>
      <c r="Y439" t="s">
        <v>2006</v>
      </c>
      <c r="AA439" t="s">
        <v>2034</v>
      </c>
      <c r="AB439" t="s">
        <v>13385</v>
      </c>
      <c r="AC439" t="s">
        <v>15083</v>
      </c>
      <c r="AD439" t="s">
        <v>15941</v>
      </c>
      <c r="AE439">
        <v>304</v>
      </c>
      <c r="AF439" t="s">
        <v>2906</v>
      </c>
      <c r="AG439" t="s">
        <v>1754</v>
      </c>
      <c r="AH439">
        <v>3</v>
      </c>
      <c r="AI439">
        <v>2</v>
      </c>
      <c r="AJ439">
        <v>1</v>
      </c>
      <c r="AK439">
        <v>298.36</v>
      </c>
      <c r="AN439" t="s">
        <v>2926</v>
      </c>
      <c r="AO439">
        <v>62000</v>
      </c>
      <c r="AP439" t="s">
        <v>18130</v>
      </c>
      <c r="AU439">
        <v>2.5</v>
      </c>
      <c r="AV439" t="s">
        <v>371</v>
      </c>
      <c r="AW439" t="s">
        <v>18655</v>
      </c>
    </row>
    <row r="440" spans="1:50">
      <c r="A440" s="1" t="s">
        <v>65</v>
      </c>
      <c r="B440" t="s">
        <v>163</v>
      </c>
      <c r="C440" t="s">
        <v>3650</v>
      </c>
      <c r="D440" t="s">
        <v>345</v>
      </c>
      <c r="F440" t="s">
        <v>7010</v>
      </c>
      <c r="G440" t="s">
        <v>8089</v>
      </c>
      <c r="H440" t="s">
        <v>1438</v>
      </c>
      <c r="I440" t="s">
        <v>1477</v>
      </c>
      <c r="J440" t="s">
        <v>1644</v>
      </c>
      <c r="K440">
        <v>11220</v>
      </c>
      <c r="L440" t="s">
        <v>1670</v>
      </c>
      <c r="M440" t="s">
        <v>1670</v>
      </c>
      <c r="O440" t="s">
        <v>1938</v>
      </c>
      <c r="P440" t="s">
        <v>1961</v>
      </c>
      <c r="R440" t="s">
        <v>50</v>
      </c>
      <c r="S440" t="s">
        <v>1670</v>
      </c>
      <c r="U440" t="s">
        <v>1972</v>
      </c>
      <c r="W440" t="s">
        <v>345</v>
      </c>
      <c r="X440" t="s">
        <v>13051</v>
      </c>
      <c r="Y440" t="s">
        <v>2009</v>
      </c>
      <c r="AB440" t="s">
        <v>13386</v>
      </c>
      <c r="AD440" t="s">
        <v>15942</v>
      </c>
      <c r="AE440">
        <v>28</v>
      </c>
      <c r="AF440" t="s">
        <v>2902</v>
      </c>
      <c r="AH440" t="s">
        <v>13051</v>
      </c>
      <c r="AI440">
        <v>2</v>
      </c>
      <c r="AJ440">
        <v>1</v>
      </c>
      <c r="AK440">
        <v>298.36</v>
      </c>
      <c r="AN440" t="s">
        <v>2927</v>
      </c>
      <c r="AO440">
        <v>62000</v>
      </c>
      <c r="AU440">
        <v>1</v>
      </c>
      <c r="AV440" t="s">
        <v>377</v>
      </c>
      <c r="AW440" t="s">
        <v>3085</v>
      </c>
    </row>
    <row r="441" spans="1:50">
      <c r="A441" s="1" t="s">
        <v>73</v>
      </c>
      <c r="B441" t="s">
        <v>163</v>
      </c>
      <c r="C441" t="s">
        <v>3651</v>
      </c>
      <c r="D441" t="s">
        <v>235</v>
      </c>
      <c r="F441" t="s">
        <v>6847</v>
      </c>
      <c r="G441" t="s">
        <v>8090</v>
      </c>
      <c r="H441" t="s">
        <v>1293</v>
      </c>
      <c r="I441" t="s">
        <v>11046</v>
      </c>
      <c r="J441" t="s">
        <v>1645</v>
      </c>
      <c r="K441">
        <v>11691</v>
      </c>
      <c r="L441" t="s">
        <v>1670</v>
      </c>
      <c r="M441" t="s">
        <v>1670</v>
      </c>
      <c r="O441" t="s">
        <v>1938</v>
      </c>
      <c r="P441" t="s">
        <v>1962</v>
      </c>
      <c r="R441" t="s">
        <v>50</v>
      </c>
      <c r="S441" t="s">
        <v>1670</v>
      </c>
      <c r="U441" t="s">
        <v>1972</v>
      </c>
      <c r="W441" t="s">
        <v>235</v>
      </c>
      <c r="X441">
        <v>540</v>
      </c>
      <c r="Y441" t="s">
        <v>2007</v>
      </c>
      <c r="AB441" t="s">
        <v>13387</v>
      </c>
      <c r="AD441" t="s">
        <v>15943</v>
      </c>
      <c r="AE441">
        <v>43</v>
      </c>
      <c r="AH441">
        <v>40</v>
      </c>
      <c r="AI441">
        <v>2</v>
      </c>
      <c r="AJ441">
        <v>0</v>
      </c>
      <c r="AK441">
        <v>299.49</v>
      </c>
      <c r="AO441">
        <v>50644</v>
      </c>
      <c r="AU441">
        <v>0.1</v>
      </c>
      <c r="AV441" t="s">
        <v>346</v>
      </c>
      <c r="AW441" t="s">
        <v>3073</v>
      </c>
    </row>
    <row r="442" spans="1:50">
      <c r="A442" s="1" t="s">
        <v>73</v>
      </c>
      <c r="B442" t="s">
        <v>163</v>
      </c>
      <c r="C442" t="s">
        <v>3652</v>
      </c>
      <c r="D442" t="s">
        <v>235</v>
      </c>
      <c r="F442" t="s">
        <v>6847</v>
      </c>
      <c r="G442" t="s">
        <v>8090</v>
      </c>
      <c r="H442" t="s">
        <v>1293</v>
      </c>
      <c r="I442" t="s">
        <v>11046</v>
      </c>
      <c r="J442" t="s">
        <v>1645</v>
      </c>
      <c r="K442">
        <v>11691</v>
      </c>
      <c r="L442" t="s">
        <v>1670</v>
      </c>
      <c r="M442" t="s">
        <v>1670</v>
      </c>
      <c r="O442" t="s">
        <v>1941</v>
      </c>
      <c r="P442" t="s">
        <v>1962</v>
      </c>
      <c r="R442" t="s">
        <v>50</v>
      </c>
      <c r="S442" t="s">
        <v>1670</v>
      </c>
      <c r="U442" t="s">
        <v>1972</v>
      </c>
      <c r="W442" t="s">
        <v>235</v>
      </c>
      <c r="X442">
        <v>540</v>
      </c>
      <c r="Y442" t="s">
        <v>2007</v>
      </c>
      <c r="Z442" t="s">
        <v>2014</v>
      </c>
      <c r="AB442" t="s">
        <v>13387</v>
      </c>
      <c r="AD442" t="s">
        <v>15943</v>
      </c>
      <c r="AE442">
        <v>43</v>
      </c>
      <c r="AH442">
        <v>40</v>
      </c>
      <c r="AI442">
        <v>2</v>
      </c>
      <c r="AJ442">
        <v>0</v>
      </c>
      <c r="AK442">
        <v>299.49</v>
      </c>
      <c r="AN442" t="s">
        <v>2926</v>
      </c>
      <c r="AO442">
        <v>50644</v>
      </c>
      <c r="AU442">
        <v>0.1</v>
      </c>
      <c r="AV442" t="s">
        <v>346</v>
      </c>
      <c r="AW442" t="s">
        <v>3073</v>
      </c>
    </row>
    <row r="443" spans="1:50">
      <c r="A443" s="1" t="s">
        <v>3168</v>
      </c>
      <c r="B443" t="s">
        <v>164</v>
      </c>
      <c r="C443" t="s">
        <v>3653</v>
      </c>
      <c r="D443" t="s">
        <v>243</v>
      </c>
      <c r="E443" t="s">
        <v>302</v>
      </c>
      <c r="F443" t="s">
        <v>7011</v>
      </c>
      <c r="G443" t="s">
        <v>871</v>
      </c>
      <c r="H443" t="s">
        <v>9584</v>
      </c>
      <c r="I443" t="s">
        <v>11047</v>
      </c>
      <c r="J443" t="s">
        <v>1641</v>
      </c>
      <c r="K443">
        <v>10452</v>
      </c>
      <c r="L443" t="s">
        <v>1670</v>
      </c>
      <c r="M443" t="s">
        <v>1670</v>
      </c>
      <c r="N443" t="s">
        <v>11951</v>
      </c>
      <c r="O443" t="s">
        <v>1936</v>
      </c>
      <c r="P443" t="s">
        <v>1958</v>
      </c>
      <c r="Q443" t="s">
        <v>1965</v>
      </c>
      <c r="R443" t="s">
        <v>50</v>
      </c>
      <c r="S443" t="s">
        <v>1671</v>
      </c>
      <c r="U443" t="s">
        <v>1972</v>
      </c>
      <c r="W443" t="s">
        <v>243</v>
      </c>
      <c r="X443">
        <v>1599</v>
      </c>
      <c r="Y443" t="s">
        <v>2006</v>
      </c>
      <c r="AA443" t="s">
        <v>2032</v>
      </c>
      <c r="AB443" t="s">
        <v>13388</v>
      </c>
      <c r="AC443" t="s">
        <v>15084</v>
      </c>
      <c r="AD443" t="s">
        <v>15944</v>
      </c>
      <c r="AE443">
        <v>1</v>
      </c>
      <c r="AF443" t="s">
        <v>2902</v>
      </c>
      <c r="AG443" t="s">
        <v>2917</v>
      </c>
      <c r="AH443">
        <v>1</v>
      </c>
      <c r="AI443">
        <v>1</v>
      </c>
      <c r="AJ443">
        <v>0</v>
      </c>
      <c r="AK443">
        <v>299.9</v>
      </c>
      <c r="AN443" t="s">
        <v>2926</v>
      </c>
      <c r="AO443">
        <v>36408</v>
      </c>
      <c r="AP443" t="s">
        <v>18131</v>
      </c>
      <c r="AU443">
        <v>2.75</v>
      </c>
      <c r="AV443" t="s">
        <v>202</v>
      </c>
      <c r="AW443" t="s">
        <v>3043</v>
      </c>
    </row>
    <row r="444" spans="1:50">
      <c r="A444" s="1" t="s">
        <v>82</v>
      </c>
      <c r="B444" t="s">
        <v>163</v>
      </c>
      <c r="C444" t="s">
        <v>3654</v>
      </c>
      <c r="D444" t="s">
        <v>294</v>
      </c>
      <c r="F444" t="s">
        <v>7012</v>
      </c>
      <c r="G444" t="s">
        <v>8091</v>
      </c>
      <c r="H444" t="s">
        <v>9420</v>
      </c>
      <c r="I444" t="s">
        <v>11048</v>
      </c>
      <c r="J444" t="s">
        <v>1644</v>
      </c>
      <c r="K444">
        <v>11233</v>
      </c>
      <c r="L444" t="s">
        <v>1670</v>
      </c>
      <c r="M444" t="s">
        <v>1671</v>
      </c>
      <c r="N444" t="s">
        <v>1754</v>
      </c>
      <c r="O444" t="s">
        <v>1937</v>
      </c>
      <c r="P444" t="s">
        <v>1962</v>
      </c>
      <c r="R444" t="s">
        <v>50</v>
      </c>
      <c r="S444" t="s">
        <v>1670</v>
      </c>
      <c r="U444" t="s">
        <v>1972</v>
      </c>
      <c r="V444" t="s">
        <v>1984</v>
      </c>
      <c r="W444" t="s">
        <v>221</v>
      </c>
      <c r="X444">
        <v>1040</v>
      </c>
      <c r="Y444" t="s">
        <v>2009</v>
      </c>
      <c r="AB444" t="s">
        <v>13389</v>
      </c>
      <c r="AE444">
        <v>359</v>
      </c>
      <c r="AF444" t="s">
        <v>2902</v>
      </c>
      <c r="AH444">
        <v>32</v>
      </c>
      <c r="AI444">
        <v>3</v>
      </c>
      <c r="AJ444">
        <v>0</v>
      </c>
      <c r="AK444">
        <v>300.05</v>
      </c>
      <c r="AL444" t="s">
        <v>365</v>
      </c>
      <c r="AM444" t="s">
        <v>18031</v>
      </c>
      <c r="AN444" t="s">
        <v>2926</v>
      </c>
      <c r="AO444">
        <v>64000</v>
      </c>
      <c r="AP444" t="s">
        <v>18132</v>
      </c>
      <c r="AU444" t="s">
        <v>13051</v>
      </c>
      <c r="AW444" t="s">
        <v>3060</v>
      </c>
    </row>
    <row r="445" spans="1:50">
      <c r="A445" s="1" t="s">
        <v>82</v>
      </c>
      <c r="B445" t="s">
        <v>163</v>
      </c>
      <c r="C445" t="s">
        <v>3655</v>
      </c>
      <c r="D445" t="s">
        <v>294</v>
      </c>
      <c r="F445" t="s">
        <v>7012</v>
      </c>
      <c r="G445" t="s">
        <v>8091</v>
      </c>
      <c r="H445" t="s">
        <v>9420</v>
      </c>
      <c r="I445" t="s">
        <v>11048</v>
      </c>
      <c r="J445" t="s">
        <v>1644</v>
      </c>
      <c r="K445">
        <v>11233</v>
      </c>
      <c r="L445" t="s">
        <v>1670</v>
      </c>
      <c r="M445" t="s">
        <v>1671</v>
      </c>
      <c r="N445" t="s">
        <v>11952</v>
      </c>
      <c r="O445" t="s">
        <v>1938</v>
      </c>
      <c r="P445" t="s">
        <v>1961</v>
      </c>
      <c r="R445" t="s">
        <v>50</v>
      </c>
      <c r="S445" t="s">
        <v>1670</v>
      </c>
      <c r="U445" t="s">
        <v>1972</v>
      </c>
      <c r="V445" t="s">
        <v>1984</v>
      </c>
      <c r="W445" t="s">
        <v>248</v>
      </c>
      <c r="X445">
        <v>1040</v>
      </c>
      <c r="Y445" t="s">
        <v>2009</v>
      </c>
      <c r="AB445" t="s">
        <v>13389</v>
      </c>
      <c r="AE445">
        <v>359</v>
      </c>
      <c r="AF445" t="s">
        <v>2902</v>
      </c>
      <c r="AH445">
        <v>32</v>
      </c>
      <c r="AI445">
        <v>3</v>
      </c>
      <c r="AJ445">
        <v>0</v>
      </c>
      <c r="AK445">
        <v>300.05</v>
      </c>
      <c r="AL445" t="s">
        <v>365</v>
      </c>
      <c r="AM445" t="s">
        <v>18031</v>
      </c>
      <c r="AN445" t="s">
        <v>2926</v>
      </c>
      <c r="AO445">
        <v>64000</v>
      </c>
      <c r="AP445" t="s">
        <v>18076</v>
      </c>
      <c r="AU445" t="s">
        <v>13051</v>
      </c>
      <c r="AW445" t="s">
        <v>3060</v>
      </c>
    </row>
    <row r="446" spans="1:50">
      <c r="A446" s="1" t="s">
        <v>59</v>
      </c>
      <c r="B446" t="s">
        <v>163</v>
      </c>
      <c r="C446" t="s">
        <v>3656</v>
      </c>
      <c r="D446" t="s">
        <v>202</v>
      </c>
      <c r="F446" t="s">
        <v>7013</v>
      </c>
      <c r="G446" t="s">
        <v>8092</v>
      </c>
      <c r="H446" t="s">
        <v>9585</v>
      </c>
      <c r="I446" t="s">
        <v>1553</v>
      </c>
      <c r="J446" t="s">
        <v>1641</v>
      </c>
      <c r="K446">
        <v>10469</v>
      </c>
      <c r="L446" t="s">
        <v>1670</v>
      </c>
      <c r="M446" t="s">
        <v>1670</v>
      </c>
      <c r="O446" t="s">
        <v>1675</v>
      </c>
      <c r="P446" t="s">
        <v>1958</v>
      </c>
      <c r="R446" t="s">
        <v>50</v>
      </c>
      <c r="S446" t="s">
        <v>1671</v>
      </c>
      <c r="U446" t="s">
        <v>1972</v>
      </c>
      <c r="W446" t="s">
        <v>202</v>
      </c>
      <c r="X446">
        <v>1534</v>
      </c>
      <c r="Y446" t="s">
        <v>2006</v>
      </c>
      <c r="Z446" t="s">
        <v>2014</v>
      </c>
      <c r="AB446" t="s">
        <v>13390</v>
      </c>
      <c r="AD446" t="s">
        <v>15945</v>
      </c>
      <c r="AE446">
        <v>3</v>
      </c>
      <c r="AF446" t="s">
        <v>2902</v>
      </c>
      <c r="AG446" t="s">
        <v>1754</v>
      </c>
      <c r="AH446">
        <v>1</v>
      </c>
      <c r="AI446">
        <v>1</v>
      </c>
      <c r="AJ446">
        <v>2</v>
      </c>
      <c r="AK446">
        <v>300.29</v>
      </c>
      <c r="AN446" t="s">
        <v>2926</v>
      </c>
      <c r="AO446">
        <v>62400</v>
      </c>
      <c r="AU446">
        <v>2.5</v>
      </c>
      <c r="AV446" t="s">
        <v>285</v>
      </c>
      <c r="AW446" t="s">
        <v>3046</v>
      </c>
    </row>
    <row r="447" spans="1:50">
      <c r="A447" s="1" t="s">
        <v>72</v>
      </c>
      <c r="B447" t="s">
        <v>163</v>
      </c>
      <c r="C447" t="s">
        <v>3657</v>
      </c>
      <c r="D447" t="s">
        <v>304</v>
      </c>
      <c r="F447" t="s">
        <v>7007</v>
      </c>
      <c r="G447" t="s">
        <v>8093</v>
      </c>
      <c r="H447" t="s">
        <v>9586</v>
      </c>
      <c r="I447" t="s">
        <v>1503</v>
      </c>
      <c r="J447" t="s">
        <v>1643</v>
      </c>
      <c r="K447">
        <v>10029</v>
      </c>
      <c r="L447" t="s">
        <v>1670</v>
      </c>
      <c r="M447" t="s">
        <v>1670</v>
      </c>
      <c r="O447" t="s">
        <v>1939</v>
      </c>
      <c r="P447" t="s">
        <v>1963</v>
      </c>
      <c r="R447" t="s">
        <v>50</v>
      </c>
      <c r="S447" t="s">
        <v>1670</v>
      </c>
      <c r="U447" t="s">
        <v>1972</v>
      </c>
      <c r="V447" t="s">
        <v>1984</v>
      </c>
      <c r="W447" t="s">
        <v>304</v>
      </c>
      <c r="X447">
        <v>1160</v>
      </c>
      <c r="Y447" t="s">
        <v>2008</v>
      </c>
      <c r="Z447" t="s">
        <v>2016</v>
      </c>
      <c r="AB447" t="s">
        <v>13391</v>
      </c>
      <c r="AD447" t="s">
        <v>15946</v>
      </c>
      <c r="AE447" t="s">
        <v>13051</v>
      </c>
      <c r="AF447" t="s">
        <v>2902</v>
      </c>
      <c r="AG447" t="s">
        <v>1754</v>
      </c>
      <c r="AH447">
        <v>22</v>
      </c>
      <c r="AI447">
        <v>5</v>
      </c>
      <c r="AJ447">
        <v>0</v>
      </c>
      <c r="AK447">
        <v>300.48</v>
      </c>
      <c r="AN447" t="s">
        <v>2926</v>
      </c>
      <c r="AO447">
        <v>88400</v>
      </c>
      <c r="AU447" t="s">
        <v>13051</v>
      </c>
      <c r="AW447" t="s">
        <v>3051</v>
      </c>
      <c r="AX447" t="s">
        <v>18685</v>
      </c>
    </row>
    <row r="448" spans="1:50">
      <c r="A448" s="1" t="s">
        <v>3169</v>
      </c>
      <c r="B448" t="s">
        <v>164</v>
      </c>
      <c r="C448" t="s">
        <v>3658</v>
      </c>
      <c r="D448" t="s">
        <v>382</v>
      </c>
      <c r="E448" t="s">
        <v>297</v>
      </c>
      <c r="F448" t="s">
        <v>464</v>
      </c>
      <c r="G448" t="s">
        <v>8094</v>
      </c>
      <c r="H448" t="s">
        <v>9587</v>
      </c>
      <c r="I448">
        <v>2</v>
      </c>
      <c r="J448" t="s">
        <v>1641</v>
      </c>
      <c r="K448">
        <v>10461</v>
      </c>
      <c r="L448" t="s">
        <v>1670</v>
      </c>
      <c r="M448" t="s">
        <v>1670</v>
      </c>
      <c r="N448" t="s">
        <v>11953</v>
      </c>
      <c r="O448" t="s">
        <v>1940</v>
      </c>
      <c r="P448" t="s">
        <v>1958</v>
      </c>
      <c r="Q448" t="s">
        <v>1965</v>
      </c>
      <c r="R448" t="s">
        <v>50</v>
      </c>
      <c r="S448" t="s">
        <v>1671</v>
      </c>
      <c r="U448" t="s">
        <v>1972</v>
      </c>
      <c r="V448" t="s">
        <v>1984</v>
      </c>
      <c r="W448" t="s">
        <v>297</v>
      </c>
      <c r="X448">
        <v>1500</v>
      </c>
      <c r="Y448" t="s">
        <v>2006</v>
      </c>
      <c r="Z448" t="s">
        <v>2014</v>
      </c>
      <c r="AA448" t="s">
        <v>2029</v>
      </c>
      <c r="AB448" t="s">
        <v>13392</v>
      </c>
      <c r="AE448">
        <v>3</v>
      </c>
      <c r="AF448" t="s">
        <v>2903</v>
      </c>
      <c r="AG448" t="s">
        <v>1754</v>
      </c>
      <c r="AH448">
        <v>2</v>
      </c>
      <c r="AI448">
        <v>4</v>
      </c>
      <c r="AJ448">
        <v>0</v>
      </c>
      <c r="AK448">
        <v>301.2</v>
      </c>
      <c r="AN448" t="s">
        <v>2926</v>
      </c>
      <c r="AO448">
        <v>75600.2</v>
      </c>
      <c r="AP448" t="s">
        <v>18056</v>
      </c>
      <c r="AU448">
        <v>1</v>
      </c>
      <c r="AV448" t="s">
        <v>331</v>
      </c>
      <c r="AW448" t="s">
        <v>3053</v>
      </c>
    </row>
    <row r="449" spans="1:50">
      <c r="A449" s="1" t="s">
        <v>3145</v>
      </c>
      <c r="B449" t="s">
        <v>163</v>
      </c>
      <c r="C449" t="s">
        <v>3659</v>
      </c>
      <c r="D449" t="s">
        <v>174</v>
      </c>
      <c r="F449" t="s">
        <v>7014</v>
      </c>
      <c r="G449" t="s">
        <v>8095</v>
      </c>
      <c r="H449" t="s">
        <v>9588</v>
      </c>
      <c r="I449">
        <v>202</v>
      </c>
      <c r="J449" t="s">
        <v>1643</v>
      </c>
      <c r="K449">
        <v>10027</v>
      </c>
      <c r="L449" t="s">
        <v>1670</v>
      </c>
      <c r="M449" t="s">
        <v>1670</v>
      </c>
      <c r="N449" t="s">
        <v>11954</v>
      </c>
      <c r="O449" t="s">
        <v>1940</v>
      </c>
      <c r="P449" t="s">
        <v>1960</v>
      </c>
      <c r="R449" t="s">
        <v>50</v>
      </c>
      <c r="S449" t="s">
        <v>1671</v>
      </c>
      <c r="U449" t="s">
        <v>1972</v>
      </c>
      <c r="V449" t="s">
        <v>1985</v>
      </c>
      <c r="W449" t="s">
        <v>174</v>
      </c>
      <c r="X449">
        <v>734</v>
      </c>
      <c r="Y449" t="s">
        <v>2008</v>
      </c>
      <c r="Z449" t="s">
        <v>2011</v>
      </c>
      <c r="AB449" t="s">
        <v>13393</v>
      </c>
      <c r="AD449" t="s">
        <v>15947</v>
      </c>
      <c r="AE449">
        <v>27</v>
      </c>
      <c r="AF449" t="s">
        <v>2902</v>
      </c>
      <c r="AG449" t="s">
        <v>1754</v>
      </c>
      <c r="AH449">
        <v>10</v>
      </c>
      <c r="AI449">
        <v>1</v>
      </c>
      <c r="AJ449">
        <v>3</v>
      </c>
      <c r="AK449">
        <v>302.79</v>
      </c>
      <c r="AN449" t="s">
        <v>2926</v>
      </c>
      <c r="AO449">
        <v>76000</v>
      </c>
      <c r="AU449">
        <v>5.75</v>
      </c>
      <c r="AV449" t="s">
        <v>256</v>
      </c>
      <c r="AW449" t="s">
        <v>3061</v>
      </c>
    </row>
    <row r="450" spans="1:50">
      <c r="A450" s="1" t="s">
        <v>126</v>
      </c>
      <c r="B450" t="s">
        <v>164</v>
      </c>
      <c r="C450" t="s">
        <v>3660</v>
      </c>
      <c r="D450" t="s">
        <v>292</v>
      </c>
      <c r="E450" t="s">
        <v>292</v>
      </c>
      <c r="F450" t="s">
        <v>7015</v>
      </c>
      <c r="G450" t="s">
        <v>8096</v>
      </c>
      <c r="H450" t="s">
        <v>9589</v>
      </c>
      <c r="I450" t="s">
        <v>11049</v>
      </c>
      <c r="J450" t="s">
        <v>1641</v>
      </c>
      <c r="K450">
        <v>10451</v>
      </c>
      <c r="L450" t="s">
        <v>1670</v>
      </c>
      <c r="M450" t="s">
        <v>1672</v>
      </c>
      <c r="O450" t="s">
        <v>1941</v>
      </c>
      <c r="P450" t="s">
        <v>1958</v>
      </c>
      <c r="Q450" t="s">
        <v>1965</v>
      </c>
      <c r="R450" t="s">
        <v>50</v>
      </c>
      <c r="U450" t="s">
        <v>1980</v>
      </c>
      <c r="W450" t="s">
        <v>1991</v>
      </c>
      <c r="X450" t="s">
        <v>13051</v>
      </c>
      <c r="Y450" t="s">
        <v>2006</v>
      </c>
      <c r="AA450" t="s">
        <v>2029</v>
      </c>
      <c r="AB450" t="s">
        <v>13394</v>
      </c>
      <c r="AD450" t="s">
        <v>15948</v>
      </c>
      <c r="AE450" t="s">
        <v>13051</v>
      </c>
      <c r="AH450" t="s">
        <v>13051</v>
      </c>
      <c r="AI450">
        <v>2</v>
      </c>
      <c r="AJ450">
        <v>0</v>
      </c>
      <c r="AK450">
        <v>303.77</v>
      </c>
      <c r="AN450" t="s">
        <v>2926</v>
      </c>
      <c r="AO450">
        <v>50000</v>
      </c>
      <c r="AU450">
        <v>0.5</v>
      </c>
      <c r="AV450" t="s">
        <v>292</v>
      </c>
      <c r="AW450" t="s">
        <v>126</v>
      </c>
      <c r="AX450" t="s">
        <v>18685</v>
      </c>
    </row>
    <row r="451" spans="1:50">
      <c r="A451" s="1" t="s">
        <v>62</v>
      </c>
      <c r="B451" t="s">
        <v>164</v>
      </c>
      <c r="C451" t="s">
        <v>3661</v>
      </c>
      <c r="D451" t="s">
        <v>279</v>
      </c>
      <c r="E451" t="s">
        <v>271</v>
      </c>
      <c r="F451" t="s">
        <v>7016</v>
      </c>
      <c r="G451" t="s">
        <v>8097</v>
      </c>
      <c r="H451" t="s">
        <v>9569</v>
      </c>
      <c r="I451" t="s">
        <v>11050</v>
      </c>
      <c r="J451" t="s">
        <v>1644</v>
      </c>
      <c r="K451">
        <v>11230</v>
      </c>
      <c r="L451" t="s">
        <v>1670</v>
      </c>
      <c r="M451" t="s">
        <v>1672</v>
      </c>
      <c r="O451" t="s">
        <v>1937</v>
      </c>
      <c r="P451" t="s">
        <v>1959</v>
      </c>
      <c r="Q451" t="s">
        <v>1968</v>
      </c>
      <c r="R451" t="s">
        <v>50</v>
      </c>
      <c r="S451" t="s">
        <v>1670</v>
      </c>
      <c r="U451" t="s">
        <v>1972</v>
      </c>
      <c r="W451" t="s">
        <v>238</v>
      </c>
      <c r="X451" t="s">
        <v>13051</v>
      </c>
      <c r="Y451" t="s">
        <v>2009</v>
      </c>
      <c r="AA451" t="s">
        <v>2031</v>
      </c>
      <c r="AB451" t="s">
        <v>13395</v>
      </c>
      <c r="AE451">
        <v>66</v>
      </c>
      <c r="AF451" t="s">
        <v>2911</v>
      </c>
      <c r="AH451">
        <v>1</v>
      </c>
      <c r="AI451">
        <v>2</v>
      </c>
      <c r="AJ451">
        <v>0</v>
      </c>
      <c r="AK451">
        <v>303.77</v>
      </c>
      <c r="AN451" t="s">
        <v>2926</v>
      </c>
      <c r="AO451">
        <v>50000</v>
      </c>
      <c r="AU451">
        <v>0.8</v>
      </c>
      <c r="AV451" t="s">
        <v>395</v>
      </c>
      <c r="AW451" t="s">
        <v>69</v>
      </c>
    </row>
    <row r="452" spans="1:50">
      <c r="A452" s="1" t="s">
        <v>3170</v>
      </c>
      <c r="B452" t="s">
        <v>164</v>
      </c>
      <c r="C452" t="s">
        <v>3662</v>
      </c>
      <c r="D452" t="s">
        <v>206</v>
      </c>
      <c r="E452" t="s">
        <v>379</v>
      </c>
      <c r="F452" t="s">
        <v>7017</v>
      </c>
      <c r="G452" t="s">
        <v>8098</v>
      </c>
      <c r="H452" t="s">
        <v>9590</v>
      </c>
      <c r="I452">
        <v>6</v>
      </c>
      <c r="J452" t="s">
        <v>1643</v>
      </c>
      <c r="K452">
        <v>10012</v>
      </c>
      <c r="L452" t="s">
        <v>1670</v>
      </c>
      <c r="M452" t="s">
        <v>1672</v>
      </c>
      <c r="N452" t="s">
        <v>11955</v>
      </c>
      <c r="O452" t="s">
        <v>1936</v>
      </c>
      <c r="P452" t="s">
        <v>1958</v>
      </c>
      <c r="Q452" t="s">
        <v>1965</v>
      </c>
      <c r="R452" t="s">
        <v>50</v>
      </c>
      <c r="S452" t="s">
        <v>1671</v>
      </c>
      <c r="U452" t="s">
        <v>1972</v>
      </c>
      <c r="W452" t="s">
        <v>206</v>
      </c>
      <c r="X452">
        <v>2933.14</v>
      </c>
      <c r="Y452" t="s">
        <v>2008</v>
      </c>
      <c r="Z452" t="s">
        <v>2015</v>
      </c>
      <c r="AA452" t="s">
        <v>2029</v>
      </c>
      <c r="AB452" t="s">
        <v>13396</v>
      </c>
      <c r="AD452" t="s">
        <v>15949</v>
      </c>
      <c r="AE452">
        <v>9</v>
      </c>
      <c r="AF452" t="s">
        <v>2902</v>
      </c>
      <c r="AG452" t="s">
        <v>1754</v>
      </c>
      <c r="AH452">
        <v>22</v>
      </c>
      <c r="AI452">
        <v>1</v>
      </c>
      <c r="AJ452">
        <v>0</v>
      </c>
      <c r="AK452">
        <v>304.24</v>
      </c>
      <c r="AN452" t="s">
        <v>2926</v>
      </c>
      <c r="AO452">
        <v>38000</v>
      </c>
      <c r="AU452">
        <v>1</v>
      </c>
      <c r="AV452" t="s">
        <v>206</v>
      </c>
      <c r="AW452" t="s">
        <v>3061</v>
      </c>
      <c r="AX452" t="s">
        <v>18685</v>
      </c>
    </row>
    <row r="453" spans="1:50">
      <c r="A453" s="1" t="s">
        <v>79</v>
      </c>
      <c r="B453" t="s">
        <v>163</v>
      </c>
      <c r="C453" t="s">
        <v>3663</v>
      </c>
      <c r="D453" t="s">
        <v>252</v>
      </c>
      <c r="F453" t="s">
        <v>7006</v>
      </c>
      <c r="G453" t="s">
        <v>8099</v>
      </c>
      <c r="H453" t="s">
        <v>1140</v>
      </c>
      <c r="I453" t="s">
        <v>1602</v>
      </c>
      <c r="J453" t="s">
        <v>1644</v>
      </c>
      <c r="K453">
        <v>11233</v>
      </c>
      <c r="L453" t="s">
        <v>1670</v>
      </c>
      <c r="M453" t="s">
        <v>1670</v>
      </c>
      <c r="N453" t="s">
        <v>1675</v>
      </c>
      <c r="O453" t="s">
        <v>1937</v>
      </c>
      <c r="P453" t="s">
        <v>1962</v>
      </c>
      <c r="R453" t="s">
        <v>50</v>
      </c>
      <c r="S453" t="s">
        <v>1670</v>
      </c>
      <c r="U453" t="s">
        <v>1972</v>
      </c>
      <c r="V453" t="s">
        <v>1984</v>
      </c>
      <c r="W453" t="s">
        <v>1990</v>
      </c>
      <c r="X453">
        <v>623</v>
      </c>
      <c r="Y453" t="s">
        <v>2009</v>
      </c>
      <c r="Z453" t="s">
        <v>2020</v>
      </c>
      <c r="AB453" t="s">
        <v>13397</v>
      </c>
      <c r="AC453" t="s">
        <v>1754</v>
      </c>
      <c r="AD453" t="s">
        <v>15950</v>
      </c>
      <c r="AE453">
        <v>6</v>
      </c>
      <c r="AF453" t="s">
        <v>2902</v>
      </c>
      <c r="AG453" t="s">
        <v>1754</v>
      </c>
      <c r="AH453">
        <v>38</v>
      </c>
      <c r="AI453">
        <v>1</v>
      </c>
      <c r="AJ453">
        <v>0</v>
      </c>
      <c r="AK453">
        <v>304.78</v>
      </c>
      <c r="AL453" t="s">
        <v>340</v>
      </c>
      <c r="AM453" t="s">
        <v>18031</v>
      </c>
      <c r="AN453" t="s">
        <v>2926</v>
      </c>
      <c r="AO453">
        <v>37000</v>
      </c>
      <c r="AU453">
        <v>75.90000000000001</v>
      </c>
      <c r="AV453" t="s">
        <v>346</v>
      </c>
      <c r="AW453" t="s">
        <v>3060</v>
      </c>
    </row>
    <row r="454" spans="1:50">
      <c r="A454" s="1" t="s">
        <v>79</v>
      </c>
      <c r="B454" t="s">
        <v>164</v>
      </c>
      <c r="C454" t="s">
        <v>3664</v>
      </c>
      <c r="D454" t="s">
        <v>216</v>
      </c>
      <c r="E454" t="s">
        <v>330</v>
      </c>
      <c r="F454" t="s">
        <v>7006</v>
      </c>
      <c r="G454" t="s">
        <v>8099</v>
      </c>
      <c r="H454" t="s">
        <v>1140</v>
      </c>
      <c r="I454" t="s">
        <v>1602</v>
      </c>
      <c r="J454" t="s">
        <v>1644</v>
      </c>
      <c r="K454">
        <v>11233</v>
      </c>
      <c r="L454" t="s">
        <v>1670</v>
      </c>
      <c r="M454" t="s">
        <v>1670</v>
      </c>
      <c r="N454" t="s">
        <v>11956</v>
      </c>
      <c r="O454" t="s">
        <v>1940</v>
      </c>
      <c r="P454" t="s">
        <v>1960</v>
      </c>
      <c r="Q454" t="s">
        <v>1969</v>
      </c>
      <c r="R454" t="s">
        <v>50</v>
      </c>
      <c r="S454" t="s">
        <v>1671</v>
      </c>
      <c r="U454" t="s">
        <v>1972</v>
      </c>
      <c r="W454" t="s">
        <v>251</v>
      </c>
      <c r="X454">
        <v>623</v>
      </c>
      <c r="Y454" t="s">
        <v>2009</v>
      </c>
      <c r="Z454" t="s">
        <v>2013</v>
      </c>
      <c r="AA454" t="s">
        <v>2032</v>
      </c>
      <c r="AB454" t="s">
        <v>13397</v>
      </c>
      <c r="AD454" t="s">
        <v>15950</v>
      </c>
      <c r="AE454">
        <v>6</v>
      </c>
      <c r="AF454" t="s">
        <v>2902</v>
      </c>
      <c r="AG454" t="s">
        <v>1754</v>
      </c>
      <c r="AH454">
        <v>38</v>
      </c>
      <c r="AI454">
        <v>1</v>
      </c>
      <c r="AJ454">
        <v>0</v>
      </c>
      <c r="AK454">
        <v>304.78</v>
      </c>
      <c r="AL454" t="s">
        <v>340</v>
      </c>
      <c r="AM454" t="s">
        <v>18031</v>
      </c>
      <c r="AN454" t="s">
        <v>2926</v>
      </c>
      <c r="AO454">
        <v>37000</v>
      </c>
      <c r="AP454" t="s">
        <v>18133</v>
      </c>
      <c r="AU454">
        <v>54.9</v>
      </c>
      <c r="AV454" t="s">
        <v>330</v>
      </c>
      <c r="AW454" t="s">
        <v>3060</v>
      </c>
    </row>
    <row r="455" spans="1:50">
      <c r="A455" s="1" t="s">
        <v>126</v>
      </c>
      <c r="B455" t="s">
        <v>164</v>
      </c>
      <c r="C455" t="s">
        <v>3665</v>
      </c>
      <c r="D455" t="s">
        <v>175</v>
      </c>
      <c r="E455" t="s">
        <v>341</v>
      </c>
      <c r="F455" t="s">
        <v>872</v>
      </c>
      <c r="G455" t="s">
        <v>8100</v>
      </c>
      <c r="H455" t="s">
        <v>9591</v>
      </c>
      <c r="I455" t="s">
        <v>1539</v>
      </c>
      <c r="J455" t="s">
        <v>1641</v>
      </c>
      <c r="K455">
        <v>10460</v>
      </c>
      <c r="L455" t="s">
        <v>1670</v>
      </c>
      <c r="M455" t="s">
        <v>1670</v>
      </c>
      <c r="N455" t="s">
        <v>11957</v>
      </c>
      <c r="O455" t="s">
        <v>1936</v>
      </c>
      <c r="P455" t="s">
        <v>1958</v>
      </c>
      <c r="Q455" t="s">
        <v>1965</v>
      </c>
      <c r="R455" t="s">
        <v>50</v>
      </c>
      <c r="S455" t="s">
        <v>1671</v>
      </c>
      <c r="U455" t="s">
        <v>1972</v>
      </c>
      <c r="V455" t="s">
        <v>1983</v>
      </c>
      <c r="W455" t="s">
        <v>1991</v>
      </c>
      <c r="X455">
        <v>1450</v>
      </c>
      <c r="Y455" t="s">
        <v>2006</v>
      </c>
      <c r="Z455" t="s">
        <v>2015</v>
      </c>
      <c r="AA455" t="s">
        <v>2029</v>
      </c>
      <c r="AB455" t="s">
        <v>13398</v>
      </c>
      <c r="AC455" t="s">
        <v>15085</v>
      </c>
      <c r="AD455" t="s">
        <v>15951</v>
      </c>
      <c r="AE455">
        <v>5</v>
      </c>
      <c r="AF455" t="s">
        <v>2903</v>
      </c>
      <c r="AG455" t="s">
        <v>2017</v>
      </c>
      <c r="AH455">
        <v>2</v>
      </c>
      <c r="AI455">
        <v>2</v>
      </c>
      <c r="AJ455">
        <v>1</v>
      </c>
      <c r="AK455">
        <v>304.94</v>
      </c>
      <c r="AN455" t="s">
        <v>2935</v>
      </c>
      <c r="AO455">
        <v>63366</v>
      </c>
      <c r="AU455">
        <v>3.3</v>
      </c>
      <c r="AV455" t="s">
        <v>228</v>
      </c>
      <c r="AW455" t="s">
        <v>3066</v>
      </c>
      <c r="AX455" t="s">
        <v>18685</v>
      </c>
    </row>
    <row r="456" spans="1:50">
      <c r="A456" s="1" t="s">
        <v>74</v>
      </c>
      <c r="B456" t="s">
        <v>163</v>
      </c>
      <c r="C456" t="s">
        <v>3666</v>
      </c>
      <c r="D456" t="s">
        <v>191</v>
      </c>
      <c r="F456" t="s">
        <v>714</v>
      </c>
      <c r="G456" t="s">
        <v>931</v>
      </c>
      <c r="H456" t="s">
        <v>1131</v>
      </c>
      <c r="I456" t="s">
        <v>11051</v>
      </c>
      <c r="J456" t="s">
        <v>1641</v>
      </c>
      <c r="K456">
        <v>10460</v>
      </c>
      <c r="L456" t="s">
        <v>1670</v>
      </c>
      <c r="M456" t="s">
        <v>1672</v>
      </c>
      <c r="N456" t="s">
        <v>1691</v>
      </c>
      <c r="O456" t="s">
        <v>1675</v>
      </c>
      <c r="P456" t="s">
        <v>1959</v>
      </c>
      <c r="R456" t="s">
        <v>50</v>
      </c>
      <c r="S456" t="s">
        <v>1670</v>
      </c>
      <c r="U456" t="s">
        <v>1972</v>
      </c>
      <c r="W456" t="s">
        <v>1991</v>
      </c>
      <c r="X456">
        <v>378</v>
      </c>
      <c r="Y456" t="s">
        <v>2006</v>
      </c>
      <c r="Z456" t="s">
        <v>2015</v>
      </c>
      <c r="AB456" t="s">
        <v>13399</v>
      </c>
      <c r="AE456">
        <v>168</v>
      </c>
      <c r="AF456" t="s">
        <v>2909</v>
      </c>
      <c r="AG456" t="s">
        <v>2915</v>
      </c>
      <c r="AH456">
        <v>14</v>
      </c>
      <c r="AI456">
        <v>2</v>
      </c>
      <c r="AJ456">
        <v>1</v>
      </c>
      <c r="AK456">
        <v>306.14</v>
      </c>
      <c r="AN456" t="s">
        <v>2926</v>
      </c>
      <c r="AO456">
        <v>65300</v>
      </c>
      <c r="AU456" t="s">
        <v>13051</v>
      </c>
      <c r="AW456" t="s">
        <v>3047</v>
      </c>
      <c r="AX456" t="s">
        <v>18685</v>
      </c>
    </row>
    <row r="457" spans="1:50">
      <c r="A457" s="1" t="s">
        <v>107</v>
      </c>
      <c r="B457" t="s">
        <v>163</v>
      </c>
      <c r="C457" t="s">
        <v>3667</v>
      </c>
      <c r="D457" t="s">
        <v>178</v>
      </c>
      <c r="F457" t="s">
        <v>7018</v>
      </c>
      <c r="G457" t="s">
        <v>8101</v>
      </c>
      <c r="H457" t="s">
        <v>9592</v>
      </c>
      <c r="I457" t="s">
        <v>11052</v>
      </c>
      <c r="J457" t="s">
        <v>1644</v>
      </c>
      <c r="K457">
        <v>11233</v>
      </c>
      <c r="L457" t="s">
        <v>1670</v>
      </c>
      <c r="M457" t="s">
        <v>1670</v>
      </c>
      <c r="N457" t="s">
        <v>11958</v>
      </c>
      <c r="O457" t="s">
        <v>1936</v>
      </c>
      <c r="P457" t="s">
        <v>1960</v>
      </c>
      <c r="R457" t="s">
        <v>50</v>
      </c>
      <c r="S457" t="s">
        <v>1671</v>
      </c>
      <c r="U457" t="s">
        <v>1972</v>
      </c>
      <c r="V457" t="s">
        <v>1984</v>
      </c>
      <c r="W457" t="s">
        <v>178</v>
      </c>
      <c r="X457">
        <v>2050</v>
      </c>
      <c r="Y457" t="s">
        <v>2009</v>
      </c>
      <c r="Z457" t="s">
        <v>2011</v>
      </c>
      <c r="AB457" t="s">
        <v>13400</v>
      </c>
      <c r="AC457" t="s">
        <v>1754</v>
      </c>
      <c r="AD457" t="s">
        <v>15952</v>
      </c>
      <c r="AE457">
        <v>6</v>
      </c>
      <c r="AF457" t="s">
        <v>2902</v>
      </c>
      <c r="AG457" t="s">
        <v>1754</v>
      </c>
      <c r="AH457" t="s">
        <v>13051</v>
      </c>
      <c r="AI457">
        <v>1</v>
      </c>
      <c r="AJ457">
        <v>0</v>
      </c>
      <c r="AK457">
        <v>306.43</v>
      </c>
      <c r="AL457" t="s">
        <v>390</v>
      </c>
      <c r="AM457" t="s">
        <v>18031</v>
      </c>
      <c r="AN457" t="s">
        <v>2926</v>
      </c>
      <c r="AO457">
        <v>37200</v>
      </c>
      <c r="AP457" t="s">
        <v>18134</v>
      </c>
      <c r="AU457">
        <v>48.7</v>
      </c>
      <c r="AV457" t="s">
        <v>220</v>
      </c>
      <c r="AW457" t="s">
        <v>3043</v>
      </c>
    </row>
    <row r="458" spans="1:50">
      <c r="A458" s="1" t="s">
        <v>57</v>
      </c>
      <c r="B458" t="s">
        <v>163</v>
      </c>
      <c r="C458" t="s">
        <v>3668</v>
      </c>
      <c r="D458" t="s">
        <v>170</v>
      </c>
      <c r="F458" t="s">
        <v>604</v>
      </c>
      <c r="G458" t="s">
        <v>8102</v>
      </c>
      <c r="H458" t="s">
        <v>1112</v>
      </c>
      <c r="I458" t="s">
        <v>11053</v>
      </c>
      <c r="J458" t="s">
        <v>1641</v>
      </c>
      <c r="K458">
        <v>10453</v>
      </c>
      <c r="L458" t="s">
        <v>1670</v>
      </c>
      <c r="M458" t="s">
        <v>1670</v>
      </c>
      <c r="O458" t="s">
        <v>1938</v>
      </c>
      <c r="P458" t="s">
        <v>1961</v>
      </c>
      <c r="R458" t="s">
        <v>50</v>
      </c>
      <c r="S458" t="s">
        <v>1670</v>
      </c>
      <c r="U458" t="s">
        <v>1972</v>
      </c>
      <c r="W458" t="s">
        <v>283</v>
      </c>
      <c r="X458">
        <v>836</v>
      </c>
      <c r="Y458" t="s">
        <v>2006</v>
      </c>
      <c r="Z458" t="s">
        <v>2015</v>
      </c>
      <c r="AB458" t="s">
        <v>13401</v>
      </c>
      <c r="AD458" t="s">
        <v>15953</v>
      </c>
      <c r="AE458">
        <v>167</v>
      </c>
      <c r="AF458" t="s">
        <v>2902</v>
      </c>
      <c r="AG458" t="s">
        <v>2919</v>
      </c>
      <c r="AH458">
        <v>34</v>
      </c>
      <c r="AI458">
        <v>1</v>
      </c>
      <c r="AJ458">
        <v>0</v>
      </c>
      <c r="AK458">
        <v>307.45</v>
      </c>
      <c r="AN458" t="s">
        <v>2926</v>
      </c>
      <c r="AO458">
        <v>38400</v>
      </c>
      <c r="AU458" t="s">
        <v>13051</v>
      </c>
      <c r="AW458" t="s">
        <v>3046</v>
      </c>
    </row>
    <row r="459" spans="1:50">
      <c r="A459" s="1" t="s">
        <v>57</v>
      </c>
      <c r="B459" t="s">
        <v>163</v>
      </c>
      <c r="C459" t="s">
        <v>3669</v>
      </c>
      <c r="D459" t="s">
        <v>170</v>
      </c>
      <c r="F459" t="s">
        <v>604</v>
      </c>
      <c r="G459" t="s">
        <v>8102</v>
      </c>
      <c r="H459" t="s">
        <v>1112</v>
      </c>
      <c r="I459" t="s">
        <v>11053</v>
      </c>
      <c r="J459" t="s">
        <v>1641</v>
      </c>
      <c r="K459">
        <v>10453</v>
      </c>
      <c r="L459" t="s">
        <v>1670</v>
      </c>
      <c r="M459" t="s">
        <v>1670</v>
      </c>
      <c r="N459" t="s">
        <v>1677</v>
      </c>
      <c r="O459" t="s">
        <v>1939</v>
      </c>
      <c r="P459" t="s">
        <v>1960</v>
      </c>
      <c r="R459" t="s">
        <v>50</v>
      </c>
      <c r="S459" t="s">
        <v>1670</v>
      </c>
      <c r="U459" t="s">
        <v>1972</v>
      </c>
      <c r="W459" t="s">
        <v>283</v>
      </c>
      <c r="X459">
        <v>836</v>
      </c>
      <c r="Y459" t="s">
        <v>2006</v>
      </c>
      <c r="Z459" t="s">
        <v>2015</v>
      </c>
      <c r="AB459" t="s">
        <v>13401</v>
      </c>
      <c r="AD459" t="s">
        <v>15953</v>
      </c>
      <c r="AE459">
        <v>167</v>
      </c>
      <c r="AF459" t="s">
        <v>2902</v>
      </c>
      <c r="AG459" t="s">
        <v>2919</v>
      </c>
      <c r="AH459">
        <v>34</v>
      </c>
      <c r="AI459">
        <v>1</v>
      </c>
      <c r="AJ459">
        <v>0</v>
      </c>
      <c r="AK459">
        <v>307.45</v>
      </c>
      <c r="AN459" t="s">
        <v>2926</v>
      </c>
      <c r="AO459">
        <v>38400</v>
      </c>
      <c r="AU459" t="s">
        <v>13051</v>
      </c>
      <c r="AW459" t="s">
        <v>3046</v>
      </c>
    </row>
    <row r="460" spans="1:50">
      <c r="A460" s="1" t="s">
        <v>103</v>
      </c>
      <c r="B460" t="s">
        <v>163</v>
      </c>
      <c r="C460" t="s">
        <v>3670</v>
      </c>
      <c r="D460" t="s">
        <v>237</v>
      </c>
      <c r="F460" t="s">
        <v>7019</v>
      </c>
      <c r="G460" t="s">
        <v>1002</v>
      </c>
      <c r="H460" t="s">
        <v>9593</v>
      </c>
      <c r="I460">
        <v>14</v>
      </c>
      <c r="J460" t="s">
        <v>1644</v>
      </c>
      <c r="K460">
        <v>11212</v>
      </c>
      <c r="L460" t="s">
        <v>1670</v>
      </c>
      <c r="M460" t="s">
        <v>1670</v>
      </c>
      <c r="N460" t="s">
        <v>11959</v>
      </c>
      <c r="O460" t="s">
        <v>1940</v>
      </c>
      <c r="P460" t="s">
        <v>1960</v>
      </c>
      <c r="R460" t="s">
        <v>50</v>
      </c>
      <c r="S460" t="s">
        <v>1671</v>
      </c>
      <c r="U460" t="s">
        <v>1972</v>
      </c>
      <c r="V460" t="s">
        <v>1984</v>
      </c>
      <c r="W460" t="s">
        <v>2001</v>
      </c>
      <c r="X460">
        <v>1078</v>
      </c>
      <c r="Y460" t="s">
        <v>2009</v>
      </c>
      <c r="Z460" t="s">
        <v>2013</v>
      </c>
      <c r="AB460" t="s">
        <v>13402</v>
      </c>
      <c r="AC460" t="s">
        <v>1754</v>
      </c>
      <c r="AD460" t="s">
        <v>15954</v>
      </c>
      <c r="AE460">
        <v>15</v>
      </c>
      <c r="AF460" t="s">
        <v>2902</v>
      </c>
      <c r="AG460" t="s">
        <v>1754</v>
      </c>
      <c r="AH460">
        <v>8</v>
      </c>
      <c r="AI460">
        <v>2</v>
      </c>
      <c r="AJ460">
        <v>3</v>
      </c>
      <c r="AK460">
        <v>308.25</v>
      </c>
      <c r="AN460" t="s">
        <v>2926</v>
      </c>
      <c r="AO460">
        <v>93000</v>
      </c>
      <c r="AP460" t="s">
        <v>18135</v>
      </c>
      <c r="AU460">
        <v>40.85</v>
      </c>
      <c r="AV460" t="s">
        <v>346</v>
      </c>
      <c r="AW460" t="s">
        <v>3084</v>
      </c>
      <c r="AX460" t="s">
        <v>18685</v>
      </c>
    </row>
    <row r="461" spans="1:50">
      <c r="A461" s="1" t="s">
        <v>58</v>
      </c>
      <c r="B461" t="s">
        <v>164</v>
      </c>
      <c r="C461" t="s">
        <v>3671</v>
      </c>
      <c r="D461" t="s">
        <v>271</v>
      </c>
      <c r="E461" t="s">
        <v>303</v>
      </c>
      <c r="F461" t="s">
        <v>665</v>
      </c>
      <c r="G461" t="s">
        <v>8103</v>
      </c>
      <c r="H461" t="s">
        <v>9594</v>
      </c>
      <c r="I461" t="s">
        <v>11054</v>
      </c>
      <c r="J461" t="s">
        <v>1641</v>
      </c>
      <c r="K461">
        <v>10455</v>
      </c>
      <c r="L461" t="s">
        <v>1670</v>
      </c>
      <c r="M461" t="s">
        <v>1670</v>
      </c>
      <c r="N461" t="s">
        <v>11960</v>
      </c>
      <c r="O461" t="s">
        <v>1936</v>
      </c>
      <c r="P461" t="s">
        <v>1960</v>
      </c>
      <c r="Q461" t="s">
        <v>1969</v>
      </c>
      <c r="R461" t="s">
        <v>50</v>
      </c>
      <c r="S461" t="s">
        <v>1671</v>
      </c>
      <c r="U461" t="s">
        <v>1972</v>
      </c>
      <c r="V461" t="s">
        <v>1983</v>
      </c>
      <c r="W461" t="s">
        <v>271</v>
      </c>
      <c r="X461">
        <v>1401.29</v>
      </c>
      <c r="Y461" t="s">
        <v>2006</v>
      </c>
      <c r="Z461" t="s">
        <v>2013</v>
      </c>
      <c r="AA461" t="s">
        <v>2032</v>
      </c>
      <c r="AB461" t="s">
        <v>13403</v>
      </c>
      <c r="AC461" t="s">
        <v>15086</v>
      </c>
      <c r="AD461" t="s">
        <v>15955</v>
      </c>
      <c r="AE461">
        <v>9</v>
      </c>
      <c r="AF461" t="s">
        <v>2902</v>
      </c>
      <c r="AG461" t="s">
        <v>1754</v>
      </c>
      <c r="AH461">
        <v>4</v>
      </c>
      <c r="AI461">
        <v>1</v>
      </c>
      <c r="AJ461">
        <v>0</v>
      </c>
      <c r="AK461">
        <v>308.4</v>
      </c>
      <c r="AL461" t="s">
        <v>390</v>
      </c>
      <c r="AN461" t="s">
        <v>2926</v>
      </c>
      <c r="AO461">
        <v>37440</v>
      </c>
      <c r="AP461" t="s">
        <v>18136</v>
      </c>
      <c r="AQ461" t="s">
        <v>2978</v>
      </c>
      <c r="AR461" t="s">
        <v>2982</v>
      </c>
      <c r="AS461" t="s">
        <v>2992</v>
      </c>
      <c r="AT461" t="s">
        <v>18510</v>
      </c>
      <c r="AU461">
        <v>9.75</v>
      </c>
      <c r="AV461" t="s">
        <v>303</v>
      </c>
      <c r="AW461" t="s">
        <v>3041</v>
      </c>
    </row>
    <row r="462" spans="1:50">
      <c r="A462" s="1" t="s">
        <v>78</v>
      </c>
      <c r="B462" t="s">
        <v>164</v>
      </c>
      <c r="C462" t="s">
        <v>3672</v>
      </c>
      <c r="D462" t="s">
        <v>299</v>
      </c>
      <c r="E462" t="s">
        <v>6761</v>
      </c>
      <c r="F462" t="s">
        <v>696</v>
      </c>
      <c r="G462" t="s">
        <v>8104</v>
      </c>
      <c r="H462" t="s">
        <v>1166</v>
      </c>
      <c r="I462" t="s">
        <v>1543</v>
      </c>
      <c r="J462" t="s">
        <v>1646</v>
      </c>
      <c r="K462">
        <v>10304</v>
      </c>
      <c r="L462" t="s">
        <v>1670</v>
      </c>
      <c r="M462" t="s">
        <v>1670</v>
      </c>
      <c r="N462" t="s">
        <v>11961</v>
      </c>
      <c r="O462" t="s">
        <v>1936</v>
      </c>
      <c r="P462" t="s">
        <v>1960</v>
      </c>
      <c r="Q462" t="s">
        <v>1969</v>
      </c>
      <c r="R462" t="s">
        <v>50</v>
      </c>
      <c r="S462" t="s">
        <v>1671</v>
      </c>
      <c r="U462" t="s">
        <v>1972</v>
      </c>
      <c r="V462" t="s">
        <v>1984</v>
      </c>
      <c r="W462" t="s">
        <v>299</v>
      </c>
      <c r="X462">
        <v>778</v>
      </c>
      <c r="Y462" t="s">
        <v>2010</v>
      </c>
      <c r="Z462" t="s">
        <v>2020</v>
      </c>
      <c r="AA462" t="s">
        <v>2033</v>
      </c>
      <c r="AB462" t="s">
        <v>13404</v>
      </c>
      <c r="AD462" t="s">
        <v>15956</v>
      </c>
      <c r="AE462">
        <v>361</v>
      </c>
      <c r="AF462" t="s">
        <v>2909</v>
      </c>
      <c r="AG462" t="s">
        <v>2915</v>
      </c>
      <c r="AH462">
        <v>8</v>
      </c>
      <c r="AI462">
        <v>1</v>
      </c>
      <c r="AJ462">
        <v>0</v>
      </c>
      <c r="AK462">
        <v>308.4</v>
      </c>
      <c r="AL462" t="s">
        <v>390</v>
      </c>
      <c r="AM462" t="s">
        <v>18031</v>
      </c>
      <c r="AN462" t="s">
        <v>2926</v>
      </c>
      <c r="AO462">
        <v>37440</v>
      </c>
      <c r="AQ462" t="s">
        <v>2979</v>
      </c>
      <c r="AR462" t="s">
        <v>2988</v>
      </c>
      <c r="AS462" t="s">
        <v>2992</v>
      </c>
      <c r="AT462" t="s">
        <v>18511</v>
      </c>
      <c r="AU462">
        <v>2.2</v>
      </c>
      <c r="AV462" t="s">
        <v>3031</v>
      </c>
      <c r="AW462" t="s">
        <v>3056</v>
      </c>
    </row>
    <row r="463" spans="1:50">
      <c r="A463" s="1" t="s">
        <v>57</v>
      </c>
      <c r="B463" t="s">
        <v>163</v>
      </c>
      <c r="C463" t="s">
        <v>3673</v>
      </c>
      <c r="D463" t="s">
        <v>225</v>
      </c>
      <c r="F463" t="s">
        <v>7020</v>
      </c>
      <c r="G463" t="s">
        <v>8105</v>
      </c>
      <c r="H463" t="s">
        <v>1379</v>
      </c>
      <c r="I463" t="s">
        <v>1571</v>
      </c>
      <c r="J463" t="s">
        <v>1641</v>
      </c>
      <c r="K463">
        <v>10468</v>
      </c>
      <c r="L463" t="s">
        <v>1670</v>
      </c>
      <c r="M463" t="s">
        <v>1670</v>
      </c>
      <c r="O463" t="s">
        <v>1938</v>
      </c>
      <c r="P463" t="s">
        <v>1961</v>
      </c>
      <c r="R463" t="s">
        <v>50</v>
      </c>
      <c r="S463" t="s">
        <v>1671</v>
      </c>
      <c r="U463" t="s">
        <v>1972</v>
      </c>
      <c r="W463" t="s">
        <v>250</v>
      </c>
      <c r="X463">
        <v>1313</v>
      </c>
      <c r="Y463" t="s">
        <v>2006</v>
      </c>
      <c r="Z463" t="s">
        <v>2015</v>
      </c>
      <c r="AB463" t="s">
        <v>13405</v>
      </c>
      <c r="AD463" t="s">
        <v>15957</v>
      </c>
      <c r="AE463">
        <v>58</v>
      </c>
      <c r="AF463" t="s">
        <v>2902</v>
      </c>
      <c r="AG463" t="s">
        <v>1754</v>
      </c>
      <c r="AH463">
        <v>25</v>
      </c>
      <c r="AI463">
        <v>2</v>
      </c>
      <c r="AJ463">
        <v>0</v>
      </c>
      <c r="AK463">
        <v>308.63</v>
      </c>
      <c r="AN463" t="s">
        <v>2927</v>
      </c>
      <c r="AO463">
        <v>50800</v>
      </c>
      <c r="AU463">
        <v>3.2</v>
      </c>
      <c r="AV463" t="s">
        <v>250</v>
      </c>
      <c r="AW463" t="s">
        <v>3046</v>
      </c>
    </row>
    <row r="464" spans="1:50">
      <c r="A464" s="1" t="s">
        <v>57</v>
      </c>
      <c r="B464" t="s">
        <v>163</v>
      </c>
      <c r="C464" t="s">
        <v>3674</v>
      </c>
      <c r="D464" t="s">
        <v>225</v>
      </c>
      <c r="F464" t="s">
        <v>7020</v>
      </c>
      <c r="G464" t="s">
        <v>8105</v>
      </c>
      <c r="H464" t="s">
        <v>1379</v>
      </c>
      <c r="I464" t="s">
        <v>1571</v>
      </c>
      <c r="J464" t="s">
        <v>1641</v>
      </c>
      <c r="K464">
        <v>10468</v>
      </c>
      <c r="L464" t="s">
        <v>1670</v>
      </c>
      <c r="M464" t="s">
        <v>1670</v>
      </c>
      <c r="N464" t="s">
        <v>1718</v>
      </c>
      <c r="O464" t="s">
        <v>1939</v>
      </c>
      <c r="P464" t="s">
        <v>1960</v>
      </c>
      <c r="R464" t="s">
        <v>50</v>
      </c>
      <c r="S464" t="s">
        <v>1670</v>
      </c>
      <c r="U464" t="s">
        <v>1972</v>
      </c>
      <c r="W464" t="s">
        <v>1993</v>
      </c>
      <c r="X464">
        <v>1313</v>
      </c>
      <c r="Y464" t="s">
        <v>2006</v>
      </c>
      <c r="Z464" t="s">
        <v>2015</v>
      </c>
      <c r="AB464" t="s">
        <v>13405</v>
      </c>
      <c r="AD464" t="s">
        <v>15957</v>
      </c>
      <c r="AE464">
        <v>58</v>
      </c>
      <c r="AF464" t="s">
        <v>2902</v>
      </c>
      <c r="AG464" t="s">
        <v>1754</v>
      </c>
      <c r="AH464">
        <v>25</v>
      </c>
      <c r="AI464">
        <v>2</v>
      </c>
      <c r="AJ464">
        <v>0</v>
      </c>
      <c r="AK464">
        <v>308.63</v>
      </c>
      <c r="AN464" t="s">
        <v>2927</v>
      </c>
      <c r="AO464">
        <v>50800</v>
      </c>
      <c r="AU464" t="s">
        <v>13051</v>
      </c>
      <c r="AW464" t="s">
        <v>3046</v>
      </c>
    </row>
    <row r="465" spans="1:50">
      <c r="A465" s="1" t="s">
        <v>75</v>
      </c>
      <c r="B465" t="s">
        <v>164</v>
      </c>
      <c r="C465" t="s">
        <v>3675</v>
      </c>
      <c r="D465" t="s">
        <v>376</v>
      </c>
      <c r="E465" t="s">
        <v>266</v>
      </c>
      <c r="F465" t="s">
        <v>7021</v>
      </c>
      <c r="G465" t="s">
        <v>856</v>
      </c>
      <c r="H465" t="s">
        <v>9595</v>
      </c>
      <c r="I465">
        <v>201</v>
      </c>
      <c r="J465" t="s">
        <v>1643</v>
      </c>
      <c r="K465">
        <v>10029</v>
      </c>
      <c r="L465" t="s">
        <v>1670</v>
      </c>
      <c r="M465" t="s">
        <v>1670</v>
      </c>
      <c r="O465" t="s">
        <v>1675</v>
      </c>
      <c r="P465" t="s">
        <v>1958</v>
      </c>
      <c r="Q465" t="s">
        <v>1965</v>
      </c>
      <c r="R465" t="s">
        <v>50</v>
      </c>
      <c r="S465" t="s">
        <v>1671</v>
      </c>
      <c r="U465" t="s">
        <v>1972</v>
      </c>
      <c r="V465" t="s">
        <v>1984</v>
      </c>
      <c r="W465" t="s">
        <v>376</v>
      </c>
      <c r="X465">
        <v>398</v>
      </c>
      <c r="Y465" t="s">
        <v>2008</v>
      </c>
      <c r="Z465" t="s">
        <v>2016</v>
      </c>
      <c r="AA465" t="s">
        <v>2029</v>
      </c>
      <c r="AB465" t="s">
        <v>13406</v>
      </c>
      <c r="AD465" t="s">
        <v>15958</v>
      </c>
      <c r="AE465">
        <v>82</v>
      </c>
      <c r="AF465" t="s">
        <v>2909</v>
      </c>
      <c r="AG465" t="s">
        <v>2915</v>
      </c>
      <c r="AH465">
        <v>32</v>
      </c>
      <c r="AI465">
        <v>3</v>
      </c>
      <c r="AJ465">
        <v>0</v>
      </c>
      <c r="AK465">
        <v>309.05</v>
      </c>
      <c r="AN465" t="s">
        <v>2926</v>
      </c>
      <c r="AO465">
        <v>64220</v>
      </c>
      <c r="AU465">
        <v>0.1</v>
      </c>
      <c r="AV465" t="s">
        <v>210</v>
      </c>
      <c r="AW465" t="s">
        <v>3051</v>
      </c>
    </row>
    <row r="466" spans="1:50">
      <c r="A466" s="1" t="s">
        <v>146</v>
      </c>
      <c r="B466" t="s">
        <v>164</v>
      </c>
      <c r="C466" t="s">
        <v>3676</v>
      </c>
      <c r="D466" t="s">
        <v>6138</v>
      </c>
      <c r="E466" t="s">
        <v>250</v>
      </c>
      <c r="F466" t="s">
        <v>7022</v>
      </c>
      <c r="G466" t="s">
        <v>8106</v>
      </c>
      <c r="H466" t="s">
        <v>9596</v>
      </c>
      <c r="I466" t="s">
        <v>1484</v>
      </c>
      <c r="J466" t="s">
        <v>1641</v>
      </c>
      <c r="K466">
        <v>10452</v>
      </c>
      <c r="L466" t="s">
        <v>1670</v>
      </c>
      <c r="M466" t="s">
        <v>1670</v>
      </c>
      <c r="O466" t="s">
        <v>1941</v>
      </c>
      <c r="P466" t="s">
        <v>1958</v>
      </c>
      <c r="Q466" t="s">
        <v>1965</v>
      </c>
      <c r="R466" t="s">
        <v>50</v>
      </c>
      <c r="U466" t="s">
        <v>1972</v>
      </c>
      <c r="W466" t="s">
        <v>250</v>
      </c>
      <c r="X466">
        <v>1183.1</v>
      </c>
      <c r="Y466" t="s">
        <v>2006</v>
      </c>
      <c r="AA466" t="s">
        <v>2029</v>
      </c>
      <c r="AB466" t="s">
        <v>13407</v>
      </c>
      <c r="AE466">
        <v>54</v>
      </c>
      <c r="AF466" t="s">
        <v>2902</v>
      </c>
      <c r="AG466" t="s">
        <v>1754</v>
      </c>
      <c r="AH466">
        <v>20</v>
      </c>
      <c r="AI466">
        <v>2</v>
      </c>
      <c r="AJ466">
        <v>0</v>
      </c>
      <c r="AK466">
        <v>309.84</v>
      </c>
      <c r="AN466" t="s">
        <v>2926</v>
      </c>
      <c r="AO466">
        <v>51000</v>
      </c>
      <c r="AP466" t="s">
        <v>18137</v>
      </c>
      <c r="AU466">
        <v>0.5</v>
      </c>
      <c r="AV466" t="s">
        <v>250</v>
      </c>
      <c r="AW466" t="s">
        <v>3047</v>
      </c>
    </row>
    <row r="467" spans="1:50">
      <c r="A467" s="1" t="s">
        <v>119</v>
      </c>
      <c r="B467" t="s">
        <v>164</v>
      </c>
      <c r="C467" t="s">
        <v>3677</v>
      </c>
      <c r="D467" t="s">
        <v>199</v>
      </c>
      <c r="E467" t="s">
        <v>400</v>
      </c>
      <c r="F467" t="s">
        <v>6803</v>
      </c>
      <c r="G467" t="s">
        <v>7891</v>
      </c>
      <c r="H467" t="s">
        <v>1270</v>
      </c>
      <c r="I467" t="s">
        <v>10944</v>
      </c>
      <c r="J467" t="s">
        <v>1644</v>
      </c>
      <c r="K467">
        <v>11208</v>
      </c>
      <c r="L467" t="s">
        <v>1670</v>
      </c>
      <c r="M467" t="s">
        <v>1670</v>
      </c>
      <c r="N467" t="s">
        <v>11837</v>
      </c>
      <c r="O467" t="s">
        <v>1936</v>
      </c>
      <c r="P467" t="s">
        <v>1960</v>
      </c>
      <c r="Q467" t="s">
        <v>1969</v>
      </c>
      <c r="R467" t="s">
        <v>50</v>
      </c>
      <c r="S467" t="s">
        <v>1671</v>
      </c>
      <c r="U467" t="s">
        <v>1972</v>
      </c>
      <c r="V467" t="s">
        <v>1983</v>
      </c>
      <c r="W467" t="s">
        <v>266</v>
      </c>
      <c r="X467">
        <v>1255</v>
      </c>
      <c r="Y467" t="s">
        <v>2009</v>
      </c>
      <c r="Z467" t="s">
        <v>2020</v>
      </c>
      <c r="AA467" t="s">
        <v>2032</v>
      </c>
      <c r="AB467" t="s">
        <v>13096</v>
      </c>
      <c r="AC467" t="s">
        <v>1691</v>
      </c>
      <c r="AD467" t="s">
        <v>15722</v>
      </c>
      <c r="AE467">
        <v>272</v>
      </c>
      <c r="AF467" t="s">
        <v>2902</v>
      </c>
      <c r="AG467" t="s">
        <v>2919</v>
      </c>
      <c r="AH467">
        <v>7</v>
      </c>
      <c r="AI467">
        <v>1</v>
      </c>
      <c r="AJ467">
        <v>0</v>
      </c>
      <c r="AK467">
        <v>310.04</v>
      </c>
      <c r="AL467" t="s">
        <v>390</v>
      </c>
      <c r="AM467" t="s">
        <v>18031</v>
      </c>
      <c r="AN467" t="s">
        <v>2926</v>
      </c>
      <c r="AO467">
        <v>38724</v>
      </c>
      <c r="AR467" t="s">
        <v>2982</v>
      </c>
      <c r="AS467" t="s">
        <v>2992</v>
      </c>
      <c r="AT467" t="s">
        <v>18512</v>
      </c>
      <c r="AU467">
        <v>9.9</v>
      </c>
      <c r="AV467" t="s">
        <v>400</v>
      </c>
      <c r="AW467" t="s">
        <v>3083</v>
      </c>
      <c r="AX467" t="s">
        <v>18685</v>
      </c>
    </row>
    <row r="468" spans="1:50">
      <c r="A468" s="1" t="s">
        <v>94</v>
      </c>
      <c r="B468" t="s">
        <v>164</v>
      </c>
      <c r="C468" t="s">
        <v>3678</v>
      </c>
      <c r="D468" t="s">
        <v>256</v>
      </c>
      <c r="E468" t="s">
        <v>286</v>
      </c>
      <c r="F468" t="s">
        <v>7023</v>
      </c>
      <c r="G468" t="s">
        <v>8107</v>
      </c>
      <c r="H468" t="s">
        <v>9597</v>
      </c>
      <c r="I468" t="s">
        <v>11055</v>
      </c>
      <c r="J468" t="s">
        <v>1643</v>
      </c>
      <c r="K468">
        <v>10040</v>
      </c>
      <c r="L468" t="s">
        <v>1670</v>
      </c>
      <c r="M468" t="s">
        <v>1670</v>
      </c>
      <c r="N468" t="s">
        <v>11962</v>
      </c>
      <c r="O468" t="s">
        <v>1936</v>
      </c>
      <c r="P468" t="s">
        <v>1962</v>
      </c>
      <c r="Q468" t="s">
        <v>1968</v>
      </c>
      <c r="R468" t="s">
        <v>50</v>
      </c>
      <c r="S468" t="s">
        <v>1671</v>
      </c>
      <c r="U468" t="s">
        <v>1972</v>
      </c>
      <c r="W468" t="s">
        <v>256</v>
      </c>
      <c r="X468">
        <v>802.88</v>
      </c>
      <c r="Y468" t="s">
        <v>2008</v>
      </c>
      <c r="Z468" t="s">
        <v>2013</v>
      </c>
      <c r="AA468" t="s">
        <v>2034</v>
      </c>
      <c r="AB468" t="s">
        <v>13408</v>
      </c>
      <c r="AE468">
        <v>68</v>
      </c>
      <c r="AF468" t="s">
        <v>2902</v>
      </c>
      <c r="AG468" t="s">
        <v>1754</v>
      </c>
      <c r="AH468">
        <v>30</v>
      </c>
      <c r="AI468">
        <v>1</v>
      </c>
      <c r="AJ468">
        <v>0</v>
      </c>
      <c r="AK468">
        <v>312.25</v>
      </c>
      <c r="AN468" t="s">
        <v>2927</v>
      </c>
      <c r="AO468">
        <v>39000</v>
      </c>
      <c r="AU468">
        <v>1.5</v>
      </c>
      <c r="AV468" t="s">
        <v>286</v>
      </c>
      <c r="AW468" t="s">
        <v>3042</v>
      </c>
      <c r="AX468" t="s">
        <v>18685</v>
      </c>
    </row>
    <row r="469" spans="1:50">
      <c r="A469" s="1" t="s">
        <v>73</v>
      </c>
      <c r="B469" t="s">
        <v>163</v>
      </c>
      <c r="C469" t="s">
        <v>3679</v>
      </c>
      <c r="D469" t="s">
        <v>217</v>
      </c>
      <c r="F469" t="s">
        <v>7024</v>
      </c>
      <c r="G469" t="s">
        <v>912</v>
      </c>
      <c r="H469" t="s">
        <v>1293</v>
      </c>
      <c r="I469" t="s">
        <v>11056</v>
      </c>
      <c r="J469" t="s">
        <v>1645</v>
      </c>
      <c r="K469">
        <v>11691</v>
      </c>
      <c r="L469" t="s">
        <v>1670</v>
      </c>
      <c r="M469" t="s">
        <v>1670</v>
      </c>
      <c r="O469" t="s">
        <v>1938</v>
      </c>
      <c r="P469" t="s">
        <v>1962</v>
      </c>
      <c r="R469" t="s">
        <v>50</v>
      </c>
      <c r="S469" t="s">
        <v>1670</v>
      </c>
      <c r="U469" t="s">
        <v>1972</v>
      </c>
      <c r="W469" t="s">
        <v>217</v>
      </c>
      <c r="X469">
        <v>637</v>
      </c>
      <c r="Y469" t="s">
        <v>2007</v>
      </c>
      <c r="Z469" t="s">
        <v>2014</v>
      </c>
      <c r="AB469" t="s">
        <v>13409</v>
      </c>
      <c r="AD469" t="s">
        <v>15959</v>
      </c>
      <c r="AE469">
        <v>43</v>
      </c>
      <c r="AH469">
        <v>28</v>
      </c>
      <c r="AI469">
        <v>1</v>
      </c>
      <c r="AJ469">
        <v>0</v>
      </c>
      <c r="AK469">
        <v>312.25</v>
      </c>
      <c r="AN469" t="s">
        <v>2926</v>
      </c>
      <c r="AO469">
        <v>39000</v>
      </c>
      <c r="AU469" t="s">
        <v>13051</v>
      </c>
      <c r="AW469" t="s">
        <v>3073</v>
      </c>
    </row>
    <row r="470" spans="1:50">
      <c r="A470" s="1" t="s">
        <v>73</v>
      </c>
      <c r="B470" t="s">
        <v>163</v>
      </c>
      <c r="C470" t="s">
        <v>3680</v>
      </c>
      <c r="D470" t="s">
        <v>217</v>
      </c>
      <c r="F470" t="s">
        <v>7024</v>
      </c>
      <c r="G470" t="s">
        <v>912</v>
      </c>
      <c r="H470" t="s">
        <v>1293</v>
      </c>
      <c r="I470" t="s">
        <v>11056</v>
      </c>
      <c r="J470" t="s">
        <v>1645</v>
      </c>
      <c r="K470">
        <v>11691</v>
      </c>
      <c r="L470" t="s">
        <v>1670</v>
      </c>
      <c r="M470" t="s">
        <v>1670</v>
      </c>
      <c r="O470" t="s">
        <v>1941</v>
      </c>
      <c r="P470" t="s">
        <v>1962</v>
      </c>
      <c r="R470" t="s">
        <v>50</v>
      </c>
      <c r="S470" t="s">
        <v>1670</v>
      </c>
      <c r="U470" t="s">
        <v>1972</v>
      </c>
      <c r="W470" t="s">
        <v>217</v>
      </c>
      <c r="X470">
        <v>637</v>
      </c>
      <c r="Y470" t="s">
        <v>2007</v>
      </c>
      <c r="Z470" t="s">
        <v>2014</v>
      </c>
      <c r="AB470" t="s">
        <v>13409</v>
      </c>
      <c r="AD470" t="s">
        <v>15959</v>
      </c>
      <c r="AE470">
        <v>43</v>
      </c>
      <c r="AH470">
        <v>28</v>
      </c>
      <c r="AI470">
        <v>1</v>
      </c>
      <c r="AJ470">
        <v>0</v>
      </c>
      <c r="AK470">
        <v>312.25</v>
      </c>
      <c r="AN470" t="s">
        <v>2926</v>
      </c>
      <c r="AO470">
        <v>39000</v>
      </c>
      <c r="AU470" t="s">
        <v>13051</v>
      </c>
      <c r="AW470" t="s">
        <v>3073</v>
      </c>
    </row>
    <row r="471" spans="1:50">
      <c r="A471" s="1" t="s">
        <v>82</v>
      </c>
      <c r="B471" t="s">
        <v>163</v>
      </c>
      <c r="C471" t="s">
        <v>3681</v>
      </c>
      <c r="D471" t="s">
        <v>226</v>
      </c>
      <c r="F471" t="s">
        <v>724</v>
      </c>
      <c r="G471" t="s">
        <v>8108</v>
      </c>
      <c r="H471" t="s">
        <v>1144</v>
      </c>
      <c r="I471" t="s">
        <v>11057</v>
      </c>
      <c r="J471" t="s">
        <v>1644</v>
      </c>
      <c r="K471">
        <v>11233</v>
      </c>
      <c r="L471" t="s">
        <v>1670</v>
      </c>
      <c r="M471" t="s">
        <v>1671</v>
      </c>
      <c r="O471" t="s">
        <v>1937</v>
      </c>
      <c r="P471" t="s">
        <v>1962</v>
      </c>
      <c r="R471" t="s">
        <v>50</v>
      </c>
      <c r="S471" t="s">
        <v>1670</v>
      </c>
      <c r="U471" t="s">
        <v>1972</v>
      </c>
      <c r="V471" t="s">
        <v>1984</v>
      </c>
      <c r="W471" t="s">
        <v>221</v>
      </c>
      <c r="X471">
        <v>628.51</v>
      </c>
      <c r="Y471" t="s">
        <v>2009</v>
      </c>
      <c r="Z471" t="s">
        <v>2017</v>
      </c>
      <c r="AB471" t="s">
        <v>13410</v>
      </c>
      <c r="AE471">
        <v>359</v>
      </c>
      <c r="AF471" t="s">
        <v>2902</v>
      </c>
      <c r="AH471">
        <v>3</v>
      </c>
      <c r="AI471">
        <v>1</v>
      </c>
      <c r="AJ471">
        <v>0</v>
      </c>
      <c r="AK471">
        <v>312.25</v>
      </c>
      <c r="AN471" t="s">
        <v>2926</v>
      </c>
      <c r="AO471">
        <v>39000</v>
      </c>
      <c r="AP471" t="s">
        <v>18138</v>
      </c>
      <c r="AU471" t="s">
        <v>13051</v>
      </c>
      <c r="AW471" t="s">
        <v>3059</v>
      </c>
    </row>
    <row r="472" spans="1:50">
      <c r="A472" s="1" t="s">
        <v>82</v>
      </c>
      <c r="B472" t="s">
        <v>163</v>
      </c>
      <c r="C472" t="s">
        <v>3682</v>
      </c>
      <c r="D472" t="s">
        <v>220</v>
      </c>
      <c r="F472" t="s">
        <v>7025</v>
      </c>
      <c r="G472" t="s">
        <v>8109</v>
      </c>
      <c r="H472" t="s">
        <v>1144</v>
      </c>
      <c r="I472" t="s">
        <v>1482</v>
      </c>
      <c r="J472" t="s">
        <v>1644</v>
      </c>
      <c r="K472">
        <v>11233</v>
      </c>
      <c r="L472" t="s">
        <v>1670</v>
      </c>
      <c r="M472" t="s">
        <v>1671</v>
      </c>
      <c r="O472" t="s">
        <v>1938</v>
      </c>
      <c r="P472" t="s">
        <v>1961</v>
      </c>
      <c r="R472" t="s">
        <v>50</v>
      </c>
      <c r="S472" t="s">
        <v>1670</v>
      </c>
      <c r="U472" t="s">
        <v>1972</v>
      </c>
      <c r="V472" t="s">
        <v>1984</v>
      </c>
      <c r="W472" t="s">
        <v>248</v>
      </c>
      <c r="X472">
        <v>1872.98</v>
      </c>
      <c r="Y472" t="s">
        <v>2009</v>
      </c>
      <c r="Z472" t="s">
        <v>2017</v>
      </c>
      <c r="AE472">
        <v>359</v>
      </c>
      <c r="AF472" t="s">
        <v>2902</v>
      </c>
      <c r="AH472">
        <v>2</v>
      </c>
      <c r="AI472">
        <v>1</v>
      </c>
      <c r="AJ472">
        <v>0</v>
      </c>
      <c r="AK472">
        <v>312.25</v>
      </c>
      <c r="AN472" t="s">
        <v>2926</v>
      </c>
      <c r="AO472">
        <v>39000</v>
      </c>
      <c r="AP472" t="s">
        <v>18139</v>
      </c>
      <c r="AU472" t="s">
        <v>13051</v>
      </c>
      <c r="AW472" t="s">
        <v>3059</v>
      </c>
    </row>
    <row r="473" spans="1:50">
      <c r="A473" s="1" t="s">
        <v>82</v>
      </c>
      <c r="B473" t="s">
        <v>163</v>
      </c>
      <c r="C473" t="s">
        <v>3683</v>
      </c>
      <c r="D473" t="s">
        <v>226</v>
      </c>
      <c r="F473" t="s">
        <v>724</v>
      </c>
      <c r="G473" t="s">
        <v>8108</v>
      </c>
      <c r="H473" t="s">
        <v>1144</v>
      </c>
      <c r="I473" t="s">
        <v>11057</v>
      </c>
      <c r="J473" t="s">
        <v>1644</v>
      </c>
      <c r="K473">
        <v>11233</v>
      </c>
      <c r="L473" t="s">
        <v>1670</v>
      </c>
      <c r="M473" t="s">
        <v>1671</v>
      </c>
      <c r="O473" t="s">
        <v>1938</v>
      </c>
      <c r="P473" t="s">
        <v>1961</v>
      </c>
      <c r="R473" t="s">
        <v>50</v>
      </c>
      <c r="S473" t="s">
        <v>1670</v>
      </c>
      <c r="U473" t="s">
        <v>1972</v>
      </c>
      <c r="V473" t="s">
        <v>1984</v>
      </c>
      <c r="W473" t="s">
        <v>248</v>
      </c>
      <c r="X473">
        <v>628.51</v>
      </c>
      <c r="Y473" t="s">
        <v>2009</v>
      </c>
      <c r="Z473" t="s">
        <v>2017</v>
      </c>
      <c r="AB473" t="s">
        <v>13410</v>
      </c>
      <c r="AE473">
        <v>359</v>
      </c>
      <c r="AF473" t="s">
        <v>2902</v>
      </c>
      <c r="AH473">
        <v>3</v>
      </c>
      <c r="AI473">
        <v>1</v>
      </c>
      <c r="AJ473">
        <v>0</v>
      </c>
      <c r="AK473">
        <v>312.25</v>
      </c>
      <c r="AN473" t="s">
        <v>2926</v>
      </c>
      <c r="AO473">
        <v>39000</v>
      </c>
      <c r="AP473" t="s">
        <v>18071</v>
      </c>
      <c r="AU473" t="s">
        <v>13051</v>
      </c>
      <c r="AW473" t="s">
        <v>3059</v>
      </c>
    </row>
    <row r="474" spans="1:50">
      <c r="A474" s="1" t="s">
        <v>3171</v>
      </c>
      <c r="B474" t="s">
        <v>164</v>
      </c>
      <c r="C474" t="s">
        <v>3684</v>
      </c>
      <c r="D474" t="s">
        <v>335</v>
      </c>
      <c r="E474" t="s">
        <v>336</v>
      </c>
      <c r="F474" t="s">
        <v>689</v>
      </c>
      <c r="G474" t="s">
        <v>8110</v>
      </c>
      <c r="H474" t="s">
        <v>9598</v>
      </c>
      <c r="I474">
        <v>47</v>
      </c>
      <c r="J474" t="s">
        <v>1643</v>
      </c>
      <c r="K474">
        <v>10027</v>
      </c>
      <c r="L474" t="s">
        <v>1670</v>
      </c>
      <c r="M474" t="s">
        <v>1670</v>
      </c>
      <c r="N474" t="s">
        <v>11963</v>
      </c>
      <c r="O474" t="s">
        <v>1936</v>
      </c>
      <c r="P474" t="s">
        <v>1958</v>
      </c>
      <c r="Q474" t="s">
        <v>1965</v>
      </c>
      <c r="R474" t="s">
        <v>50</v>
      </c>
      <c r="S474" t="s">
        <v>1671</v>
      </c>
      <c r="U474" t="s">
        <v>1972</v>
      </c>
      <c r="V474" t="s">
        <v>1984</v>
      </c>
      <c r="W474" t="s">
        <v>394</v>
      </c>
      <c r="X474">
        <v>700</v>
      </c>
      <c r="Y474" t="s">
        <v>2008</v>
      </c>
      <c r="Z474" t="s">
        <v>2014</v>
      </c>
      <c r="AA474" t="s">
        <v>2029</v>
      </c>
      <c r="AB474" t="s">
        <v>2201</v>
      </c>
      <c r="AD474" t="s">
        <v>15960</v>
      </c>
      <c r="AE474" t="s">
        <v>13051</v>
      </c>
      <c r="AF474" t="s">
        <v>2904</v>
      </c>
      <c r="AG474" t="s">
        <v>1754</v>
      </c>
      <c r="AH474">
        <v>3</v>
      </c>
      <c r="AI474">
        <v>1</v>
      </c>
      <c r="AJ474">
        <v>0</v>
      </c>
      <c r="AK474">
        <v>313.01</v>
      </c>
      <c r="AN474" t="s">
        <v>2926</v>
      </c>
      <c r="AO474">
        <v>38000</v>
      </c>
      <c r="AU474">
        <v>1.5</v>
      </c>
      <c r="AV474" t="s">
        <v>377</v>
      </c>
      <c r="AW474" t="s">
        <v>3048</v>
      </c>
    </row>
    <row r="475" spans="1:50">
      <c r="A475" s="1" t="s">
        <v>101</v>
      </c>
      <c r="B475" t="s">
        <v>163</v>
      </c>
      <c r="C475" t="s">
        <v>3685</v>
      </c>
      <c r="D475" t="s">
        <v>213</v>
      </c>
      <c r="F475" t="s">
        <v>7026</v>
      </c>
      <c r="G475" t="s">
        <v>8111</v>
      </c>
      <c r="H475" t="s">
        <v>9599</v>
      </c>
      <c r="I475" t="s">
        <v>1488</v>
      </c>
      <c r="J475" t="s">
        <v>1643</v>
      </c>
      <c r="K475">
        <v>10035</v>
      </c>
      <c r="L475" t="s">
        <v>1670</v>
      </c>
      <c r="M475" t="s">
        <v>1670</v>
      </c>
      <c r="O475" t="s">
        <v>1675</v>
      </c>
      <c r="P475" t="s">
        <v>1962</v>
      </c>
      <c r="R475" t="s">
        <v>50</v>
      </c>
      <c r="S475" t="s">
        <v>1670</v>
      </c>
      <c r="U475" t="s">
        <v>1972</v>
      </c>
      <c r="V475" t="s">
        <v>1984</v>
      </c>
      <c r="W475" t="s">
        <v>186</v>
      </c>
      <c r="X475">
        <v>1065</v>
      </c>
      <c r="Y475" t="s">
        <v>2008</v>
      </c>
      <c r="Z475" t="s">
        <v>2019</v>
      </c>
      <c r="AB475" t="s">
        <v>13411</v>
      </c>
      <c r="AE475">
        <v>60</v>
      </c>
      <c r="AF475" t="s">
        <v>2902</v>
      </c>
      <c r="AG475" t="s">
        <v>1754</v>
      </c>
      <c r="AH475">
        <v>14</v>
      </c>
      <c r="AI475">
        <v>2</v>
      </c>
      <c r="AJ475">
        <v>0</v>
      </c>
      <c r="AK475">
        <v>313.42</v>
      </c>
      <c r="AN475" t="s">
        <v>2926</v>
      </c>
      <c r="AO475">
        <v>53000</v>
      </c>
      <c r="AP475" t="s">
        <v>18085</v>
      </c>
      <c r="AU475" t="s">
        <v>13051</v>
      </c>
      <c r="AW475" t="s">
        <v>3051</v>
      </c>
      <c r="AX475" t="s">
        <v>18685</v>
      </c>
    </row>
    <row r="476" spans="1:50">
      <c r="A476" s="1" t="s">
        <v>91</v>
      </c>
      <c r="B476" t="s">
        <v>164</v>
      </c>
      <c r="C476" t="s">
        <v>3686</v>
      </c>
      <c r="D476" t="s">
        <v>318</v>
      </c>
      <c r="E476" t="s">
        <v>369</v>
      </c>
      <c r="F476" t="s">
        <v>651</v>
      </c>
      <c r="G476" t="s">
        <v>8112</v>
      </c>
      <c r="H476" t="s">
        <v>9600</v>
      </c>
      <c r="I476" t="s">
        <v>1489</v>
      </c>
      <c r="J476" t="s">
        <v>1641</v>
      </c>
      <c r="K476">
        <v>10463</v>
      </c>
      <c r="L476" t="s">
        <v>1670</v>
      </c>
      <c r="M476" t="s">
        <v>1670</v>
      </c>
      <c r="N476" t="s">
        <v>11964</v>
      </c>
      <c r="O476" t="s">
        <v>1936</v>
      </c>
      <c r="P476" t="s">
        <v>1960</v>
      </c>
      <c r="Q476" t="s">
        <v>1965</v>
      </c>
      <c r="R476" t="s">
        <v>50</v>
      </c>
      <c r="S476" t="s">
        <v>1671</v>
      </c>
      <c r="U476" t="s">
        <v>1972</v>
      </c>
      <c r="W476" t="s">
        <v>318</v>
      </c>
      <c r="X476">
        <v>1273</v>
      </c>
      <c r="Y476" t="s">
        <v>2008</v>
      </c>
      <c r="Z476" t="s">
        <v>2013</v>
      </c>
      <c r="AA476" t="s">
        <v>2029</v>
      </c>
      <c r="AB476" t="s">
        <v>13412</v>
      </c>
      <c r="AD476" t="s">
        <v>15961</v>
      </c>
      <c r="AE476">
        <v>318</v>
      </c>
      <c r="AF476" t="s">
        <v>2902</v>
      </c>
      <c r="AG476" t="s">
        <v>1754</v>
      </c>
      <c r="AH476">
        <v>43</v>
      </c>
      <c r="AI476">
        <v>1</v>
      </c>
      <c r="AJ476">
        <v>0</v>
      </c>
      <c r="AK476">
        <v>313.54</v>
      </c>
      <c r="AL476" t="s">
        <v>390</v>
      </c>
      <c r="AM476" t="s">
        <v>18031</v>
      </c>
      <c r="AN476" t="s">
        <v>2926</v>
      </c>
      <c r="AO476">
        <v>38064</v>
      </c>
      <c r="AU476">
        <v>13.1</v>
      </c>
      <c r="AV476" t="s">
        <v>3031</v>
      </c>
      <c r="AW476" t="s">
        <v>3042</v>
      </c>
      <c r="AX476" t="s">
        <v>18685</v>
      </c>
    </row>
    <row r="477" spans="1:50">
      <c r="A477" s="1" t="s">
        <v>90</v>
      </c>
      <c r="B477" t="s">
        <v>163</v>
      </c>
      <c r="C477" t="s">
        <v>3687</v>
      </c>
      <c r="D477" t="s">
        <v>261</v>
      </c>
      <c r="F477" t="s">
        <v>7027</v>
      </c>
      <c r="G477" t="s">
        <v>8113</v>
      </c>
      <c r="H477" t="s">
        <v>1198</v>
      </c>
      <c r="I477" t="s">
        <v>1636</v>
      </c>
      <c r="J477" t="s">
        <v>1646</v>
      </c>
      <c r="K477">
        <v>10301</v>
      </c>
      <c r="L477" t="s">
        <v>1670</v>
      </c>
      <c r="M477" t="s">
        <v>1670</v>
      </c>
      <c r="N477" t="s">
        <v>11965</v>
      </c>
      <c r="O477" t="s">
        <v>1936</v>
      </c>
      <c r="P477" t="s">
        <v>1960</v>
      </c>
      <c r="R477" t="s">
        <v>50</v>
      </c>
      <c r="S477" t="s">
        <v>1671</v>
      </c>
      <c r="U477" t="s">
        <v>1972</v>
      </c>
      <c r="V477" t="s">
        <v>1984</v>
      </c>
      <c r="W477" t="s">
        <v>261</v>
      </c>
      <c r="X477">
        <v>1215</v>
      </c>
      <c r="Y477" t="s">
        <v>2010</v>
      </c>
      <c r="Z477" t="s">
        <v>2020</v>
      </c>
      <c r="AB477" t="s">
        <v>13413</v>
      </c>
      <c r="AD477" t="s">
        <v>15962</v>
      </c>
      <c r="AE477">
        <v>122</v>
      </c>
      <c r="AF477" t="s">
        <v>2902</v>
      </c>
      <c r="AG477" t="s">
        <v>1754</v>
      </c>
      <c r="AH477">
        <v>5</v>
      </c>
      <c r="AI477">
        <v>1</v>
      </c>
      <c r="AJ477">
        <v>0</v>
      </c>
      <c r="AK477">
        <v>313.79</v>
      </c>
      <c r="AL477" t="s">
        <v>190</v>
      </c>
      <c r="AM477" t="s">
        <v>18031</v>
      </c>
      <c r="AN477" t="s">
        <v>2926</v>
      </c>
      <c r="AO477">
        <v>38094</v>
      </c>
      <c r="AU477">
        <v>26</v>
      </c>
      <c r="AV477" t="s">
        <v>397</v>
      </c>
      <c r="AW477" t="s">
        <v>3072</v>
      </c>
    </row>
    <row r="478" spans="1:50">
      <c r="A478" s="1" t="s">
        <v>135</v>
      </c>
      <c r="B478" t="s">
        <v>163</v>
      </c>
      <c r="C478" t="s">
        <v>3688</v>
      </c>
      <c r="D478" t="s">
        <v>200</v>
      </c>
      <c r="F478" t="s">
        <v>7028</v>
      </c>
      <c r="G478" t="s">
        <v>8114</v>
      </c>
      <c r="H478" t="s">
        <v>9425</v>
      </c>
      <c r="I478" t="s">
        <v>1498</v>
      </c>
      <c r="J478" t="s">
        <v>1644</v>
      </c>
      <c r="K478">
        <v>11216</v>
      </c>
      <c r="L478" t="s">
        <v>1670</v>
      </c>
      <c r="M478" t="s">
        <v>1670</v>
      </c>
      <c r="N478" t="s">
        <v>1675</v>
      </c>
      <c r="O478" t="s">
        <v>1937</v>
      </c>
      <c r="P478" t="s">
        <v>1962</v>
      </c>
      <c r="R478" t="s">
        <v>50</v>
      </c>
      <c r="S478" t="s">
        <v>1670</v>
      </c>
      <c r="U478" t="s">
        <v>1972</v>
      </c>
      <c r="W478" t="s">
        <v>6137</v>
      </c>
      <c r="X478">
        <v>2200</v>
      </c>
      <c r="Y478" t="s">
        <v>2009</v>
      </c>
      <c r="Z478" t="s">
        <v>2016</v>
      </c>
      <c r="AB478" t="s">
        <v>13414</v>
      </c>
      <c r="AD478" t="s">
        <v>15963</v>
      </c>
      <c r="AE478">
        <v>82</v>
      </c>
      <c r="AF478" t="s">
        <v>2902</v>
      </c>
      <c r="AG478" t="s">
        <v>1754</v>
      </c>
      <c r="AH478">
        <v>5</v>
      </c>
      <c r="AI478">
        <v>2</v>
      </c>
      <c r="AJ478">
        <v>5</v>
      </c>
      <c r="AK478">
        <v>315.29</v>
      </c>
      <c r="AL478" t="s">
        <v>218</v>
      </c>
      <c r="AM478" t="s">
        <v>18031</v>
      </c>
      <c r="AN478" t="s">
        <v>2926</v>
      </c>
      <c r="AO478">
        <v>120000</v>
      </c>
      <c r="AP478" t="s">
        <v>18069</v>
      </c>
      <c r="AU478" t="s">
        <v>13051</v>
      </c>
      <c r="AW478" t="s">
        <v>3060</v>
      </c>
    </row>
    <row r="479" spans="1:50">
      <c r="A479" s="1" t="s">
        <v>135</v>
      </c>
      <c r="B479" t="s">
        <v>163</v>
      </c>
      <c r="C479" t="s">
        <v>3689</v>
      </c>
      <c r="D479" t="s">
        <v>200</v>
      </c>
      <c r="F479" t="s">
        <v>7028</v>
      </c>
      <c r="G479" t="s">
        <v>8114</v>
      </c>
      <c r="H479" t="s">
        <v>9425</v>
      </c>
      <c r="I479" t="s">
        <v>1498</v>
      </c>
      <c r="J479" t="s">
        <v>1644</v>
      </c>
      <c r="K479">
        <v>11216</v>
      </c>
      <c r="L479" t="s">
        <v>1670</v>
      </c>
      <c r="M479" t="s">
        <v>1670</v>
      </c>
      <c r="N479" t="s">
        <v>11966</v>
      </c>
      <c r="O479" t="s">
        <v>1952</v>
      </c>
      <c r="P479" t="s">
        <v>1960</v>
      </c>
      <c r="R479" t="s">
        <v>50</v>
      </c>
      <c r="S479" t="s">
        <v>1670</v>
      </c>
      <c r="U479" t="s">
        <v>1972</v>
      </c>
      <c r="V479" t="s">
        <v>1984</v>
      </c>
      <c r="W479" t="s">
        <v>6137</v>
      </c>
      <c r="X479">
        <v>2200</v>
      </c>
      <c r="Y479" t="s">
        <v>2009</v>
      </c>
      <c r="Z479" t="s">
        <v>2016</v>
      </c>
      <c r="AB479" t="s">
        <v>13414</v>
      </c>
      <c r="AD479" t="s">
        <v>15963</v>
      </c>
      <c r="AE479">
        <v>82</v>
      </c>
      <c r="AF479" t="s">
        <v>2902</v>
      </c>
      <c r="AG479" t="s">
        <v>1754</v>
      </c>
      <c r="AH479">
        <v>5</v>
      </c>
      <c r="AI479">
        <v>2</v>
      </c>
      <c r="AJ479">
        <v>5</v>
      </c>
      <c r="AK479">
        <v>315.29</v>
      </c>
      <c r="AL479" t="s">
        <v>218</v>
      </c>
      <c r="AM479" t="s">
        <v>18031</v>
      </c>
      <c r="AN479" t="s">
        <v>2926</v>
      </c>
      <c r="AO479">
        <v>120000</v>
      </c>
      <c r="AP479" t="s">
        <v>18069</v>
      </c>
      <c r="AU479" t="s">
        <v>13051</v>
      </c>
      <c r="AW479" t="s">
        <v>3060</v>
      </c>
    </row>
    <row r="480" spans="1:50">
      <c r="A480" s="1" t="s">
        <v>90</v>
      </c>
      <c r="B480" t="s">
        <v>163</v>
      </c>
      <c r="C480" t="s">
        <v>3690</v>
      </c>
      <c r="D480" t="s">
        <v>406</v>
      </c>
      <c r="F480" t="s">
        <v>7029</v>
      </c>
      <c r="G480" t="s">
        <v>8115</v>
      </c>
      <c r="H480" t="s">
        <v>9601</v>
      </c>
      <c r="I480" t="s">
        <v>1548</v>
      </c>
      <c r="J480" t="s">
        <v>1646</v>
      </c>
      <c r="K480">
        <v>10304</v>
      </c>
      <c r="L480" t="s">
        <v>1672</v>
      </c>
      <c r="M480" t="s">
        <v>1672</v>
      </c>
      <c r="N480" t="s">
        <v>11967</v>
      </c>
      <c r="O480" t="s">
        <v>1936</v>
      </c>
      <c r="P480" t="s">
        <v>1960</v>
      </c>
      <c r="R480" t="s">
        <v>50</v>
      </c>
      <c r="S480" t="s">
        <v>1671</v>
      </c>
      <c r="T480" t="s">
        <v>50</v>
      </c>
      <c r="U480" t="s">
        <v>1972</v>
      </c>
      <c r="V480" t="s">
        <v>1983</v>
      </c>
      <c r="W480" t="s">
        <v>13039</v>
      </c>
      <c r="X480">
        <v>1250</v>
      </c>
      <c r="Y480" t="s">
        <v>2010</v>
      </c>
      <c r="Z480" t="s">
        <v>2013</v>
      </c>
      <c r="AB480" t="s">
        <v>13415</v>
      </c>
      <c r="AD480" t="s">
        <v>15964</v>
      </c>
      <c r="AE480" t="s">
        <v>13051</v>
      </c>
      <c r="AF480" t="s">
        <v>2904</v>
      </c>
      <c r="AG480" t="s">
        <v>2918</v>
      </c>
      <c r="AH480">
        <v>5</v>
      </c>
      <c r="AI480">
        <v>1</v>
      </c>
      <c r="AJ480">
        <v>0</v>
      </c>
      <c r="AK480">
        <v>318.88</v>
      </c>
      <c r="AN480" t="s">
        <v>2926</v>
      </c>
      <c r="AO480">
        <v>39828</v>
      </c>
      <c r="AQ480" t="s">
        <v>2978</v>
      </c>
      <c r="AR480" t="s">
        <v>18454</v>
      </c>
      <c r="AU480">
        <v>27.75</v>
      </c>
      <c r="AV480" t="s">
        <v>3034</v>
      </c>
      <c r="AW480" t="s">
        <v>3072</v>
      </c>
    </row>
    <row r="481" spans="1:50">
      <c r="A481" s="1" t="s">
        <v>135</v>
      </c>
      <c r="B481" t="s">
        <v>163</v>
      </c>
      <c r="C481" t="s">
        <v>3691</v>
      </c>
      <c r="D481" t="s">
        <v>392</v>
      </c>
      <c r="F481" t="s">
        <v>1055</v>
      </c>
      <c r="G481" t="s">
        <v>8116</v>
      </c>
      <c r="H481" t="s">
        <v>9602</v>
      </c>
      <c r="I481" t="s">
        <v>1523</v>
      </c>
      <c r="J481" t="s">
        <v>1644</v>
      </c>
      <c r="K481">
        <v>11233</v>
      </c>
      <c r="L481" t="s">
        <v>1670</v>
      </c>
      <c r="M481" t="s">
        <v>1672</v>
      </c>
      <c r="N481" t="s">
        <v>1693</v>
      </c>
      <c r="O481" t="s">
        <v>1675</v>
      </c>
      <c r="P481" t="s">
        <v>1958</v>
      </c>
      <c r="R481" t="s">
        <v>50</v>
      </c>
      <c r="S481" t="s">
        <v>1671</v>
      </c>
      <c r="U481" t="s">
        <v>1972</v>
      </c>
      <c r="V481" t="s">
        <v>1984</v>
      </c>
      <c r="W481" t="s">
        <v>179</v>
      </c>
      <c r="X481">
        <v>1581</v>
      </c>
      <c r="Y481" t="s">
        <v>2009</v>
      </c>
      <c r="Z481" t="s">
        <v>2016</v>
      </c>
      <c r="AB481" t="s">
        <v>13416</v>
      </c>
      <c r="AD481" t="s">
        <v>15965</v>
      </c>
      <c r="AE481">
        <v>8</v>
      </c>
      <c r="AF481" t="s">
        <v>2902</v>
      </c>
      <c r="AG481" t="s">
        <v>1754</v>
      </c>
      <c r="AH481">
        <v>5</v>
      </c>
      <c r="AI481">
        <v>1</v>
      </c>
      <c r="AJ481">
        <v>0</v>
      </c>
      <c r="AK481">
        <v>320.26</v>
      </c>
      <c r="AN481" t="s">
        <v>2926</v>
      </c>
      <c r="AO481">
        <v>40000</v>
      </c>
      <c r="AU481">
        <v>2</v>
      </c>
      <c r="AV481" t="s">
        <v>392</v>
      </c>
      <c r="AW481" t="s">
        <v>135</v>
      </c>
      <c r="AX481" t="s">
        <v>18685</v>
      </c>
    </row>
    <row r="482" spans="1:50">
      <c r="A482" s="1" t="s">
        <v>123</v>
      </c>
      <c r="B482" t="s">
        <v>163</v>
      </c>
      <c r="C482" t="s">
        <v>3692</v>
      </c>
      <c r="D482" t="s">
        <v>406</v>
      </c>
      <c r="F482" t="s">
        <v>7030</v>
      </c>
      <c r="G482" t="s">
        <v>1000</v>
      </c>
      <c r="H482" t="s">
        <v>9603</v>
      </c>
      <c r="I482" t="s">
        <v>1543</v>
      </c>
      <c r="J482" t="s">
        <v>1641</v>
      </c>
      <c r="K482">
        <v>10455</v>
      </c>
      <c r="L482" t="s">
        <v>1670</v>
      </c>
      <c r="M482" t="s">
        <v>1672</v>
      </c>
      <c r="N482" t="s">
        <v>11968</v>
      </c>
      <c r="O482" t="s">
        <v>1936</v>
      </c>
      <c r="P482" t="s">
        <v>1958</v>
      </c>
      <c r="R482" t="s">
        <v>50</v>
      </c>
      <c r="S482" t="s">
        <v>1671</v>
      </c>
      <c r="U482" t="s">
        <v>1972</v>
      </c>
      <c r="W482" t="s">
        <v>268</v>
      </c>
      <c r="X482" t="s">
        <v>13051</v>
      </c>
      <c r="Y482" t="s">
        <v>2006</v>
      </c>
      <c r="AB482" t="s">
        <v>13417</v>
      </c>
      <c r="AD482" t="s">
        <v>15966</v>
      </c>
      <c r="AE482" t="s">
        <v>13051</v>
      </c>
      <c r="AH482" t="s">
        <v>13051</v>
      </c>
      <c r="AI482">
        <v>1</v>
      </c>
      <c r="AJ482">
        <v>0</v>
      </c>
      <c r="AK482">
        <v>320.26</v>
      </c>
      <c r="AN482" t="s">
        <v>2926</v>
      </c>
      <c r="AO482">
        <v>40000</v>
      </c>
      <c r="AU482">
        <v>0.3</v>
      </c>
      <c r="AV482" t="s">
        <v>255</v>
      </c>
      <c r="AW482" t="s">
        <v>123</v>
      </c>
      <c r="AX482" t="s">
        <v>18685</v>
      </c>
    </row>
    <row r="483" spans="1:50">
      <c r="A483" s="1" t="s">
        <v>82</v>
      </c>
      <c r="B483" t="s">
        <v>163</v>
      </c>
      <c r="C483" t="s">
        <v>3693</v>
      </c>
      <c r="D483" t="s">
        <v>294</v>
      </c>
      <c r="F483" t="s">
        <v>7031</v>
      </c>
      <c r="G483" t="s">
        <v>8117</v>
      </c>
      <c r="H483" t="s">
        <v>9420</v>
      </c>
      <c r="I483" t="s">
        <v>11032</v>
      </c>
      <c r="J483" t="s">
        <v>1644</v>
      </c>
      <c r="K483">
        <v>11233</v>
      </c>
      <c r="L483" t="s">
        <v>1670</v>
      </c>
      <c r="M483" t="s">
        <v>1670</v>
      </c>
      <c r="O483" t="s">
        <v>1937</v>
      </c>
      <c r="P483" t="s">
        <v>1962</v>
      </c>
      <c r="R483" t="s">
        <v>50</v>
      </c>
      <c r="S483" t="s">
        <v>1670</v>
      </c>
      <c r="U483" t="s">
        <v>1972</v>
      </c>
      <c r="V483" t="s">
        <v>1984</v>
      </c>
      <c r="W483" t="s">
        <v>221</v>
      </c>
      <c r="X483">
        <v>628</v>
      </c>
      <c r="Y483" t="s">
        <v>2009</v>
      </c>
      <c r="Z483" t="s">
        <v>2016</v>
      </c>
      <c r="AB483" t="s">
        <v>13418</v>
      </c>
      <c r="AD483" t="s">
        <v>15967</v>
      </c>
      <c r="AE483">
        <v>764</v>
      </c>
      <c r="AF483" t="s">
        <v>2902</v>
      </c>
      <c r="AG483" t="s">
        <v>1754</v>
      </c>
      <c r="AH483">
        <v>18</v>
      </c>
      <c r="AI483">
        <v>1</v>
      </c>
      <c r="AJ483">
        <v>0</v>
      </c>
      <c r="AK483">
        <v>320.26</v>
      </c>
      <c r="AL483" t="s">
        <v>365</v>
      </c>
      <c r="AM483" t="s">
        <v>18031</v>
      </c>
      <c r="AN483" t="s">
        <v>2926</v>
      </c>
      <c r="AO483">
        <v>40000</v>
      </c>
      <c r="AP483" t="s">
        <v>18140</v>
      </c>
      <c r="AU483" t="s">
        <v>13051</v>
      </c>
      <c r="AW483" t="s">
        <v>3059</v>
      </c>
    </row>
    <row r="484" spans="1:50">
      <c r="A484" s="1" t="s">
        <v>82</v>
      </c>
      <c r="B484" t="s">
        <v>163</v>
      </c>
      <c r="C484" t="s">
        <v>3694</v>
      </c>
      <c r="D484" t="s">
        <v>294</v>
      </c>
      <c r="F484" t="s">
        <v>460</v>
      </c>
      <c r="G484" t="s">
        <v>8118</v>
      </c>
      <c r="H484" t="s">
        <v>1144</v>
      </c>
      <c r="I484" t="s">
        <v>11058</v>
      </c>
      <c r="J484" t="s">
        <v>1644</v>
      </c>
      <c r="K484">
        <v>11233</v>
      </c>
      <c r="L484" t="s">
        <v>1670</v>
      </c>
      <c r="M484" t="s">
        <v>1671</v>
      </c>
      <c r="N484" t="s">
        <v>1691</v>
      </c>
      <c r="O484" t="s">
        <v>1937</v>
      </c>
      <c r="P484" t="s">
        <v>1962</v>
      </c>
      <c r="R484" t="s">
        <v>50</v>
      </c>
      <c r="S484" t="s">
        <v>1670</v>
      </c>
      <c r="U484" t="s">
        <v>1972</v>
      </c>
      <c r="V484" t="s">
        <v>1984</v>
      </c>
      <c r="W484" t="s">
        <v>221</v>
      </c>
      <c r="X484">
        <v>1000</v>
      </c>
      <c r="Y484" t="s">
        <v>2009</v>
      </c>
      <c r="AB484" t="s">
        <v>13419</v>
      </c>
      <c r="AE484">
        <v>359</v>
      </c>
      <c r="AF484" t="s">
        <v>2902</v>
      </c>
      <c r="AH484">
        <v>50</v>
      </c>
      <c r="AI484">
        <v>1</v>
      </c>
      <c r="AJ484">
        <v>0</v>
      </c>
      <c r="AK484">
        <v>320.26</v>
      </c>
      <c r="AN484" t="s">
        <v>2926</v>
      </c>
      <c r="AO484">
        <v>40000</v>
      </c>
      <c r="AP484" t="s">
        <v>18141</v>
      </c>
      <c r="AU484" t="s">
        <v>13051</v>
      </c>
      <c r="AW484" t="s">
        <v>3060</v>
      </c>
    </row>
    <row r="485" spans="1:50">
      <c r="A485" s="1" t="s">
        <v>82</v>
      </c>
      <c r="B485" t="s">
        <v>163</v>
      </c>
      <c r="C485" t="s">
        <v>3695</v>
      </c>
      <c r="D485" t="s">
        <v>256</v>
      </c>
      <c r="F485" t="s">
        <v>683</v>
      </c>
      <c r="G485" t="s">
        <v>912</v>
      </c>
      <c r="H485" t="s">
        <v>9482</v>
      </c>
      <c r="I485" t="s">
        <v>11059</v>
      </c>
      <c r="J485" t="s">
        <v>1644</v>
      </c>
      <c r="K485">
        <v>11233</v>
      </c>
      <c r="L485" t="s">
        <v>1670</v>
      </c>
      <c r="M485" t="s">
        <v>1671</v>
      </c>
      <c r="O485" t="s">
        <v>1937</v>
      </c>
      <c r="P485" t="s">
        <v>1962</v>
      </c>
      <c r="R485" t="s">
        <v>50</v>
      </c>
      <c r="S485" t="s">
        <v>1670</v>
      </c>
      <c r="U485" t="s">
        <v>1972</v>
      </c>
      <c r="V485" t="s">
        <v>1984</v>
      </c>
      <c r="W485" t="s">
        <v>221</v>
      </c>
      <c r="X485">
        <v>812</v>
      </c>
      <c r="Y485" t="s">
        <v>2009</v>
      </c>
      <c r="Z485" t="s">
        <v>2017</v>
      </c>
      <c r="AB485" t="s">
        <v>13420</v>
      </c>
      <c r="AE485">
        <v>359</v>
      </c>
      <c r="AF485" t="s">
        <v>2902</v>
      </c>
      <c r="AH485">
        <v>18</v>
      </c>
      <c r="AI485">
        <v>1</v>
      </c>
      <c r="AJ485">
        <v>0</v>
      </c>
      <c r="AK485">
        <v>320.26</v>
      </c>
      <c r="AN485" t="s">
        <v>2926</v>
      </c>
      <c r="AO485">
        <v>40000</v>
      </c>
      <c r="AP485" t="s">
        <v>18142</v>
      </c>
      <c r="AU485" t="s">
        <v>13051</v>
      </c>
      <c r="AW485" t="s">
        <v>3059</v>
      </c>
    </row>
    <row r="486" spans="1:50">
      <c r="A486" s="1" t="s">
        <v>82</v>
      </c>
      <c r="B486" t="s">
        <v>163</v>
      </c>
      <c r="C486" t="s">
        <v>3696</v>
      </c>
      <c r="D486" t="s">
        <v>203</v>
      </c>
      <c r="F486" t="s">
        <v>7032</v>
      </c>
      <c r="G486" t="s">
        <v>8119</v>
      </c>
      <c r="H486" t="s">
        <v>9420</v>
      </c>
      <c r="I486" t="s">
        <v>1572</v>
      </c>
      <c r="J486" t="s">
        <v>1644</v>
      </c>
      <c r="K486">
        <v>11233</v>
      </c>
      <c r="L486" t="s">
        <v>1670</v>
      </c>
      <c r="M486" t="s">
        <v>1671</v>
      </c>
      <c r="O486" t="s">
        <v>1937</v>
      </c>
      <c r="P486" t="s">
        <v>1962</v>
      </c>
      <c r="R486" t="s">
        <v>50</v>
      </c>
      <c r="S486" t="s">
        <v>1670</v>
      </c>
      <c r="U486" t="s">
        <v>1972</v>
      </c>
      <c r="V486" t="s">
        <v>1984</v>
      </c>
      <c r="W486" t="s">
        <v>221</v>
      </c>
      <c r="X486">
        <v>1162</v>
      </c>
      <c r="Y486" t="s">
        <v>2009</v>
      </c>
      <c r="Z486" t="s">
        <v>2025</v>
      </c>
      <c r="AB486" t="s">
        <v>13421</v>
      </c>
      <c r="AE486">
        <v>359</v>
      </c>
      <c r="AF486" t="s">
        <v>2902</v>
      </c>
      <c r="AH486">
        <v>30</v>
      </c>
      <c r="AI486">
        <v>1</v>
      </c>
      <c r="AJ486">
        <v>0</v>
      </c>
      <c r="AK486">
        <v>320.26</v>
      </c>
      <c r="AN486" t="s">
        <v>2926</v>
      </c>
      <c r="AO486">
        <v>40000</v>
      </c>
      <c r="AP486" t="s">
        <v>18094</v>
      </c>
      <c r="AU486" t="s">
        <v>13051</v>
      </c>
      <c r="AW486" t="s">
        <v>3060</v>
      </c>
    </row>
    <row r="487" spans="1:50">
      <c r="A487" s="1" t="s">
        <v>58</v>
      </c>
      <c r="B487" t="s">
        <v>163</v>
      </c>
      <c r="C487" t="s">
        <v>3697</v>
      </c>
      <c r="D487" t="s">
        <v>265</v>
      </c>
      <c r="F487" t="s">
        <v>7033</v>
      </c>
      <c r="G487" t="s">
        <v>808</v>
      </c>
      <c r="H487" t="s">
        <v>9604</v>
      </c>
      <c r="I487" t="s">
        <v>1590</v>
      </c>
      <c r="J487" t="s">
        <v>1641</v>
      </c>
      <c r="K487">
        <v>10461</v>
      </c>
      <c r="L487" t="s">
        <v>1670</v>
      </c>
      <c r="M487" t="s">
        <v>1670</v>
      </c>
      <c r="O487" t="s">
        <v>1938</v>
      </c>
      <c r="P487" t="s">
        <v>1962</v>
      </c>
      <c r="R487" t="s">
        <v>50</v>
      </c>
      <c r="S487" t="s">
        <v>1671</v>
      </c>
      <c r="U487" t="s">
        <v>1972</v>
      </c>
      <c r="W487" t="s">
        <v>293</v>
      </c>
      <c r="X487">
        <v>1265</v>
      </c>
      <c r="Y487" t="s">
        <v>2006</v>
      </c>
      <c r="Z487" t="s">
        <v>2015</v>
      </c>
      <c r="AB487" t="s">
        <v>13422</v>
      </c>
      <c r="AE487">
        <v>125</v>
      </c>
      <c r="AF487" t="s">
        <v>2903</v>
      </c>
      <c r="AG487" t="s">
        <v>1754</v>
      </c>
      <c r="AH487">
        <v>4</v>
      </c>
      <c r="AI487">
        <v>1</v>
      </c>
      <c r="AJ487">
        <v>0</v>
      </c>
      <c r="AK487">
        <v>320.26</v>
      </c>
      <c r="AN487" t="s">
        <v>2926</v>
      </c>
      <c r="AO487">
        <v>40000</v>
      </c>
      <c r="AP487" t="s">
        <v>18143</v>
      </c>
      <c r="AU487" t="s">
        <v>13051</v>
      </c>
      <c r="AW487" t="s">
        <v>3046</v>
      </c>
    </row>
    <row r="488" spans="1:50">
      <c r="A488" s="1" t="s">
        <v>82</v>
      </c>
      <c r="B488" t="s">
        <v>164</v>
      </c>
      <c r="C488" t="s">
        <v>3698</v>
      </c>
      <c r="D488" t="s">
        <v>324</v>
      </c>
      <c r="E488" t="s">
        <v>190</v>
      </c>
      <c r="F488" t="s">
        <v>460</v>
      </c>
      <c r="G488" t="s">
        <v>8118</v>
      </c>
      <c r="H488" t="s">
        <v>1144</v>
      </c>
      <c r="I488" t="s">
        <v>11058</v>
      </c>
      <c r="J488" t="s">
        <v>1644</v>
      </c>
      <c r="K488">
        <v>11233</v>
      </c>
      <c r="L488" t="s">
        <v>1670</v>
      </c>
      <c r="M488" t="s">
        <v>1670</v>
      </c>
      <c r="O488" t="s">
        <v>1937</v>
      </c>
      <c r="P488" t="s">
        <v>1959</v>
      </c>
      <c r="Q488" t="s">
        <v>1966</v>
      </c>
      <c r="R488" t="s">
        <v>50</v>
      </c>
      <c r="S488" t="s">
        <v>1670</v>
      </c>
      <c r="U488" t="s">
        <v>1972</v>
      </c>
      <c r="V488" t="s">
        <v>1984</v>
      </c>
      <c r="W488" t="s">
        <v>221</v>
      </c>
      <c r="X488" t="s">
        <v>13051</v>
      </c>
      <c r="Y488" t="s">
        <v>2009</v>
      </c>
      <c r="AA488" t="s">
        <v>2042</v>
      </c>
      <c r="AC488" t="s">
        <v>1754</v>
      </c>
      <c r="AE488">
        <v>359</v>
      </c>
      <c r="AF488" t="s">
        <v>2902</v>
      </c>
      <c r="AG488" t="s">
        <v>1754</v>
      </c>
      <c r="AH488" t="s">
        <v>13051</v>
      </c>
      <c r="AI488">
        <v>1</v>
      </c>
      <c r="AJ488">
        <v>0</v>
      </c>
      <c r="AK488">
        <v>320.26</v>
      </c>
      <c r="AN488" t="s">
        <v>2926</v>
      </c>
      <c r="AO488">
        <v>40000</v>
      </c>
      <c r="AU488">
        <v>0.25</v>
      </c>
      <c r="AV488" t="s">
        <v>190</v>
      </c>
      <c r="AW488" t="s">
        <v>3060</v>
      </c>
    </row>
    <row r="489" spans="1:50">
      <c r="A489" s="1" t="s">
        <v>82</v>
      </c>
      <c r="B489" t="s">
        <v>163</v>
      </c>
      <c r="C489" t="s">
        <v>3699</v>
      </c>
      <c r="D489" t="s">
        <v>203</v>
      </c>
      <c r="F489" t="s">
        <v>7032</v>
      </c>
      <c r="G489" t="s">
        <v>8119</v>
      </c>
      <c r="H489" t="s">
        <v>9420</v>
      </c>
      <c r="I489" t="s">
        <v>1572</v>
      </c>
      <c r="J489" t="s">
        <v>1644</v>
      </c>
      <c r="K489">
        <v>11233</v>
      </c>
      <c r="L489" t="s">
        <v>1670</v>
      </c>
      <c r="M489" t="s">
        <v>1671</v>
      </c>
      <c r="O489" t="s">
        <v>1938</v>
      </c>
      <c r="P489" t="s">
        <v>1959</v>
      </c>
      <c r="R489" t="s">
        <v>50</v>
      </c>
      <c r="S489" t="s">
        <v>1670</v>
      </c>
      <c r="U489" t="s">
        <v>1972</v>
      </c>
      <c r="V489" t="s">
        <v>1984</v>
      </c>
      <c r="W489" t="s">
        <v>248</v>
      </c>
      <c r="X489">
        <v>1162</v>
      </c>
      <c r="Y489" t="s">
        <v>2009</v>
      </c>
      <c r="Z489" t="s">
        <v>2025</v>
      </c>
      <c r="AB489" t="s">
        <v>13421</v>
      </c>
      <c r="AE489">
        <v>359</v>
      </c>
      <c r="AF489" t="s">
        <v>2902</v>
      </c>
      <c r="AH489">
        <v>30</v>
      </c>
      <c r="AI489">
        <v>1</v>
      </c>
      <c r="AJ489">
        <v>0</v>
      </c>
      <c r="AK489">
        <v>320.26</v>
      </c>
      <c r="AN489" t="s">
        <v>2926</v>
      </c>
      <c r="AO489">
        <v>40000</v>
      </c>
      <c r="AP489" t="s">
        <v>18144</v>
      </c>
      <c r="AU489" t="s">
        <v>13051</v>
      </c>
      <c r="AW489" t="s">
        <v>3060</v>
      </c>
    </row>
    <row r="490" spans="1:50">
      <c r="A490" s="1" t="s">
        <v>82</v>
      </c>
      <c r="B490" t="s">
        <v>163</v>
      </c>
      <c r="C490" t="s">
        <v>3700</v>
      </c>
      <c r="D490" t="s">
        <v>256</v>
      </c>
      <c r="F490" t="s">
        <v>683</v>
      </c>
      <c r="G490" t="s">
        <v>912</v>
      </c>
      <c r="H490" t="s">
        <v>9482</v>
      </c>
      <c r="I490" t="s">
        <v>11059</v>
      </c>
      <c r="J490" t="s">
        <v>1644</v>
      </c>
      <c r="K490">
        <v>11233</v>
      </c>
      <c r="L490" t="s">
        <v>1670</v>
      </c>
      <c r="M490" t="s">
        <v>1671</v>
      </c>
      <c r="O490" t="s">
        <v>1938</v>
      </c>
      <c r="P490" t="s">
        <v>1961</v>
      </c>
      <c r="R490" t="s">
        <v>50</v>
      </c>
      <c r="S490" t="s">
        <v>1670</v>
      </c>
      <c r="U490" t="s">
        <v>1972</v>
      </c>
      <c r="V490" t="s">
        <v>1984</v>
      </c>
      <c r="W490" t="s">
        <v>248</v>
      </c>
      <c r="X490">
        <v>812</v>
      </c>
      <c r="Y490" t="s">
        <v>2009</v>
      </c>
      <c r="Z490" t="s">
        <v>2017</v>
      </c>
      <c r="AB490" t="s">
        <v>13420</v>
      </c>
      <c r="AE490">
        <v>359</v>
      </c>
      <c r="AF490" t="s">
        <v>2902</v>
      </c>
      <c r="AH490">
        <v>18</v>
      </c>
      <c r="AI490">
        <v>1</v>
      </c>
      <c r="AJ490">
        <v>0</v>
      </c>
      <c r="AK490">
        <v>320.26</v>
      </c>
      <c r="AN490" t="s">
        <v>2926</v>
      </c>
      <c r="AO490">
        <v>40000</v>
      </c>
      <c r="AP490" t="s">
        <v>18068</v>
      </c>
      <c r="AU490" t="s">
        <v>13051</v>
      </c>
      <c r="AW490" t="s">
        <v>3059</v>
      </c>
    </row>
    <row r="491" spans="1:50">
      <c r="A491" s="1" t="s">
        <v>61</v>
      </c>
      <c r="B491" t="s">
        <v>163</v>
      </c>
      <c r="C491" t="s">
        <v>3701</v>
      </c>
      <c r="D491" t="s">
        <v>324</v>
      </c>
      <c r="F491" t="s">
        <v>677</v>
      </c>
      <c r="G491" t="s">
        <v>8120</v>
      </c>
      <c r="H491" t="s">
        <v>9605</v>
      </c>
      <c r="I491" t="s">
        <v>11060</v>
      </c>
      <c r="J491" t="s">
        <v>1644</v>
      </c>
      <c r="K491">
        <v>11225</v>
      </c>
      <c r="L491" t="s">
        <v>1670</v>
      </c>
      <c r="M491" t="s">
        <v>1670</v>
      </c>
      <c r="N491" t="s">
        <v>11969</v>
      </c>
      <c r="O491" t="s">
        <v>1938</v>
      </c>
      <c r="P491" t="s">
        <v>1961</v>
      </c>
      <c r="R491" t="s">
        <v>50</v>
      </c>
      <c r="S491" t="s">
        <v>1670</v>
      </c>
      <c r="U491" t="s">
        <v>1972</v>
      </c>
      <c r="W491" t="s">
        <v>208</v>
      </c>
      <c r="X491">
        <v>856</v>
      </c>
      <c r="Y491" t="s">
        <v>2009</v>
      </c>
      <c r="Z491" t="s">
        <v>2015</v>
      </c>
      <c r="AB491" t="s">
        <v>13423</v>
      </c>
      <c r="AD491" t="s">
        <v>15968</v>
      </c>
      <c r="AE491">
        <v>89</v>
      </c>
      <c r="AF491" t="s">
        <v>2902</v>
      </c>
      <c r="AH491">
        <v>16</v>
      </c>
      <c r="AI491">
        <v>1</v>
      </c>
      <c r="AJ491">
        <v>0</v>
      </c>
      <c r="AK491">
        <v>320.26</v>
      </c>
      <c r="AN491" t="s">
        <v>2926</v>
      </c>
      <c r="AO491">
        <v>40000</v>
      </c>
      <c r="AU491">
        <v>1.3</v>
      </c>
      <c r="AV491" t="s">
        <v>357</v>
      </c>
      <c r="AW491" t="s">
        <v>158</v>
      </c>
    </row>
    <row r="492" spans="1:50">
      <c r="A492" s="1" t="s">
        <v>61</v>
      </c>
      <c r="B492" t="s">
        <v>163</v>
      </c>
      <c r="C492" t="s">
        <v>3702</v>
      </c>
      <c r="D492" t="s">
        <v>286</v>
      </c>
      <c r="F492" t="s">
        <v>677</v>
      </c>
      <c r="G492" t="s">
        <v>8120</v>
      </c>
      <c r="H492" t="s">
        <v>9605</v>
      </c>
      <c r="I492" t="s">
        <v>11060</v>
      </c>
      <c r="J492" t="s">
        <v>1644</v>
      </c>
      <c r="K492">
        <v>11225</v>
      </c>
      <c r="L492" t="s">
        <v>1670</v>
      </c>
      <c r="M492" t="s">
        <v>1670</v>
      </c>
      <c r="N492" t="s">
        <v>11970</v>
      </c>
      <c r="O492" t="s">
        <v>1938</v>
      </c>
      <c r="P492" t="s">
        <v>1961</v>
      </c>
      <c r="R492" t="s">
        <v>50</v>
      </c>
      <c r="S492" t="s">
        <v>1670</v>
      </c>
      <c r="U492" t="s">
        <v>1972</v>
      </c>
      <c r="W492" t="s">
        <v>208</v>
      </c>
      <c r="X492" t="s">
        <v>13051</v>
      </c>
      <c r="Y492" t="s">
        <v>2009</v>
      </c>
      <c r="Z492" t="s">
        <v>2015</v>
      </c>
      <c r="AB492" t="s">
        <v>13423</v>
      </c>
      <c r="AD492" t="s">
        <v>15968</v>
      </c>
      <c r="AE492">
        <v>86</v>
      </c>
      <c r="AF492" t="s">
        <v>2902</v>
      </c>
      <c r="AH492">
        <v>16</v>
      </c>
      <c r="AI492">
        <v>1</v>
      </c>
      <c r="AJ492">
        <v>0</v>
      </c>
      <c r="AK492">
        <v>320.26</v>
      </c>
      <c r="AN492" t="s">
        <v>2926</v>
      </c>
      <c r="AO492">
        <v>40000</v>
      </c>
      <c r="AU492">
        <v>6.2</v>
      </c>
      <c r="AV492" t="s">
        <v>354</v>
      </c>
      <c r="AW492" t="s">
        <v>158</v>
      </c>
    </row>
    <row r="493" spans="1:50">
      <c r="A493" s="1" t="s">
        <v>118</v>
      </c>
      <c r="B493" t="s">
        <v>163</v>
      </c>
      <c r="C493" t="s">
        <v>3703</v>
      </c>
      <c r="D493" t="s">
        <v>404</v>
      </c>
      <c r="F493" t="s">
        <v>7034</v>
      </c>
      <c r="G493" t="s">
        <v>7179</v>
      </c>
      <c r="H493" t="s">
        <v>9397</v>
      </c>
      <c r="I493" t="s">
        <v>1569</v>
      </c>
      <c r="J493" t="s">
        <v>1641</v>
      </c>
      <c r="K493">
        <v>10452</v>
      </c>
      <c r="L493" t="s">
        <v>1670</v>
      </c>
      <c r="M493" t="s">
        <v>1672</v>
      </c>
      <c r="O493" t="s">
        <v>1938</v>
      </c>
      <c r="P493" t="s">
        <v>1961</v>
      </c>
      <c r="R493" t="s">
        <v>50</v>
      </c>
      <c r="S493" t="s">
        <v>1670</v>
      </c>
      <c r="U493" t="s">
        <v>1972</v>
      </c>
      <c r="W493" t="s">
        <v>1991</v>
      </c>
      <c r="X493">
        <v>783.86</v>
      </c>
      <c r="Y493" t="s">
        <v>2006</v>
      </c>
      <c r="Z493" t="s">
        <v>2016</v>
      </c>
      <c r="AB493" t="s">
        <v>13424</v>
      </c>
      <c r="AD493" t="s">
        <v>15969</v>
      </c>
      <c r="AE493">
        <v>52</v>
      </c>
      <c r="AF493" t="s">
        <v>2902</v>
      </c>
      <c r="AG493" t="s">
        <v>1754</v>
      </c>
      <c r="AH493">
        <v>20</v>
      </c>
      <c r="AI493">
        <v>1</v>
      </c>
      <c r="AJ493">
        <v>0</v>
      </c>
      <c r="AK493">
        <v>320.26</v>
      </c>
      <c r="AN493" t="s">
        <v>2926</v>
      </c>
      <c r="AO493">
        <v>40000</v>
      </c>
      <c r="AU493" t="s">
        <v>13051</v>
      </c>
      <c r="AW493" t="s">
        <v>3045</v>
      </c>
      <c r="AX493" t="s">
        <v>18685</v>
      </c>
    </row>
    <row r="494" spans="1:50">
      <c r="A494" s="1" t="s">
        <v>90</v>
      </c>
      <c r="B494" t="s">
        <v>164</v>
      </c>
      <c r="C494" t="s">
        <v>3704</v>
      </c>
      <c r="D494" t="s">
        <v>301</v>
      </c>
      <c r="E494" t="s">
        <v>230</v>
      </c>
      <c r="F494" t="s">
        <v>7035</v>
      </c>
      <c r="G494" t="s">
        <v>8121</v>
      </c>
      <c r="H494" t="s">
        <v>9606</v>
      </c>
      <c r="I494">
        <v>10304</v>
      </c>
      <c r="J494" t="s">
        <v>1646</v>
      </c>
      <c r="K494">
        <v>10304</v>
      </c>
      <c r="L494" t="s">
        <v>1670</v>
      </c>
      <c r="M494" t="s">
        <v>1670</v>
      </c>
      <c r="N494" t="s">
        <v>11971</v>
      </c>
      <c r="O494" t="s">
        <v>1936</v>
      </c>
      <c r="P494" t="s">
        <v>1960</v>
      </c>
      <c r="Q494" t="s">
        <v>1969</v>
      </c>
      <c r="R494" t="s">
        <v>50</v>
      </c>
      <c r="S494" t="s">
        <v>1671</v>
      </c>
      <c r="U494" t="s">
        <v>1972</v>
      </c>
      <c r="V494" t="s">
        <v>1984</v>
      </c>
      <c r="W494" t="s">
        <v>384</v>
      </c>
      <c r="X494">
        <v>929.62</v>
      </c>
      <c r="Y494" t="s">
        <v>2010</v>
      </c>
      <c r="AA494" t="s">
        <v>2042</v>
      </c>
      <c r="AB494" t="s">
        <v>13425</v>
      </c>
      <c r="AC494" t="s">
        <v>15087</v>
      </c>
      <c r="AD494" t="s">
        <v>15970</v>
      </c>
      <c r="AE494">
        <v>104</v>
      </c>
      <c r="AH494">
        <v>3</v>
      </c>
      <c r="AI494">
        <v>1</v>
      </c>
      <c r="AJ494">
        <v>0</v>
      </c>
      <c r="AK494">
        <v>320.26</v>
      </c>
      <c r="AL494" t="s">
        <v>18025</v>
      </c>
      <c r="AM494" t="s">
        <v>18031</v>
      </c>
      <c r="AN494" t="s">
        <v>2926</v>
      </c>
      <c r="AO494">
        <v>40000</v>
      </c>
      <c r="AU494">
        <v>7.1</v>
      </c>
      <c r="AV494" t="s">
        <v>293</v>
      </c>
      <c r="AW494" t="s">
        <v>3072</v>
      </c>
    </row>
    <row r="495" spans="1:50">
      <c r="A495" s="1" t="s">
        <v>97</v>
      </c>
      <c r="B495" t="s">
        <v>163</v>
      </c>
      <c r="C495" t="s">
        <v>3705</v>
      </c>
      <c r="D495" t="s">
        <v>283</v>
      </c>
      <c r="F495" t="s">
        <v>7036</v>
      </c>
      <c r="G495" t="s">
        <v>8122</v>
      </c>
      <c r="H495" t="s">
        <v>1244</v>
      </c>
      <c r="I495">
        <v>23</v>
      </c>
      <c r="J495" t="s">
        <v>1643</v>
      </c>
      <c r="K495">
        <v>10034</v>
      </c>
      <c r="L495" t="s">
        <v>1670</v>
      </c>
      <c r="M495" t="s">
        <v>1670</v>
      </c>
      <c r="N495" t="s">
        <v>11972</v>
      </c>
      <c r="O495" t="s">
        <v>1939</v>
      </c>
      <c r="P495" t="s">
        <v>1960</v>
      </c>
      <c r="R495" t="s">
        <v>50</v>
      </c>
      <c r="S495" t="s">
        <v>1670</v>
      </c>
      <c r="U495" t="s">
        <v>1972</v>
      </c>
      <c r="V495" t="s">
        <v>1984</v>
      </c>
      <c r="W495" t="s">
        <v>283</v>
      </c>
      <c r="X495">
        <v>2000</v>
      </c>
      <c r="Y495" t="s">
        <v>2008</v>
      </c>
      <c r="Z495" t="s">
        <v>2017</v>
      </c>
      <c r="AB495" t="s">
        <v>13426</v>
      </c>
      <c r="AD495" t="s">
        <v>15971</v>
      </c>
      <c r="AE495">
        <v>25</v>
      </c>
      <c r="AF495" t="s">
        <v>2902</v>
      </c>
      <c r="AG495" t="s">
        <v>1754</v>
      </c>
      <c r="AH495" t="s">
        <v>13051</v>
      </c>
      <c r="AI495">
        <v>1</v>
      </c>
      <c r="AJ495">
        <v>0</v>
      </c>
      <c r="AK495">
        <v>320.26</v>
      </c>
      <c r="AN495" t="s">
        <v>2926</v>
      </c>
      <c r="AO495">
        <v>40000</v>
      </c>
      <c r="AU495">
        <v>3.4</v>
      </c>
      <c r="AV495" t="s">
        <v>295</v>
      </c>
      <c r="AW495" t="s">
        <v>3051</v>
      </c>
      <c r="AX495" t="s">
        <v>18685</v>
      </c>
    </row>
    <row r="496" spans="1:50">
      <c r="A496" s="1" t="s">
        <v>71</v>
      </c>
      <c r="B496" t="s">
        <v>163</v>
      </c>
      <c r="C496" t="s">
        <v>3706</v>
      </c>
      <c r="D496" t="s">
        <v>248</v>
      </c>
      <c r="F496" t="s">
        <v>7037</v>
      </c>
      <c r="G496" t="s">
        <v>8123</v>
      </c>
      <c r="H496" t="s">
        <v>9607</v>
      </c>
      <c r="I496" t="s">
        <v>11061</v>
      </c>
      <c r="J496" t="s">
        <v>1646</v>
      </c>
      <c r="K496">
        <v>10301</v>
      </c>
      <c r="L496" t="s">
        <v>1670</v>
      </c>
      <c r="M496" t="s">
        <v>1670</v>
      </c>
      <c r="N496" t="s">
        <v>11973</v>
      </c>
      <c r="O496" t="s">
        <v>1936</v>
      </c>
      <c r="P496" t="s">
        <v>1960</v>
      </c>
      <c r="R496" t="s">
        <v>50</v>
      </c>
      <c r="S496" t="s">
        <v>1671</v>
      </c>
      <c r="T496" t="s">
        <v>50</v>
      </c>
      <c r="U496" t="s">
        <v>1972</v>
      </c>
      <c r="V496" t="s">
        <v>1983</v>
      </c>
      <c r="W496" t="s">
        <v>208</v>
      </c>
      <c r="X496">
        <v>1492</v>
      </c>
      <c r="Y496" t="s">
        <v>2010</v>
      </c>
      <c r="Z496" t="s">
        <v>2013</v>
      </c>
      <c r="AB496" t="s">
        <v>13427</v>
      </c>
      <c r="AD496" t="s">
        <v>15972</v>
      </c>
      <c r="AE496">
        <v>70</v>
      </c>
      <c r="AF496" t="s">
        <v>2904</v>
      </c>
      <c r="AG496" t="s">
        <v>1754</v>
      </c>
      <c r="AH496">
        <v>5</v>
      </c>
      <c r="AI496">
        <v>1</v>
      </c>
      <c r="AJ496">
        <v>0</v>
      </c>
      <c r="AK496">
        <v>320.58</v>
      </c>
      <c r="AL496" t="s">
        <v>390</v>
      </c>
      <c r="AM496" t="s">
        <v>18031</v>
      </c>
      <c r="AN496" t="s">
        <v>2926</v>
      </c>
      <c r="AO496">
        <v>40040</v>
      </c>
      <c r="AU496">
        <v>40.95</v>
      </c>
      <c r="AV496" t="s">
        <v>397</v>
      </c>
      <c r="AW496" t="s">
        <v>3052</v>
      </c>
    </row>
    <row r="497" spans="1:50">
      <c r="A497" s="1" t="s">
        <v>146</v>
      </c>
      <c r="B497" t="s">
        <v>164</v>
      </c>
      <c r="C497" t="s">
        <v>3707</v>
      </c>
      <c r="D497" t="s">
        <v>348</v>
      </c>
      <c r="E497" t="s">
        <v>359</v>
      </c>
      <c r="F497" t="s">
        <v>7038</v>
      </c>
      <c r="G497" t="s">
        <v>8124</v>
      </c>
      <c r="H497" t="s">
        <v>9608</v>
      </c>
      <c r="I497" t="s">
        <v>1534</v>
      </c>
      <c r="J497" t="s">
        <v>1641</v>
      </c>
      <c r="K497">
        <v>10463</v>
      </c>
      <c r="L497" t="s">
        <v>1670</v>
      </c>
      <c r="M497" t="s">
        <v>1670</v>
      </c>
      <c r="O497" t="s">
        <v>1675</v>
      </c>
      <c r="P497" t="s">
        <v>1958</v>
      </c>
      <c r="Q497" t="s">
        <v>1965</v>
      </c>
      <c r="R497" t="s">
        <v>50</v>
      </c>
      <c r="S497" t="s">
        <v>1671</v>
      </c>
      <c r="U497" t="s">
        <v>1972</v>
      </c>
      <c r="W497" t="s">
        <v>348</v>
      </c>
      <c r="X497">
        <v>1250</v>
      </c>
      <c r="Y497" t="s">
        <v>2006</v>
      </c>
      <c r="Z497" t="s">
        <v>2015</v>
      </c>
      <c r="AA497" t="s">
        <v>2029</v>
      </c>
      <c r="AB497" t="s">
        <v>13428</v>
      </c>
      <c r="AD497" t="s">
        <v>15973</v>
      </c>
      <c r="AE497">
        <v>58</v>
      </c>
      <c r="AF497" t="s">
        <v>2902</v>
      </c>
      <c r="AG497" t="s">
        <v>1754</v>
      </c>
      <c r="AH497">
        <v>2</v>
      </c>
      <c r="AI497">
        <v>1</v>
      </c>
      <c r="AJ497">
        <v>0</v>
      </c>
      <c r="AK497">
        <v>321.25</v>
      </c>
      <c r="AN497" t="s">
        <v>2926</v>
      </c>
      <c r="AO497">
        <v>39000</v>
      </c>
      <c r="AP497" t="s">
        <v>18145</v>
      </c>
      <c r="AU497">
        <v>0.25</v>
      </c>
      <c r="AV497" t="s">
        <v>347</v>
      </c>
      <c r="AW497" t="s">
        <v>3047</v>
      </c>
    </row>
    <row r="498" spans="1:50">
      <c r="A498" s="1" t="s">
        <v>153</v>
      </c>
      <c r="B498" t="s">
        <v>164</v>
      </c>
      <c r="C498" t="s">
        <v>3708</v>
      </c>
      <c r="D498" t="s">
        <v>286</v>
      </c>
      <c r="E498" t="s">
        <v>390</v>
      </c>
      <c r="F498" t="s">
        <v>689</v>
      </c>
      <c r="G498" t="s">
        <v>896</v>
      </c>
      <c r="H498" t="s">
        <v>9609</v>
      </c>
      <c r="I498" t="s">
        <v>1541</v>
      </c>
      <c r="J498" t="s">
        <v>1641</v>
      </c>
      <c r="K498">
        <v>10459</v>
      </c>
      <c r="L498" t="s">
        <v>1670</v>
      </c>
      <c r="M498" t="s">
        <v>1670</v>
      </c>
      <c r="N498" t="s">
        <v>11974</v>
      </c>
      <c r="O498" t="s">
        <v>1940</v>
      </c>
      <c r="P498" t="s">
        <v>1960</v>
      </c>
      <c r="Q498" t="s">
        <v>1967</v>
      </c>
      <c r="R498" t="s">
        <v>50</v>
      </c>
      <c r="S498" t="s">
        <v>1671</v>
      </c>
      <c r="U498" t="s">
        <v>1972</v>
      </c>
      <c r="W498" t="s">
        <v>1991</v>
      </c>
      <c r="X498">
        <v>597.67</v>
      </c>
      <c r="Y498" t="s">
        <v>2006</v>
      </c>
      <c r="Z498" t="s">
        <v>2017</v>
      </c>
      <c r="AA498" t="s">
        <v>2032</v>
      </c>
      <c r="AB498" t="s">
        <v>13429</v>
      </c>
      <c r="AD498" t="s">
        <v>15974</v>
      </c>
      <c r="AE498">
        <v>31</v>
      </c>
      <c r="AF498" t="s">
        <v>2902</v>
      </c>
      <c r="AG498" t="s">
        <v>1754</v>
      </c>
      <c r="AH498">
        <v>28</v>
      </c>
      <c r="AI498">
        <v>2</v>
      </c>
      <c r="AJ498">
        <v>1</v>
      </c>
      <c r="AK498">
        <v>321.8</v>
      </c>
      <c r="AN498" t="s">
        <v>2927</v>
      </c>
      <c r="AO498">
        <v>68640</v>
      </c>
      <c r="AU498">
        <v>2.3</v>
      </c>
      <c r="AV498" t="s">
        <v>301</v>
      </c>
      <c r="AW498" t="s">
        <v>3045</v>
      </c>
      <c r="AX498" t="s">
        <v>18685</v>
      </c>
    </row>
    <row r="499" spans="1:50">
      <c r="A499" s="1" t="s">
        <v>120</v>
      </c>
      <c r="B499" t="s">
        <v>164</v>
      </c>
      <c r="C499" t="s">
        <v>3709</v>
      </c>
      <c r="D499" t="s">
        <v>372</v>
      </c>
      <c r="E499" t="s">
        <v>200</v>
      </c>
      <c r="F499" t="s">
        <v>7039</v>
      </c>
      <c r="G499" t="s">
        <v>8125</v>
      </c>
      <c r="H499" t="s">
        <v>9610</v>
      </c>
      <c r="I499" t="s">
        <v>11062</v>
      </c>
      <c r="J499" t="s">
        <v>1643</v>
      </c>
      <c r="K499">
        <v>10034</v>
      </c>
      <c r="L499" t="s">
        <v>1670</v>
      </c>
      <c r="M499" t="s">
        <v>1670</v>
      </c>
      <c r="O499" t="s">
        <v>1675</v>
      </c>
      <c r="P499" t="s">
        <v>1958</v>
      </c>
      <c r="Q499" t="s">
        <v>1965</v>
      </c>
      <c r="R499" t="s">
        <v>51</v>
      </c>
      <c r="S499" t="s">
        <v>1671</v>
      </c>
      <c r="U499" t="s">
        <v>1972</v>
      </c>
      <c r="V499" t="s">
        <v>1984</v>
      </c>
      <c r="W499" t="s">
        <v>372</v>
      </c>
      <c r="X499">
        <v>1300</v>
      </c>
      <c r="Y499" t="s">
        <v>2008</v>
      </c>
      <c r="Z499" t="s">
        <v>2012</v>
      </c>
      <c r="AA499" t="s">
        <v>2029</v>
      </c>
      <c r="AB499" t="s">
        <v>13430</v>
      </c>
      <c r="AD499" t="s">
        <v>15975</v>
      </c>
      <c r="AE499">
        <v>20</v>
      </c>
      <c r="AF499" t="s">
        <v>2908</v>
      </c>
      <c r="AG499" t="s">
        <v>1754</v>
      </c>
      <c r="AH499">
        <v>2</v>
      </c>
      <c r="AI499">
        <v>2</v>
      </c>
      <c r="AJ499">
        <v>0</v>
      </c>
      <c r="AK499">
        <v>321.99</v>
      </c>
      <c r="AL499" t="s">
        <v>2923</v>
      </c>
      <c r="AM499" t="s">
        <v>2924</v>
      </c>
      <c r="AN499" t="s">
        <v>2926</v>
      </c>
      <c r="AO499">
        <v>53000</v>
      </c>
      <c r="AU499">
        <v>1</v>
      </c>
      <c r="AV499" t="s">
        <v>227</v>
      </c>
      <c r="AW499" t="s">
        <v>120</v>
      </c>
    </row>
    <row r="500" spans="1:50">
      <c r="A500" s="1" t="s">
        <v>63</v>
      </c>
      <c r="B500" t="s">
        <v>163</v>
      </c>
      <c r="C500" t="s">
        <v>3710</v>
      </c>
      <c r="D500" t="s">
        <v>270</v>
      </c>
      <c r="F500" t="s">
        <v>7040</v>
      </c>
      <c r="G500" t="s">
        <v>8126</v>
      </c>
      <c r="H500" t="s">
        <v>1227</v>
      </c>
      <c r="I500" t="s">
        <v>11002</v>
      </c>
      <c r="J500" t="s">
        <v>1641</v>
      </c>
      <c r="K500">
        <v>10463</v>
      </c>
      <c r="L500" t="s">
        <v>1670</v>
      </c>
      <c r="M500" t="s">
        <v>1670</v>
      </c>
      <c r="O500" t="s">
        <v>1939</v>
      </c>
      <c r="P500" t="s">
        <v>1958</v>
      </c>
      <c r="R500" t="s">
        <v>50</v>
      </c>
      <c r="S500" t="s">
        <v>1670</v>
      </c>
      <c r="U500" t="s">
        <v>1972</v>
      </c>
      <c r="W500" t="s">
        <v>359</v>
      </c>
      <c r="X500">
        <v>1300</v>
      </c>
      <c r="Y500" t="s">
        <v>2006</v>
      </c>
      <c r="Z500" t="s">
        <v>2015</v>
      </c>
      <c r="AB500" t="s">
        <v>13431</v>
      </c>
      <c r="AE500">
        <v>55</v>
      </c>
      <c r="AF500" t="s">
        <v>2902</v>
      </c>
      <c r="AG500" t="s">
        <v>1754</v>
      </c>
      <c r="AH500">
        <v>3</v>
      </c>
      <c r="AI500">
        <v>2</v>
      </c>
      <c r="AJ500">
        <v>1</v>
      </c>
      <c r="AK500">
        <v>322.43</v>
      </c>
      <c r="AN500" t="s">
        <v>2926</v>
      </c>
      <c r="AO500">
        <v>67000</v>
      </c>
      <c r="AP500" t="s">
        <v>18146</v>
      </c>
      <c r="AU500" t="s">
        <v>13051</v>
      </c>
      <c r="AW500" t="s">
        <v>3054</v>
      </c>
    </row>
    <row r="501" spans="1:50">
      <c r="A501" s="1" t="s">
        <v>97</v>
      </c>
      <c r="B501" t="s">
        <v>163</v>
      </c>
      <c r="C501" t="s">
        <v>3711</v>
      </c>
      <c r="D501" t="s">
        <v>262</v>
      </c>
      <c r="F501" t="s">
        <v>7041</v>
      </c>
      <c r="G501" t="s">
        <v>8127</v>
      </c>
      <c r="H501" t="s">
        <v>9611</v>
      </c>
      <c r="I501" t="s">
        <v>10968</v>
      </c>
      <c r="J501" t="s">
        <v>1643</v>
      </c>
      <c r="K501">
        <v>10033</v>
      </c>
      <c r="L501" t="s">
        <v>1670</v>
      </c>
      <c r="M501" t="s">
        <v>1670</v>
      </c>
      <c r="O501" t="s">
        <v>1946</v>
      </c>
      <c r="P501" t="s">
        <v>1962</v>
      </c>
      <c r="R501" t="s">
        <v>50</v>
      </c>
      <c r="S501" t="s">
        <v>1671</v>
      </c>
      <c r="U501" t="s">
        <v>1972</v>
      </c>
      <c r="W501" t="s">
        <v>262</v>
      </c>
      <c r="X501">
        <v>2334.37</v>
      </c>
      <c r="Y501" t="s">
        <v>2008</v>
      </c>
      <c r="Z501" t="s">
        <v>2016</v>
      </c>
      <c r="AB501" t="s">
        <v>13432</v>
      </c>
      <c r="AE501">
        <v>35</v>
      </c>
      <c r="AF501" t="s">
        <v>2902</v>
      </c>
      <c r="AG501" t="s">
        <v>1754</v>
      </c>
      <c r="AH501">
        <v>3</v>
      </c>
      <c r="AI501">
        <v>3</v>
      </c>
      <c r="AJ501">
        <v>0</v>
      </c>
      <c r="AK501">
        <v>323.39</v>
      </c>
      <c r="AL501" t="s">
        <v>340</v>
      </c>
      <c r="AM501" t="s">
        <v>18031</v>
      </c>
      <c r="AN501" t="s">
        <v>2926</v>
      </c>
      <c r="AO501">
        <v>67200</v>
      </c>
      <c r="AU501">
        <v>3.4</v>
      </c>
      <c r="AV501" t="s">
        <v>265</v>
      </c>
      <c r="AW501" t="s">
        <v>3042</v>
      </c>
      <c r="AX501" t="s">
        <v>18685</v>
      </c>
    </row>
    <row r="502" spans="1:50">
      <c r="A502" s="1" t="s">
        <v>115</v>
      </c>
      <c r="B502" t="s">
        <v>164</v>
      </c>
      <c r="C502" t="s">
        <v>3712</v>
      </c>
      <c r="D502" t="s">
        <v>265</v>
      </c>
      <c r="E502" t="s">
        <v>286</v>
      </c>
      <c r="F502" t="s">
        <v>544</v>
      </c>
      <c r="G502" t="s">
        <v>1097</v>
      </c>
      <c r="H502" t="s">
        <v>9465</v>
      </c>
      <c r="I502" t="s">
        <v>1525</v>
      </c>
      <c r="J502" t="s">
        <v>1641</v>
      </c>
      <c r="K502">
        <v>10453</v>
      </c>
      <c r="L502" t="s">
        <v>1670</v>
      </c>
      <c r="M502" t="s">
        <v>1670</v>
      </c>
      <c r="O502" t="s">
        <v>1675</v>
      </c>
      <c r="P502" t="s">
        <v>1958</v>
      </c>
      <c r="Q502" t="s">
        <v>1965</v>
      </c>
      <c r="R502" t="s">
        <v>50</v>
      </c>
      <c r="S502" t="s">
        <v>1671</v>
      </c>
      <c r="U502" t="s">
        <v>1972</v>
      </c>
      <c r="W502" t="s">
        <v>316</v>
      </c>
      <c r="X502">
        <v>1250</v>
      </c>
      <c r="Y502" t="s">
        <v>2006</v>
      </c>
      <c r="Z502" t="s">
        <v>2015</v>
      </c>
      <c r="AA502" t="s">
        <v>2029</v>
      </c>
      <c r="AB502" t="s">
        <v>13195</v>
      </c>
      <c r="AD502" t="s">
        <v>15798</v>
      </c>
      <c r="AE502">
        <v>20</v>
      </c>
      <c r="AF502" t="s">
        <v>2902</v>
      </c>
      <c r="AG502" t="s">
        <v>1754</v>
      </c>
      <c r="AH502">
        <v>4</v>
      </c>
      <c r="AI502">
        <v>3</v>
      </c>
      <c r="AJ502">
        <v>0</v>
      </c>
      <c r="AK502">
        <v>323.49</v>
      </c>
      <c r="AN502" t="s">
        <v>2927</v>
      </c>
      <c r="AO502">
        <v>69000</v>
      </c>
      <c r="AU502">
        <v>1.4</v>
      </c>
      <c r="AV502" t="s">
        <v>286</v>
      </c>
      <c r="AW502" t="s">
        <v>115</v>
      </c>
    </row>
    <row r="503" spans="1:50">
      <c r="A503" s="1" t="s">
        <v>135</v>
      </c>
      <c r="B503" t="s">
        <v>163</v>
      </c>
      <c r="C503" t="s">
        <v>3713</v>
      </c>
      <c r="D503" t="s">
        <v>220</v>
      </c>
      <c r="F503" t="s">
        <v>7042</v>
      </c>
      <c r="G503" t="s">
        <v>8128</v>
      </c>
      <c r="H503" t="s">
        <v>9425</v>
      </c>
      <c r="I503" t="s">
        <v>1477</v>
      </c>
      <c r="J503" t="s">
        <v>1644</v>
      </c>
      <c r="K503">
        <v>11216</v>
      </c>
      <c r="L503" t="s">
        <v>1670</v>
      </c>
      <c r="M503" t="s">
        <v>1670</v>
      </c>
      <c r="O503" t="s">
        <v>1937</v>
      </c>
      <c r="P503" t="s">
        <v>1962</v>
      </c>
      <c r="R503" t="s">
        <v>50</v>
      </c>
      <c r="S503" t="s">
        <v>1670</v>
      </c>
      <c r="U503" t="s">
        <v>1972</v>
      </c>
      <c r="V503" t="s">
        <v>1984</v>
      </c>
      <c r="W503" t="s">
        <v>220</v>
      </c>
      <c r="X503">
        <v>2075</v>
      </c>
      <c r="Y503" t="s">
        <v>2009</v>
      </c>
      <c r="Z503" t="s">
        <v>2016</v>
      </c>
      <c r="AB503" t="s">
        <v>13193</v>
      </c>
      <c r="AD503" t="s">
        <v>15976</v>
      </c>
      <c r="AE503">
        <v>82</v>
      </c>
      <c r="AF503" t="s">
        <v>2902</v>
      </c>
      <c r="AG503" t="s">
        <v>1754</v>
      </c>
      <c r="AH503">
        <v>2</v>
      </c>
      <c r="AI503">
        <v>2</v>
      </c>
      <c r="AJ503">
        <v>0</v>
      </c>
      <c r="AK503">
        <v>324.01</v>
      </c>
      <c r="AN503" t="s">
        <v>2926</v>
      </c>
      <c r="AO503">
        <v>54790.06</v>
      </c>
      <c r="AP503" t="s">
        <v>18147</v>
      </c>
      <c r="AU503" t="s">
        <v>13051</v>
      </c>
      <c r="AW503" t="s">
        <v>3060</v>
      </c>
    </row>
    <row r="504" spans="1:50">
      <c r="A504" s="1" t="s">
        <v>135</v>
      </c>
      <c r="B504" t="s">
        <v>163</v>
      </c>
      <c r="C504" t="s">
        <v>3714</v>
      </c>
      <c r="D504" t="s">
        <v>220</v>
      </c>
      <c r="F504" t="s">
        <v>7042</v>
      </c>
      <c r="G504" t="s">
        <v>8128</v>
      </c>
      <c r="H504" t="s">
        <v>9425</v>
      </c>
      <c r="I504" t="s">
        <v>1477</v>
      </c>
      <c r="J504" t="s">
        <v>1644</v>
      </c>
      <c r="K504">
        <v>11216</v>
      </c>
      <c r="L504" t="s">
        <v>1670</v>
      </c>
      <c r="M504" t="s">
        <v>1670</v>
      </c>
      <c r="N504" t="s">
        <v>11975</v>
      </c>
      <c r="O504" t="s">
        <v>1952</v>
      </c>
      <c r="P504" t="s">
        <v>1960</v>
      </c>
      <c r="R504" t="s">
        <v>50</v>
      </c>
      <c r="S504" t="s">
        <v>1670</v>
      </c>
      <c r="U504" t="s">
        <v>1972</v>
      </c>
      <c r="V504" t="s">
        <v>1984</v>
      </c>
      <c r="W504" t="s">
        <v>275</v>
      </c>
      <c r="X504">
        <v>2075</v>
      </c>
      <c r="Y504" t="s">
        <v>2009</v>
      </c>
      <c r="Z504" t="s">
        <v>2016</v>
      </c>
      <c r="AB504" t="s">
        <v>13193</v>
      </c>
      <c r="AD504" t="s">
        <v>15976</v>
      </c>
      <c r="AE504">
        <v>82</v>
      </c>
      <c r="AF504" t="s">
        <v>2902</v>
      </c>
      <c r="AG504" t="s">
        <v>1754</v>
      </c>
      <c r="AH504">
        <v>2</v>
      </c>
      <c r="AI504">
        <v>2</v>
      </c>
      <c r="AJ504">
        <v>0</v>
      </c>
      <c r="AK504">
        <v>324.01</v>
      </c>
      <c r="AN504" t="s">
        <v>2926</v>
      </c>
      <c r="AO504">
        <v>54790.06</v>
      </c>
      <c r="AP504" t="s">
        <v>18148</v>
      </c>
      <c r="AU504" t="s">
        <v>13051</v>
      </c>
      <c r="AW504" t="s">
        <v>3060</v>
      </c>
      <c r="AX504" t="s">
        <v>18685</v>
      </c>
    </row>
    <row r="505" spans="1:50">
      <c r="A505" s="1" t="s">
        <v>82</v>
      </c>
      <c r="B505" t="s">
        <v>163</v>
      </c>
      <c r="C505" t="s">
        <v>3715</v>
      </c>
      <c r="D505" t="s">
        <v>181</v>
      </c>
      <c r="F505" t="s">
        <v>7006</v>
      </c>
      <c r="G505" t="s">
        <v>8129</v>
      </c>
      <c r="H505" t="s">
        <v>9420</v>
      </c>
      <c r="I505" t="s">
        <v>1617</v>
      </c>
      <c r="J505" t="s">
        <v>1644</v>
      </c>
      <c r="K505">
        <v>11233</v>
      </c>
      <c r="L505" t="s">
        <v>1670</v>
      </c>
      <c r="M505" t="s">
        <v>1671</v>
      </c>
      <c r="O505" t="s">
        <v>1937</v>
      </c>
      <c r="P505" t="s">
        <v>1962</v>
      </c>
      <c r="R505" t="s">
        <v>50</v>
      </c>
      <c r="S505" t="s">
        <v>1670</v>
      </c>
      <c r="U505" t="s">
        <v>1972</v>
      </c>
      <c r="V505" t="s">
        <v>1984</v>
      </c>
      <c r="W505" t="s">
        <v>221</v>
      </c>
      <c r="X505">
        <v>1189.1</v>
      </c>
      <c r="Y505" t="s">
        <v>2009</v>
      </c>
      <c r="Z505" t="s">
        <v>2017</v>
      </c>
      <c r="AB505" t="s">
        <v>13433</v>
      </c>
      <c r="AE505">
        <v>359</v>
      </c>
      <c r="AF505" t="s">
        <v>2902</v>
      </c>
      <c r="AG505" t="s">
        <v>1754</v>
      </c>
      <c r="AH505">
        <v>44</v>
      </c>
      <c r="AI505">
        <v>2</v>
      </c>
      <c r="AJ505">
        <v>0</v>
      </c>
      <c r="AK505">
        <v>325.25</v>
      </c>
      <c r="AN505" t="s">
        <v>2926</v>
      </c>
      <c r="AO505">
        <v>55000</v>
      </c>
      <c r="AP505" t="s">
        <v>18149</v>
      </c>
      <c r="AU505" t="s">
        <v>13051</v>
      </c>
      <c r="AW505" t="s">
        <v>3059</v>
      </c>
    </row>
    <row r="506" spans="1:50">
      <c r="A506" s="1" t="s">
        <v>3172</v>
      </c>
      <c r="B506" t="s">
        <v>163</v>
      </c>
      <c r="C506" t="s">
        <v>3716</v>
      </c>
      <c r="D506" t="s">
        <v>222</v>
      </c>
      <c r="F506" t="s">
        <v>7023</v>
      </c>
      <c r="G506" t="s">
        <v>859</v>
      </c>
      <c r="H506" t="s">
        <v>9612</v>
      </c>
      <c r="I506" t="s">
        <v>11063</v>
      </c>
      <c r="J506" t="s">
        <v>1668</v>
      </c>
      <c r="K506">
        <v>11354</v>
      </c>
      <c r="L506" t="s">
        <v>1670</v>
      </c>
      <c r="M506" t="s">
        <v>1672</v>
      </c>
      <c r="N506" t="s">
        <v>11976</v>
      </c>
      <c r="O506" t="s">
        <v>1938</v>
      </c>
      <c r="P506" t="s">
        <v>1961</v>
      </c>
      <c r="R506" t="s">
        <v>50</v>
      </c>
      <c r="S506" t="s">
        <v>1670</v>
      </c>
      <c r="U506" t="s">
        <v>1972</v>
      </c>
      <c r="V506" t="s">
        <v>1984</v>
      </c>
      <c r="W506" t="s">
        <v>222</v>
      </c>
      <c r="X506">
        <v>1800</v>
      </c>
      <c r="Y506" t="s">
        <v>2007</v>
      </c>
      <c r="Z506" t="s">
        <v>2026</v>
      </c>
      <c r="AB506" t="s">
        <v>13434</v>
      </c>
      <c r="AD506" t="s">
        <v>15977</v>
      </c>
      <c r="AE506">
        <v>91</v>
      </c>
      <c r="AF506" t="s">
        <v>2902</v>
      </c>
      <c r="AG506" t="s">
        <v>1754</v>
      </c>
      <c r="AH506">
        <v>1</v>
      </c>
      <c r="AI506">
        <v>2</v>
      </c>
      <c r="AJ506">
        <v>0</v>
      </c>
      <c r="AK506">
        <v>325.25</v>
      </c>
      <c r="AM506" t="s">
        <v>18031</v>
      </c>
      <c r="AN506" t="s">
        <v>2926</v>
      </c>
      <c r="AO506">
        <v>55000</v>
      </c>
      <c r="AU506">
        <v>0.15</v>
      </c>
      <c r="AV506" t="s">
        <v>222</v>
      </c>
      <c r="AW506" t="s">
        <v>3172</v>
      </c>
      <c r="AX506" t="s">
        <v>18685</v>
      </c>
    </row>
    <row r="507" spans="1:50">
      <c r="A507" s="1" t="s">
        <v>82</v>
      </c>
      <c r="B507" t="s">
        <v>163</v>
      </c>
      <c r="C507" t="s">
        <v>3717</v>
      </c>
      <c r="D507" t="s">
        <v>210</v>
      </c>
      <c r="F507" t="s">
        <v>7006</v>
      </c>
      <c r="G507" t="s">
        <v>8129</v>
      </c>
      <c r="H507" t="s">
        <v>9420</v>
      </c>
      <c r="I507" t="s">
        <v>1617</v>
      </c>
      <c r="J507" t="s">
        <v>1644</v>
      </c>
      <c r="K507">
        <v>11233</v>
      </c>
      <c r="L507" t="s">
        <v>1670</v>
      </c>
      <c r="M507" t="s">
        <v>1671</v>
      </c>
      <c r="O507" t="s">
        <v>1938</v>
      </c>
      <c r="P507" t="s">
        <v>1961</v>
      </c>
      <c r="R507" t="s">
        <v>50</v>
      </c>
      <c r="S507" t="s">
        <v>1670</v>
      </c>
      <c r="U507" t="s">
        <v>1972</v>
      </c>
      <c r="V507" t="s">
        <v>1984</v>
      </c>
      <c r="W507" t="s">
        <v>248</v>
      </c>
      <c r="X507">
        <v>1189.18</v>
      </c>
      <c r="Y507" t="s">
        <v>2009</v>
      </c>
      <c r="Z507" t="s">
        <v>2017</v>
      </c>
      <c r="AB507" t="s">
        <v>13433</v>
      </c>
      <c r="AE507">
        <v>359</v>
      </c>
      <c r="AF507" t="s">
        <v>2902</v>
      </c>
      <c r="AG507" t="s">
        <v>1754</v>
      </c>
      <c r="AH507">
        <v>44</v>
      </c>
      <c r="AI507">
        <v>2</v>
      </c>
      <c r="AJ507">
        <v>0</v>
      </c>
      <c r="AK507">
        <v>325.25</v>
      </c>
      <c r="AN507" t="s">
        <v>2926</v>
      </c>
      <c r="AO507">
        <v>55000</v>
      </c>
      <c r="AP507" t="s">
        <v>18071</v>
      </c>
      <c r="AU507" t="s">
        <v>13051</v>
      </c>
      <c r="AW507" t="s">
        <v>3059</v>
      </c>
    </row>
    <row r="508" spans="1:50">
      <c r="A508" s="1" t="s">
        <v>94</v>
      </c>
      <c r="B508" t="s">
        <v>164</v>
      </c>
      <c r="C508" t="s">
        <v>3718</v>
      </c>
      <c r="D508" t="s">
        <v>306</v>
      </c>
      <c r="E508" t="s">
        <v>306</v>
      </c>
      <c r="F508" t="s">
        <v>7043</v>
      </c>
      <c r="G508" t="s">
        <v>8130</v>
      </c>
      <c r="H508" t="s">
        <v>9613</v>
      </c>
      <c r="I508">
        <v>52</v>
      </c>
      <c r="J508" t="s">
        <v>1643</v>
      </c>
      <c r="K508">
        <v>10032</v>
      </c>
      <c r="L508" t="s">
        <v>1670</v>
      </c>
      <c r="M508" t="s">
        <v>1670</v>
      </c>
      <c r="P508" t="s">
        <v>1958</v>
      </c>
      <c r="Q508" t="s">
        <v>1965</v>
      </c>
      <c r="R508" t="s">
        <v>50</v>
      </c>
      <c r="S508" t="s">
        <v>1671</v>
      </c>
      <c r="U508" t="s">
        <v>1972</v>
      </c>
      <c r="W508" t="s">
        <v>306</v>
      </c>
      <c r="X508">
        <v>900.88</v>
      </c>
      <c r="Y508" t="s">
        <v>2008</v>
      </c>
      <c r="Z508" t="s">
        <v>2013</v>
      </c>
      <c r="AA508" t="s">
        <v>2029</v>
      </c>
      <c r="AB508" t="s">
        <v>13435</v>
      </c>
      <c r="AD508" t="s">
        <v>15978</v>
      </c>
      <c r="AE508" t="s">
        <v>13051</v>
      </c>
      <c r="AF508" t="s">
        <v>2902</v>
      </c>
      <c r="AG508" t="s">
        <v>1754</v>
      </c>
      <c r="AH508">
        <v>20</v>
      </c>
      <c r="AI508">
        <v>2</v>
      </c>
      <c r="AJ508">
        <v>0</v>
      </c>
      <c r="AK508">
        <v>325.64</v>
      </c>
      <c r="AN508" t="s">
        <v>2926</v>
      </c>
      <c r="AO508">
        <v>53600</v>
      </c>
      <c r="AU508">
        <v>1</v>
      </c>
      <c r="AV508" t="s">
        <v>306</v>
      </c>
      <c r="AW508" t="s">
        <v>3042</v>
      </c>
    </row>
    <row r="509" spans="1:50">
      <c r="A509" s="1" t="s">
        <v>91</v>
      </c>
      <c r="B509" t="s">
        <v>163</v>
      </c>
      <c r="C509" t="s">
        <v>3719</v>
      </c>
      <c r="D509" t="s">
        <v>213</v>
      </c>
      <c r="F509" t="s">
        <v>7044</v>
      </c>
      <c r="G509" t="s">
        <v>8131</v>
      </c>
      <c r="H509" t="s">
        <v>1318</v>
      </c>
      <c r="I509" t="s">
        <v>1580</v>
      </c>
      <c r="J509" t="s">
        <v>1643</v>
      </c>
      <c r="K509">
        <v>10032</v>
      </c>
      <c r="L509" t="s">
        <v>1670</v>
      </c>
      <c r="M509" t="s">
        <v>1670</v>
      </c>
      <c r="O509" t="s">
        <v>1941</v>
      </c>
      <c r="P509" t="s">
        <v>1960</v>
      </c>
      <c r="R509" t="s">
        <v>50</v>
      </c>
      <c r="S509" t="s">
        <v>1671</v>
      </c>
      <c r="U509" t="s">
        <v>1972</v>
      </c>
      <c r="W509" t="s">
        <v>213</v>
      </c>
      <c r="X509">
        <v>894.05</v>
      </c>
      <c r="Y509" t="s">
        <v>2008</v>
      </c>
      <c r="Z509" t="s">
        <v>2013</v>
      </c>
      <c r="AB509" t="s">
        <v>13436</v>
      </c>
      <c r="AD509" t="s">
        <v>15979</v>
      </c>
      <c r="AE509">
        <v>48</v>
      </c>
      <c r="AF509" t="s">
        <v>2902</v>
      </c>
      <c r="AG509" t="s">
        <v>1754</v>
      </c>
      <c r="AH509">
        <v>19</v>
      </c>
      <c r="AI509">
        <v>2</v>
      </c>
      <c r="AJ509">
        <v>3</v>
      </c>
      <c r="AK509">
        <v>326.15</v>
      </c>
      <c r="AN509" t="s">
        <v>2926</v>
      </c>
      <c r="AO509">
        <v>98400</v>
      </c>
      <c r="AU509">
        <v>3.55</v>
      </c>
      <c r="AV509" t="s">
        <v>268</v>
      </c>
      <c r="AW509" t="s">
        <v>3042</v>
      </c>
    </row>
    <row r="510" spans="1:50">
      <c r="A510" s="1" t="s">
        <v>52</v>
      </c>
      <c r="B510" t="s">
        <v>164</v>
      </c>
      <c r="C510" t="s">
        <v>3720</v>
      </c>
      <c r="D510" t="s">
        <v>330</v>
      </c>
      <c r="E510" t="s">
        <v>177</v>
      </c>
      <c r="F510" t="s">
        <v>6782</v>
      </c>
      <c r="G510" t="s">
        <v>8113</v>
      </c>
      <c r="H510" t="s">
        <v>1136</v>
      </c>
      <c r="I510" t="s">
        <v>1580</v>
      </c>
      <c r="J510" t="s">
        <v>1641</v>
      </c>
      <c r="K510">
        <v>10457</v>
      </c>
      <c r="L510" t="s">
        <v>1670</v>
      </c>
      <c r="M510" t="s">
        <v>1670</v>
      </c>
      <c r="O510" t="s">
        <v>1938</v>
      </c>
      <c r="P510" t="s">
        <v>1962</v>
      </c>
      <c r="Q510" t="s">
        <v>1968</v>
      </c>
      <c r="R510" t="s">
        <v>50</v>
      </c>
      <c r="S510" t="s">
        <v>1671</v>
      </c>
      <c r="U510" t="s">
        <v>1972</v>
      </c>
      <c r="V510" t="s">
        <v>1984</v>
      </c>
      <c r="W510" t="s">
        <v>1993</v>
      </c>
      <c r="X510">
        <v>976.13</v>
      </c>
      <c r="Y510" t="s">
        <v>2006</v>
      </c>
      <c r="Z510" t="s">
        <v>2015</v>
      </c>
      <c r="AA510" t="s">
        <v>2029</v>
      </c>
      <c r="AB510" t="s">
        <v>13437</v>
      </c>
      <c r="AD510" t="s">
        <v>15980</v>
      </c>
      <c r="AE510">
        <v>46</v>
      </c>
      <c r="AF510" t="s">
        <v>2902</v>
      </c>
      <c r="AG510" t="s">
        <v>1754</v>
      </c>
      <c r="AH510">
        <v>4</v>
      </c>
      <c r="AI510">
        <v>1</v>
      </c>
      <c r="AJ510">
        <v>0</v>
      </c>
      <c r="AK510">
        <v>326.19</v>
      </c>
      <c r="AN510" t="s">
        <v>2926</v>
      </c>
      <c r="AO510">
        <v>39600</v>
      </c>
      <c r="AU510">
        <v>1</v>
      </c>
      <c r="AV510" t="s">
        <v>330</v>
      </c>
      <c r="AW510" t="s">
        <v>52</v>
      </c>
    </row>
    <row r="511" spans="1:50">
      <c r="A511" s="1" t="s">
        <v>52</v>
      </c>
      <c r="B511" t="s">
        <v>163</v>
      </c>
      <c r="C511" t="s">
        <v>3721</v>
      </c>
      <c r="D511" t="s">
        <v>187</v>
      </c>
      <c r="F511" t="s">
        <v>6782</v>
      </c>
      <c r="G511" t="s">
        <v>8113</v>
      </c>
      <c r="H511" t="s">
        <v>1136</v>
      </c>
      <c r="I511" t="s">
        <v>1580</v>
      </c>
      <c r="J511" t="s">
        <v>1641</v>
      </c>
      <c r="K511">
        <v>10457</v>
      </c>
      <c r="L511" t="s">
        <v>1670</v>
      </c>
      <c r="M511" t="s">
        <v>1670</v>
      </c>
      <c r="N511" t="s">
        <v>1695</v>
      </c>
      <c r="O511" t="s">
        <v>1938</v>
      </c>
      <c r="P511" t="s">
        <v>1961</v>
      </c>
      <c r="R511" t="s">
        <v>50</v>
      </c>
      <c r="S511" t="s">
        <v>1670</v>
      </c>
      <c r="U511" t="s">
        <v>1972</v>
      </c>
      <c r="W511" t="s">
        <v>359</v>
      </c>
      <c r="X511">
        <v>997</v>
      </c>
      <c r="Y511" t="s">
        <v>2006</v>
      </c>
      <c r="Z511" t="s">
        <v>2015</v>
      </c>
      <c r="AB511" t="s">
        <v>13437</v>
      </c>
      <c r="AD511" t="s">
        <v>15980</v>
      </c>
      <c r="AE511">
        <v>47</v>
      </c>
      <c r="AF511" t="s">
        <v>2904</v>
      </c>
      <c r="AG511" t="s">
        <v>1754</v>
      </c>
      <c r="AH511">
        <v>9</v>
      </c>
      <c r="AI511">
        <v>1</v>
      </c>
      <c r="AJ511">
        <v>0</v>
      </c>
      <c r="AK511">
        <v>326.19</v>
      </c>
      <c r="AN511" t="s">
        <v>2926</v>
      </c>
      <c r="AO511">
        <v>39600</v>
      </c>
      <c r="AU511">
        <v>0.6</v>
      </c>
      <c r="AV511" t="s">
        <v>409</v>
      </c>
      <c r="AW511" t="s">
        <v>3046</v>
      </c>
    </row>
    <row r="512" spans="1:50">
      <c r="A512" s="1" t="s">
        <v>52</v>
      </c>
      <c r="B512" t="s">
        <v>163</v>
      </c>
      <c r="C512" t="s">
        <v>3722</v>
      </c>
      <c r="D512" t="s">
        <v>187</v>
      </c>
      <c r="F512" t="s">
        <v>6782</v>
      </c>
      <c r="G512" t="s">
        <v>8113</v>
      </c>
      <c r="H512" t="s">
        <v>1136</v>
      </c>
      <c r="I512" t="s">
        <v>1580</v>
      </c>
      <c r="J512" t="s">
        <v>1641</v>
      </c>
      <c r="K512">
        <v>10457</v>
      </c>
      <c r="L512" t="s">
        <v>1670</v>
      </c>
      <c r="M512" t="s">
        <v>1670</v>
      </c>
      <c r="N512" t="s">
        <v>1696</v>
      </c>
      <c r="O512" t="s">
        <v>1939</v>
      </c>
      <c r="P512" t="s">
        <v>1960</v>
      </c>
      <c r="R512" t="s">
        <v>50</v>
      </c>
      <c r="S512" t="s">
        <v>1670</v>
      </c>
      <c r="U512" t="s">
        <v>1972</v>
      </c>
      <c r="W512" t="s">
        <v>359</v>
      </c>
      <c r="X512">
        <v>997</v>
      </c>
      <c r="Y512" t="s">
        <v>2006</v>
      </c>
      <c r="Z512" t="s">
        <v>2015</v>
      </c>
      <c r="AB512" t="s">
        <v>13437</v>
      </c>
      <c r="AD512" t="s">
        <v>15980</v>
      </c>
      <c r="AE512">
        <v>47</v>
      </c>
      <c r="AF512" t="s">
        <v>2904</v>
      </c>
      <c r="AG512" t="s">
        <v>1754</v>
      </c>
      <c r="AH512">
        <v>9</v>
      </c>
      <c r="AI512">
        <v>1</v>
      </c>
      <c r="AJ512">
        <v>0</v>
      </c>
      <c r="AK512">
        <v>326.19</v>
      </c>
      <c r="AN512" t="s">
        <v>2926</v>
      </c>
      <c r="AO512">
        <v>39600</v>
      </c>
      <c r="AU512">
        <v>0.5</v>
      </c>
      <c r="AV512" t="s">
        <v>219</v>
      </c>
      <c r="AW512" t="s">
        <v>3046</v>
      </c>
    </row>
    <row r="513" spans="1:50">
      <c r="A513" s="1" t="s">
        <v>133</v>
      </c>
      <c r="B513" t="s">
        <v>163</v>
      </c>
      <c r="C513" t="s">
        <v>3723</v>
      </c>
      <c r="D513" t="s">
        <v>272</v>
      </c>
      <c r="F513" t="s">
        <v>7045</v>
      </c>
      <c r="G513" t="s">
        <v>8132</v>
      </c>
      <c r="H513" t="s">
        <v>9614</v>
      </c>
      <c r="I513" t="s">
        <v>11064</v>
      </c>
      <c r="J513" t="s">
        <v>1644</v>
      </c>
      <c r="K513">
        <v>11213</v>
      </c>
      <c r="L513" t="s">
        <v>1670</v>
      </c>
      <c r="M513" t="s">
        <v>1672</v>
      </c>
      <c r="O513" t="s">
        <v>1675</v>
      </c>
      <c r="P513" t="s">
        <v>1959</v>
      </c>
      <c r="R513" t="s">
        <v>50</v>
      </c>
      <c r="S513" t="s">
        <v>1670</v>
      </c>
      <c r="U513" t="s">
        <v>1972</v>
      </c>
      <c r="V513" t="s">
        <v>1984</v>
      </c>
      <c r="W513" t="s">
        <v>213</v>
      </c>
      <c r="X513">
        <v>756</v>
      </c>
      <c r="Y513" t="s">
        <v>2009</v>
      </c>
      <c r="Z513" t="s">
        <v>2015</v>
      </c>
      <c r="AB513" t="s">
        <v>13438</v>
      </c>
      <c r="AD513" t="s">
        <v>15981</v>
      </c>
      <c r="AE513">
        <v>34</v>
      </c>
      <c r="AF513" t="s">
        <v>2902</v>
      </c>
      <c r="AG513" t="s">
        <v>1754</v>
      </c>
      <c r="AH513">
        <v>40</v>
      </c>
      <c r="AI513">
        <v>2</v>
      </c>
      <c r="AJ513">
        <v>0</v>
      </c>
      <c r="AK513">
        <v>326.43</v>
      </c>
      <c r="AN513" t="s">
        <v>2926</v>
      </c>
      <c r="AO513">
        <v>55200</v>
      </c>
      <c r="AP513" t="s">
        <v>18150</v>
      </c>
      <c r="AU513" t="s">
        <v>13051</v>
      </c>
      <c r="AW513" t="s">
        <v>3060</v>
      </c>
      <c r="AX513" t="s">
        <v>18685</v>
      </c>
    </row>
    <row r="514" spans="1:50">
      <c r="A514" s="1" t="s">
        <v>83</v>
      </c>
      <c r="B514" t="s">
        <v>164</v>
      </c>
      <c r="C514" t="s">
        <v>3724</v>
      </c>
      <c r="D514" t="s">
        <v>305</v>
      </c>
      <c r="E514" t="s">
        <v>390</v>
      </c>
      <c r="F514" t="s">
        <v>7046</v>
      </c>
      <c r="G514" t="s">
        <v>8133</v>
      </c>
      <c r="H514" t="s">
        <v>9615</v>
      </c>
      <c r="I514" t="s">
        <v>1534</v>
      </c>
      <c r="J514" t="s">
        <v>1643</v>
      </c>
      <c r="K514">
        <v>10031</v>
      </c>
      <c r="L514" t="s">
        <v>1670</v>
      </c>
      <c r="M514" t="s">
        <v>1670</v>
      </c>
      <c r="N514" t="s">
        <v>11977</v>
      </c>
      <c r="O514" t="s">
        <v>1939</v>
      </c>
      <c r="P514" t="s">
        <v>1960</v>
      </c>
      <c r="Q514" t="s">
        <v>1969</v>
      </c>
      <c r="R514" t="s">
        <v>50</v>
      </c>
      <c r="S514" t="s">
        <v>1671</v>
      </c>
      <c r="U514" t="s">
        <v>1972</v>
      </c>
      <c r="W514" t="s">
        <v>252</v>
      </c>
      <c r="X514">
        <v>843.76</v>
      </c>
      <c r="Y514" t="s">
        <v>2008</v>
      </c>
      <c r="Z514" t="s">
        <v>2013</v>
      </c>
      <c r="AA514" t="s">
        <v>2032</v>
      </c>
      <c r="AB514" t="s">
        <v>13439</v>
      </c>
      <c r="AD514" t="s">
        <v>15982</v>
      </c>
      <c r="AE514" t="s">
        <v>13051</v>
      </c>
      <c r="AF514" t="s">
        <v>2908</v>
      </c>
      <c r="AG514" t="s">
        <v>2919</v>
      </c>
      <c r="AH514">
        <v>45</v>
      </c>
      <c r="AI514">
        <v>1</v>
      </c>
      <c r="AJ514">
        <v>0</v>
      </c>
      <c r="AK514">
        <v>326.52</v>
      </c>
      <c r="AL514" t="s">
        <v>271</v>
      </c>
      <c r="AM514" t="s">
        <v>18031</v>
      </c>
      <c r="AN514" t="s">
        <v>2926</v>
      </c>
      <c r="AO514">
        <v>39639.96</v>
      </c>
      <c r="AU514">
        <v>8.699999999999999</v>
      </c>
      <c r="AV514" t="s">
        <v>385</v>
      </c>
      <c r="AW514" t="s">
        <v>3048</v>
      </c>
    </row>
    <row r="515" spans="1:50">
      <c r="A515" s="1" t="s">
        <v>97</v>
      </c>
      <c r="B515" t="s">
        <v>163</v>
      </c>
      <c r="C515" t="s">
        <v>3725</v>
      </c>
      <c r="D515" t="s">
        <v>6153</v>
      </c>
      <c r="F515" t="s">
        <v>521</v>
      </c>
      <c r="G515" t="s">
        <v>8134</v>
      </c>
      <c r="H515" t="s">
        <v>9616</v>
      </c>
      <c r="I515">
        <v>55</v>
      </c>
      <c r="J515" t="s">
        <v>1643</v>
      </c>
      <c r="K515">
        <v>10034</v>
      </c>
      <c r="L515" t="s">
        <v>1670</v>
      </c>
      <c r="M515" t="s">
        <v>1670</v>
      </c>
      <c r="O515" t="s">
        <v>1675</v>
      </c>
      <c r="P515" t="s">
        <v>1959</v>
      </c>
      <c r="R515" t="s">
        <v>50</v>
      </c>
      <c r="S515" t="s">
        <v>1671</v>
      </c>
      <c r="T515" t="s">
        <v>13029</v>
      </c>
      <c r="U515" t="s">
        <v>1972</v>
      </c>
      <c r="W515" t="s">
        <v>1989</v>
      </c>
      <c r="X515">
        <v>743.1</v>
      </c>
      <c r="Y515" t="s">
        <v>2008</v>
      </c>
      <c r="Z515" t="s">
        <v>2013</v>
      </c>
      <c r="AB515" t="s">
        <v>13440</v>
      </c>
      <c r="AD515" t="s">
        <v>15983</v>
      </c>
      <c r="AE515">
        <v>26</v>
      </c>
      <c r="AF515" t="s">
        <v>2902</v>
      </c>
      <c r="AG515" t="s">
        <v>1754</v>
      </c>
      <c r="AH515">
        <v>34</v>
      </c>
      <c r="AI515">
        <v>1</v>
      </c>
      <c r="AJ515">
        <v>0</v>
      </c>
      <c r="AK515">
        <v>327.36</v>
      </c>
      <c r="AL515" t="s">
        <v>1998</v>
      </c>
      <c r="AN515" t="s">
        <v>2927</v>
      </c>
      <c r="AO515">
        <v>39480</v>
      </c>
      <c r="AU515">
        <v>24.3</v>
      </c>
      <c r="AV515" t="s">
        <v>18642</v>
      </c>
      <c r="AW515" t="s">
        <v>3051</v>
      </c>
      <c r="AX515" t="s">
        <v>18685</v>
      </c>
    </row>
    <row r="516" spans="1:50">
      <c r="A516" s="1" t="s">
        <v>101</v>
      </c>
      <c r="B516" t="s">
        <v>163</v>
      </c>
      <c r="C516" t="s">
        <v>3726</v>
      </c>
      <c r="D516" t="s">
        <v>246</v>
      </c>
      <c r="F516" t="s">
        <v>7047</v>
      </c>
      <c r="G516" t="s">
        <v>7991</v>
      </c>
      <c r="H516" t="s">
        <v>9440</v>
      </c>
      <c r="I516">
        <v>24</v>
      </c>
      <c r="J516" t="s">
        <v>1643</v>
      </c>
      <c r="K516">
        <v>10039</v>
      </c>
      <c r="L516" t="s">
        <v>1670</v>
      </c>
      <c r="M516" t="s">
        <v>1670</v>
      </c>
      <c r="N516" t="s">
        <v>11886</v>
      </c>
      <c r="O516" t="s">
        <v>1939</v>
      </c>
      <c r="P516" t="s">
        <v>1960</v>
      </c>
      <c r="R516" t="s">
        <v>50</v>
      </c>
      <c r="S516" t="s">
        <v>1670</v>
      </c>
      <c r="U516" t="s">
        <v>1972</v>
      </c>
      <c r="V516" t="s">
        <v>1984</v>
      </c>
      <c r="W516" t="s">
        <v>246</v>
      </c>
      <c r="X516">
        <v>1475</v>
      </c>
      <c r="Y516" t="s">
        <v>2008</v>
      </c>
      <c r="Z516" t="s">
        <v>2016</v>
      </c>
      <c r="AB516" t="s">
        <v>13441</v>
      </c>
      <c r="AD516" t="s">
        <v>15984</v>
      </c>
      <c r="AE516">
        <v>24</v>
      </c>
      <c r="AF516" t="s">
        <v>2902</v>
      </c>
      <c r="AG516" t="s">
        <v>1754</v>
      </c>
      <c r="AH516">
        <v>8</v>
      </c>
      <c r="AI516">
        <v>2</v>
      </c>
      <c r="AJ516">
        <v>0</v>
      </c>
      <c r="AK516">
        <v>327.76</v>
      </c>
      <c r="AN516" t="s">
        <v>2926</v>
      </c>
      <c r="AO516">
        <v>53950</v>
      </c>
      <c r="AU516" t="s">
        <v>13051</v>
      </c>
      <c r="AW516" t="s">
        <v>3051</v>
      </c>
      <c r="AX516" t="s">
        <v>18685</v>
      </c>
    </row>
    <row r="517" spans="1:50">
      <c r="A517" s="1" t="s">
        <v>57</v>
      </c>
      <c r="B517" t="s">
        <v>163</v>
      </c>
      <c r="C517" t="s">
        <v>3727</v>
      </c>
      <c r="D517" t="s">
        <v>347</v>
      </c>
      <c r="F517" t="s">
        <v>7048</v>
      </c>
      <c r="G517" t="s">
        <v>8135</v>
      </c>
      <c r="H517" t="s">
        <v>1434</v>
      </c>
      <c r="I517">
        <v>54</v>
      </c>
      <c r="J517" t="s">
        <v>1641</v>
      </c>
      <c r="K517">
        <v>10453</v>
      </c>
      <c r="L517" t="s">
        <v>1670</v>
      </c>
      <c r="M517" t="s">
        <v>1670</v>
      </c>
      <c r="N517" t="s">
        <v>1911</v>
      </c>
      <c r="O517" t="s">
        <v>1938</v>
      </c>
      <c r="P517" t="s">
        <v>1961</v>
      </c>
      <c r="R517" t="s">
        <v>50</v>
      </c>
      <c r="S517" t="s">
        <v>1670</v>
      </c>
      <c r="U517" t="s">
        <v>1972</v>
      </c>
      <c r="W517" t="s">
        <v>283</v>
      </c>
      <c r="X517">
        <v>1339</v>
      </c>
      <c r="Y517" t="s">
        <v>2006</v>
      </c>
      <c r="Z517" t="s">
        <v>2016</v>
      </c>
      <c r="AB517" t="s">
        <v>13442</v>
      </c>
      <c r="AD517" t="s">
        <v>15985</v>
      </c>
      <c r="AE517">
        <v>46</v>
      </c>
      <c r="AF517" t="s">
        <v>2902</v>
      </c>
      <c r="AG517" t="s">
        <v>1754</v>
      </c>
      <c r="AH517">
        <v>5</v>
      </c>
      <c r="AI517">
        <v>2</v>
      </c>
      <c r="AJ517">
        <v>0</v>
      </c>
      <c r="AK517">
        <v>328.07</v>
      </c>
      <c r="AN517" t="s">
        <v>2927</v>
      </c>
      <c r="AO517">
        <v>54000</v>
      </c>
      <c r="AU517" t="s">
        <v>13051</v>
      </c>
      <c r="AW517" t="s">
        <v>3054</v>
      </c>
    </row>
    <row r="518" spans="1:50">
      <c r="A518" s="1" t="s">
        <v>115</v>
      </c>
      <c r="B518" t="s">
        <v>164</v>
      </c>
      <c r="C518" t="s">
        <v>3728</v>
      </c>
      <c r="D518" t="s">
        <v>209</v>
      </c>
      <c r="E518" t="s">
        <v>376</v>
      </c>
      <c r="F518" t="s">
        <v>6782</v>
      </c>
      <c r="G518" t="s">
        <v>8136</v>
      </c>
      <c r="H518" t="s">
        <v>9617</v>
      </c>
      <c r="I518" t="s">
        <v>1519</v>
      </c>
      <c r="J518" t="s">
        <v>1641</v>
      </c>
      <c r="K518">
        <v>10458</v>
      </c>
      <c r="L518" t="s">
        <v>1670</v>
      </c>
      <c r="M518" t="s">
        <v>1670</v>
      </c>
      <c r="O518" t="s">
        <v>1675</v>
      </c>
      <c r="P518" t="s">
        <v>1958</v>
      </c>
      <c r="Q518" t="s">
        <v>1965</v>
      </c>
      <c r="R518" t="s">
        <v>50</v>
      </c>
      <c r="S518" t="s">
        <v>1671</v>
      </c>
      <c r="U518" t="s">
        <v>1972</v>
      </c>
      <c r="W518" t="s">
        <v>209</v>
      </c>
      <c r="X518">
        <v>1400</v>
      </c>
      <c r="Y518" t="s">
        <v>2006</v>
      </c>
      <c r="Z518" t="s">
        <v>2015</v>
      </c>
      <c r="AA518" t="s">
        <v>2029</v>
      </c>
      <c r="AB518" t="s">
        <v>13443</v>
      </c>
      <c r="AD518" t="s">
        <v>15986</v>
      </c>
      <c r="AE518">
        <v>67</v>
      </c>
      <c r="AF518" t="s">
        <v>2902</v>
      </c>
      <c r="AG518" t="s">
        <v>1754</v>
      </c>
      <c r="AH518">
        <v>10</v>
      </c>
      <c r="AI518">
        <v>2</v>
      </c>
      <c r="AJ518">
        <v>2</v>
      </c>
      <c r="AK518">
        <v>328.16</v>
      </c>
      <c r="AN518" t="s">
        <v>2926</v>
      </c>
      <c r="AO518">
        <v>82368</v>
      </c>
      <c r="AP518" t="s">
        <v>18151</v>
      </c>
      <c r="AU518">
        <v>1.7</v>
      </c>
      <c r="AV518" t="s">
        <v>376</v>
      </c>
      <c r="AW518" t="s">
        <v>115</v>
      </c>
    </row>
    <row r="519" spans="1:50">
      <c r="A519" s="1" t="s">
        <v>82</v>
      </c>
      <c r="B519" t="s">
        <v>163</v>
      </c>
      <c r="C519" t="s">
        <v>3729</v>
      </c>
      <c r="D519" t="s">
        <v>403</v>
      </c>
      <c r="F519" t="s">
        <v>450</v>
      </c>
      <c r="G519" t="s">
        <v>8137</v>
      </c>
      <c r="H519" t="s">
        <v>1144</v>
      </c>
      <c r="I519" t="s">
        <v>11065</v>
      </c>
      <c r="J519" t="s">
        <v>1644</v>
      </c>
      <c r="K519">
        <v>11233</v>
      </c>
      <c r="L519" t="s">
        <v>1670</v>
      </c>
      <c r="M519" t="s">
        <v>1672</v>
      </c>
      <c r="N519" t="s">
        <v>1675</v>
      </c>
      <c r="O519" t="s">
        <v>1937</v>
      </c>
      <c r="P519" t="s">
        <v>1962</v>
      </c>
      <c r="R519" t="s">
        <v>50</v>
      </c>
      <c r="S519" t="s">
        <v>1670</v>
      </c>
      <c r="U519" t="s">
        <v>1972</v>
      </c>
      <c r="V519" t="s">
        <v>1984</v>
      </c>
      <c r="W519" t="s">
        <v>221</v>
      </c>
      <c r="X519">
        <v>1200</v>
      </c>
      <c r="Y519" t="s">
        <v>2009</v>
      </c>
      <c r="Z519" t="s">
        <v>2017</v>
      </c>
      <c r="AB519" t="s">
        <v>13444</v>
      </c>
      <c r="AE519">
        <v>359</v>
      </c>
      <c r="AF519" t="s">
        <v>2902</v>
      </c>
      <c r="AH519">
        <v>20</v>
      </c>
      <c r="AI519">
        <v>3</v>
      </c>
      <c r="AJ519">
        <v>0</v>
      </c>
      <c r="AK519">
        <v>328.18</v>
      </c>
      <c r="AN519" t="s">
        <v>2926</v>
      </c>
      <c r="AO519">
        <v>70000</v>
      </c>
      <c r="AP519" t="s">
        <v>18152</v>
      </c>
      <c r="AU519" t="s">
        <v>13051</v>
      </c>
      <c r="AW519" t="s">
        <v>3059</v>
      </c>
      <c r="AX519" t="s">
        <v>1754</v>
      </c>
    </row>
    <row r="520" spans="1:50">
      <c r="A520" s="1" t="s">
        <v>82</v>
      </c>
      <c r="B520" t="s">
        <v>163</v>
      </c>
      <c r="C520" t="s">
        <v>3730</v>
      </c>
      <c r="D520" t="s">
        <v>403</v>
      </c>
      <c r="F520" t="s">
        <v>450</v>
      </c>
      <c r="G520" t="s">
        <v>8137</v>
      </c>
      <c r="H520" t="s">
        <v>1144</v>
      </c>
      <c r="I520" t="s">
        <v>11065</v>
      </c>
      <c r="J520" t="s">
        <v>1644</v>
      </c>
      <c r="K520">
        <v>11233</v>
      </c>
      <c r="L520" t="s">
        <v>1670</v>
      </c>
      <c r="M520" t="s">
        <v>1672</v>
      </c>
      <c r="N520" t="s">
        <v>1754</v>
      </c>
      <c r="O520" t="s">
        <v>1938</v>
      </c>
      <c r="P520" t="s">
        <v>1961</v>
      </c>
      <c r="R520" t="s">
        <v>50</v>
      </c>
      <c r="S520" t="s">
        <v>1670</v>
      </c>
      <c r="U520" t="s">
        <v>1972</v>
      </c>
      <c r="V520" t="s">
        <v>1984</v>
      </c>
      <c r="W520" t="s">
        <v>248</v>
      </c>
      <c r="X520">
        <v>1200</v>
      </c>
      <c r="Y520" t="s">
        <v>2009</v>
      </c>
      <c r="Z520" t="s">
        <v>2017</v>
      </c>
      <c r="AB520" t="s">
        <v>13444</v>
      </c>
      <c r="AE520">
        <v>359</v>
      </c>
      <c r="AF520" t="s">
        <v>2902</v>
      </c>
      <c r="AH520">
        <v>20</v>
      </c>
      <c r="AI520">
        <v>3</v>
      </c>
      <c r="AJ520">
        <v>0</v>
      </c>
      <c r="AK520">
        <v>328.18</v>
      </c>
      <c r="AN520" t="s">
        <v>2926</v>
      </c>
      <c r="AO520">
        <v>70000</v>
      </c>
      <c r="AP520" t="s">
        <v>18139</v>
      </c>
      <c r="AU520" t="s">
        <v>13051</v>
      </c>
      <c r="AW520" t="s">
        <v>3059</v>
      </c>
      <c r="AX520" t="s">
        <v>1754</v>
      </c>
    </row>
    <row r="521" spans="1:50">
      <c r="A521" s="1" t="s">
        <v>124</v>
      </c>
      <c r="B521" t="s">
        <v>163</v>
      </c>
      <c r="C521" t="s">
        <v>3731</v>
      </c>
      <c r="D521" t="s">
        <v>198</v>
      </c>
      <c r="F521" t="s">
        <v>7049</v>
      </c>
      <c r="G521" t="s">
        <v>868</v>
      </c>
      <c r="H521" t="s">
        <v>1230</v>
      </c>
      <c r="I521">
        <v>15</v>
      </c>
      <c r="J521" t="s">
        <v>1644</v>
      </c>
      <c r="K521">
        <v>11226</v>
      </c>
      <c r="L521" t="s">
        <v>1670</v>
      </c>
      <c r="M521" t="s">
        <v>1670</v>
      </c>
      <c r="O521" t="s">
        <v>1939</v>
      </c>
      <c r="P521" t="s">
        <v>1960</v>
      </c>
      <c r="R521" t="s">
        <v>50</v>
      </c>
      <c r="S521" t="s">
        <v>1670</v>
      </c>
      <c r="U521" t="s">
        <v>1972</v>
      </c>
      <c r="W521" t="s">
        <v>274</v>
      </c>
      <c r="X521">
        <v>717</v>
      </c>
      <c r="Y521" t="s">
        <v>2009</v>
      </c>
      <c r="AB521" t="s">
        <v>13445</v>
      </c>
      <c r="AD521" t="s">
        <v>15987</v>
      </c>
      <c r="AE521" t="s">
        <v>13051</v>
      </c>
      <c r="AH521">
        <v>14</v>
      </c>
      <c r="AI521">
        <v>3</v>
      </c>
      <c r="AJ521">
        <v>0</v>
      </c>
      <c r="AK521">
        <v>328.18</v>
      </c>
      <c r="AN521" t="s">
        <v>2926</v>
      </c>
      <c r="AO521">
        <v>70000</v>
      </c>
      <c r="AP521" t="s">
        <v>18153</v>
      </c>
      <c r="AU521">
        <v>0.1</v>
      </c>
      <c r="AV521" t="s">
        <v>268</v>
      </c>
      <c r="AW521" t="s">
        <v>158</v>
      </c>
    </row>
    <row r="522" spans="1:50">
      <c r="A522" s="1" t="s">
        <v>57</v>
      </c>
      <c r="B522" t="s">
        <v>163</v>
      </c>
      <c r="C522" t="s">
        <v>3732</v>
      </c>
      <c r="D522" t="s">
        <v>1993</v>
      </c>
      <c r="F522" t="s">
        <v>7050</v>
      </c>
      <c r="G522" t="s">
        <v>7923</v>
      </c>
      <c r="H522" t="s">
        <v>1112</v>
      </c>
      <c r="I522" t="s">
        <v>1554</v>
      </c>
      <c r="J522" t="s">
        <v>1641</v>
      </c>
      <c r="K522">
        <v>10453</v>
      </c>
      <c r="L522" t="s">
        <v>1670</v>
      </c>
      <c r="M522" t="s">
        <v>1672</v>
      </c>
      <c r="O522" t="s">
        <v>1938</v>
      </c>
      <c r="P522" t="s">
        <v>1959</v>
      </c>
      <c r="R522" t="s">
        <v>50</v>
      </c>
      <c r="S522" t="s">
        <v>1670</v>
      </c>
      <c r="U522" t="s">
        <v>1972</v>
      </c>
      <c r="W522" t="s">
        <v>283</v>
      </c>
      <c r="X522">
        <v>949</v>
      </c>
      <c r="Y522" t="s">
        <v>2006</v>
      </c>
      <c r="Z522" t="s">
        <v>2015</v>
      </c>
      <c r="AB522" t="s">
        <v>13446</v>
      </c>
      <c r="AD522" t="s">
        <v>15988</v>
      </c>
      <c r="AE522" t="s">
        <v>13051</v>
      </c>
      <c r="AF522" t="s">
        <v>2902</v>
      </c>
      <c r="AG522" t="s">
        <v>2919</v>
      </c>
      <c r="AH522">
        <v>39</v>
      </c>
      <c r="AI522">
        <v>1</v>
      </c>
      <c r="AJ522">
        <v>0</v>
      </c>
      <c r="AK522">
        <v>328.52</v>
      </c>
      <c r="AN522" t="s">
        <v>2926</v>
      </c>
      <c r="AO522">
        <v>41032</v>
      </c>
      <c r="AP522" t="s">
        <v>18154</v>
      </c>
      <c r="AU522" t="s">
        <v>13051</v>
      </c>
      <c r="AW522" t="s">
        <v>18660</v>
      </c>
      <c r="AX522" t="s">
        <v>18685</v>
      </c>
    </row>
    <row r="523" spans="1:50">
      <c r="A523" s="1" t="s">
        <v>57</v>
      </c>
      <c r="B523" t="s">
        <v>163</v>
      </c>
      <c r="C523" t="s">
        <v>3733</v>
      </c>
      <c r="D523" t="s">
        <v>1993</v>
      </c>
      <c r="F523" t="s">
        <v>7050</v>
      </c>
      <c r="G523" t="s">
        <v>7923</v>
      </c>
      <c r="H523" t="s">
        <v>1112</v>
      </c>
      <c r="I523" t="s">
        <v>1554</v>
      </c>
      <c r="J523" t="s">
        <v>1641</v>
      </c>
      <c r="K523">
        <v>10453</v>
      </c>
      <c r="L523" t="s">
        <v>1670</v>
      </c>
      <c r="M523" t="s">
        <v>1671</v>
      </c>
      <c r="N523" t="s">
        <v>1677</v>
      </c>
      <c r="O523" t="s">
        <v>1939</v>
      </c>
      <c r="P523" t="s">
        <v>1960</v>
      </c>
      <c r="R523" t="s">
        <v>50</v>
      </c>
      <c r="S523" t="s">
        <v>1670</v>
      </c>
      <c r="U523" t="s">
        <v>1972</v>
      </c>
      <c r="W523" t="s">
        <v>283</v>
      </c>
      <c r="X523">
        <v>949</v>
      </c>
      <c r="Y523" t="s">
        <v>2006</v>
      </c>
      <c r="Z523" t="s">
        <v>2015</v>
      </c>
      <c r="AB523" t="s">
        <v>13446</v>
      </c>
      <c r="AD523" t="s">
        <v>15988</v>
      </c>
      <c r="AE523" t="s">
        <v>13051</v>
      </c>
      <c r="AF523" t="s">
        <v>2902</v>
      </c>
      <c r="AG523" t="s">
        <v>2919</v>
      </c>
      <c r="AH523">
        <v>39</v>
      </c>
      <c r="AI523">
        <v>1</v>
      </c>
      <c r="AJ523">
        <v>0</v>
      </c>
      <c r="AK523">
        <v>328.52</v>
      </c>
      <c r="AN523" t="s">
        <v>2926</v>
      </c>
      <c r="AO523">
        <v>41032</v>
      </c>
      <c r="AU523" t="s">
        <v>13051</v>
      </c>
      <c r="AW523" t="s">
        <v>18660</v>
      </c>
    </row>
    <row r="524" spans="1:50">
      <c r="A524" s="1" t="s">
        <v>130</v>
      </c>
      <c r="B524" t="s">
        <v>164</v>
      </c>
      <c r="C524" t="s">
        <v>3734</v>
      </c>
      <c r="D524" t="s">
        <v>271</v>
      </c>
      <c r="E524" t="s">
        <v>359</v>
      </c>
      <c r="F524" t="s">
        <v>7051</v>
      </c>
      <c r="G524" t="s">
        <v>7918</v>
      </c>
      <c r="H524" t="s">
        <v>9510</v>
      </c>
      <c r="I524" t="s">
        <v>1511</v>
      </c>
      <c r="J524" t="s">
        <v>1644</v>
      </c>
      <c r="K524">
        <v>11233</v>
      </c>
      <c r="L524" t="s">
        <v>1670</v>
      </c>
      <c r="M524" t="s">
        <v>1670</v>
      </c>
      <c r="O524" t="s">
        <v>1937</v>
      </c>
      <c r="P524" t="s">
        <v>1962</v>
      </c>
      <c r="Q524" t="s">
        <v>1968</v>
      </c>
      <c r="R524" t="s">
        <v>50</v>
      </c>
      <c r="S524" t="s">
        <v>1670</v>
      </c>
      <c r="U524" t="s">
        <v>1972</v>
      </c>
      <c r="W524" t="s">
        <v>243</v>
      </c>
      <c r="X524">
        <v>2400</v>
      </c>
      <c r="Y524" t="s">
        <v>2009</v>
      </c>
      <c r="Z524" t="s">
        <v>2025</v>
      </c>
      <c r="AA524" t="s">
        <v>2030</v>
      </c>
      <c r="AB524" t="s">
        <v>13447</v>
      </c>
      <c r="AD524" t="s">
        <v>15989</v>
      </c>
      <c r="AE524">
        <v>7</v>
      </c>
      <c r="AF524" t="s">
        <v>2902</v>
      </c>
      <c r="AG524" t="s">
        <v>1754</v>
      </c>
      <c r="AH524">
        <v>1</v>
      </c>
      <c r="AI524">
        <v>1</v>
      </c>
      <c r="AJ524">
        <v>0</v>
      </c>
      <c r="AK524">
        <v>329.49</v>
      </c>
      <c r="AN524" t="s">
        <v>2926</v>
      </c>
      <c r="AO524">
        <v>40000</v>
      </c>
      <c r="AR524" t="s">
        <v>2017</v>
      </c>
      <c r="AU524">
        <v>0.2</v>
      </c>
      <c r="AV524" t="s">
        <v>271</v>
      </c>
      <c r="AW524" t="s">
        <v>3059</v>
      </c>
    </row>
    <row r="525" spans="1:50">
      <c r="A525" s="1" t="s">
        <v>82</v>
      </c>
      <c r="B525" t="s">
        <v>163</v>
      </c>
      <c r="C525" t="s">
        <v>3735</v>
      </c>
      <c r="D525" t="s">
        <v>174</v>
      </c>
      <c r="F525" t="s">
        <v>7031</v>
      </c>
      <c r="G525" t="s">
        <v>8117</v>
      </c>
      <c r="H525" t="s">
        <v>9420</v>
      </c>
      <c r="I525" t="s">
        <v>11032</v>
      </c>
      <c r="J525" t="s">
        <v>1644</v>
      </c>
      <c r="K525">
        <v>11233</v>
      </c>
      <c r="L525" t="s">
        <v>1670</v>
      </c>
      <c r="M525" t="s">
        <v>1670</v>
      </c>
      <c r="N525" t="s">
        <v>1675</v>
      </c>
      <c r="O525" t="s">
        <v>1938</v>
      </c>
      <c r="P525" t="s">
        <v>1959</v>
      </c>
      <c r="R525" t="s">
        <v>50</v>
      </c>
      <c r="S525" t="s">
        <v>1670</v>
      </c>
      <c r="U525" t="s">
        <v>1972</v>
      </c>
      <c r="V525" t="s">
        <v>1984</v>
      </c>
      <c r="W525" t="s">
        <v>243</v>
      </c>
      <c r="X525">
        <v>628</v>
      </c>
      <c r="Y525" t="s">
        <v>2009</v>
      </c>
      <c r="Z525" t="s">
        <v>2016</v>
      </c>
      <c r="AB525" t="s">
        <v>13418</v>
      </c>
      <c r="AC525" t="s">
        <v>1754</v>
      </c>
      <c r="AD525" t="s">
        <v>15967</v>
      </c>
      <c r="AE525">
        <v>764</v>
      </c>
      <c r="AF525" t="s">
        <v>2902</v>
      </c>
      <c r="AG525" t="s">
        <v>1754</v>
      </c>
      <c r="AH525">
        <v>18</v>
      </c>
      <c r="AI525">
        <v>1</v>
      </c>
      <c r="AJ525">
        <v>0</v>
      </c>
      <c r="AK525">
        <v>329.49</v>
      </c>
      <c r="AL525" t="s">
        <v>365</v>
      </c>
      <c r="AM525" t="s">
        <v>18031</v>
      </c>
      <c r="AN525" t="s">
        <v>2926</v>
      </c>
      <c r="AO525">
        <v>40000</v>
      </c>
      <c r="AU525" t="s">
        <v>13051</v>
      </c>
      <c r="AW525" t="s">
        <v>3060</v>
      </c>
    </row>
    <row r="526" spans="1:50">
      <c r="A526" s="1" t="s">
        <v>130</v>
      </c>
      <c r="B526" t="s">
        <v>164</v>
      </c>
      <c r="C526" t="s">
        <v>3736</v>
      </c>
      <c r="D526" t="s">
        <v>271</v>
      </c>
      <c r="E526" t="s">
        <v>359</v>
      </c>
      <c r="F526" t="s">
        <v>7051</v>
      </c>
      <c r="G526" t="s">
        <v>7918</v>
      </c>
      <c r="H526" t="s">
        <v>9510</v>
      </c>
      <c r="I526" t="s">
        <v>1511</v>
      </c>
      <c r="J526" t="s">
        <v>1644</v>
      </c>
      <c r="K526">
        <v>11233</v>
      </c>
      <c r="L526" t="s">
        <v>1670</v>
      </c>
      <c r="M526" t="s">
        <v>1670</v>
      </c>
      <c r="N526" t="s">
        <v>11904</v>
      </c>
      <c r="O526" t="s">
        <v>1938</v>
      </c>
      <c r="P526" t="s">
        <v>1961</v>
      </c>
      <c r="Q526" t="s">
        <v>1970</v>
      </c>
      <c r="R526" t="s">
        <v>50</v>
      </c>
      <c r="S526" t="s">
        <v>1670</v>
      </c>
      <c r="U526" t="s">
        <v>1972</v>
      </c>
      <c r="W526" t="s">
        <v>1989</v>
      </c>
      <c r="X526">
        <v>2400</v>
      </c>
      <c r="Y526" t="s">
        <v>2009</v>
      </c>
      <c r="Z526" t="s">
        <v>2025</v>
      </c>
      <c r="AA526" t="s">
        <v>2030</v>
      </c>
      <c r="AB526" t="s">
        <v>13447</v>
      </c>
      <c r="AD526" t="s">
        <v>15989</v>
      </c>
      <c r="AE526">
        <v>7</v>
      </c>
      <c r="AF526" t="s">
        <v>2902</v>
      </c>
      <c r="AG526" t="s">
        <v>1754</v>
      </c>
      <c r="AH526">
        <v>1</v>
      </c>
      <c r="AI526">
        <v>1</v>
      </c>
      <c r="AJ526">
        <v>0</v>
      </c>
      <c r="AK526">
        <v>329.49</v>
      </c>
      <c r="AN526" t="s">
        <v>2926</v>
      </c>
      <c r="AO526">
        <v>40000</v>
      </c>
      <c r="AR526" t="s">
        <v>18452</v>
      </c>
      <c r="AU526">
        <v>0.4</v>
      </c>
      <c r="AV526" t="s">
        <v>271</v>
      </c>
      <c r="AW526" t="s">
        <v>3059</v>
      </c>
    </row>
    <row r="527" spans="1:50">
      <c r="A527" s="1" t="s">
        <v>82</v>
      </c>
      <c r="B527" t="s">
        <v>163</v>
      </c>
      <c r="C527" t="s">
        <v>3737</v>
      </c>
      <c r="D527" t="s">
        <v>324</v>
      </c>
      <c r="F527" t="s">
        <v>668</v>
      </c>
      <c r="G527" t="s">
        <v>984</v>
      </c>
      <c r="H527" t="s">
        <v>1144</v>
      </c>
      <c r="I527" t="s">
        <v>10971</v>
      </c>
      <c r="J527" t="s">
        <v>1644</v>
      </c>
      <c r="K527">
        <v>11233</v>
      </c>
      <c r="L527" t="s">
        <v>1670</v>
      </c>
      <c r="M527" t="s">
        <v>1671</v>
      </c>
      <c r="N527" t="s">
        <v>1754</v>
      </c>
      <c r="O527" t="s">
        <v>1937</v>
      </c>
      <c r="P527" t="s">
        <v>1962</v>
      </c>
      <c r="R527" t="s">
        <v>50</v>
      </c>
      <c r="S527" t="s">
        <v>1670</v>
      </c>
      <c r="U527" t="s">
        <v>1972</v>
      </c>
      <c r="V527" t="s">
        <v>1984</v>
      </c>
      <c r="W527" t="s">
        <v>221</v>
      </c>
      <c r="X527">
        <v>1108.41</v>
      </c>
      <c r="Y527" t="s">
        <v>2009</v>
      </c>
      <c r="AB527" t="s">
        <v>13448</v>
      </c>
      <c r="AE527">
        <v>359</v>
      </c>
      <c r="AF527" t="s">
        <v>2902</v>
      </c>
      <c r="AG527" t="s">
        <v>1754</v>
      </c>
      <c r="AH527">
        <v>38</v>
      </c>
      <c r="AI527">
        <v>2</v>
      </c>
      <c r="AJ527">
        <v>0</v>
      </c>
      <c r="AK527">
        <v>329.64</v>
      </c>
      <c r="AN527" t="s">
        <v>2926</v>
      </c>
      <c r="AO527">
        <v>55742</v>
      </c>
      <c r="AP527" t="s">
        <v>18155</v>
      </c>
      <c r="AU527" t="s">
        <v>13051</v>
      </c>
      <c r="AW527" t="s">
        <v>3060</v>
      </c>
    </row>
    <row r="528" spans="1:50">
      <c r="A528" s="1" t="s">
        <v>82</v>
      </c>
      <c r="B528" t="s">
        <v>163</v>
      </c>
      <c r="C528" t="s">
        <v>3738</v>
      </c>
      <c r="D528" t="s">
        <v>210</v>
      </c>
      <c r="F528" t="s">
        <v>668</v>
      </c>
      <c r="G528" t="s">
        <v>984</v>
      </c>
      <c r="H528" t="s">
        <v>1144</v>
      </c>
      <c r="I528" t="s">
        <v>10971</v>
      </c>
      <c r="J528" t="s">
        <v>1644</v>
      </c>
      <c r="K528">
        <v>11233</v>
      </c>
      <c r="L528" t="s">
        <v>1670</v>
      </c>
      <c r="M528" t="s">
        <v>1671</v>
      </c>
      <c r="O528" t="s">
        <v>1938</v>
      </c>
      <c r="P528" t="s">
        <v>1961</v>
      </c>
      <c r="R528" t="s">
        <v>50</v>
      </c>
      <c r="S528" t="s">
        <v>1670</v>
      </c>
      <c r="U528" t="s">
        <v>1972</v>
      </c>
      <c r="V528" t="s">
        <v>1984</v>
      </c>
      <c r="W528" t="s">
        <v>248</v>
      </c>
      <c r="X528">
        <v>1108.41</v>
      </c>
      <c r="Y528" t="s">
        <v>2009</v>
      </c>
      <c r="Z528" t="s">
        <v>2017</v>
      </c>
      <c r="AB528" t="s">
        <v>13448</v>
      </c>
      <c r="AE528">
        <v>359</v>
      </c>
      <c r="AF528" t="s">
        <v>2902</v>
      </c>
      <c r="AG528" t="s">
        <v>1754</v>
      </c>
      <c r="AH528">
        <v>38</v>
      </c>
      <c r="AI528">
        <v>2</v>
      </c>
      <c r="AJ528">
        <v>0</v>
      </c>
      <c r="AK528">
        <v>329.64</v>
      </c>
      <c r="AN528" t="s">
        <v>2926</v>
      </c>
      <c r="AO528">
        <v>55742</v>
      </c>
      <c r="AP528" t="s">
        <v>18071</v>
      </c>
      <c r="AU528" t="s">
        <v>13051</v>
      </c>
      <c r="AW528" t="s">
        <v>3059</v>
      </c>
    </row>
    <row r="529" spans="1:50">
      <c r="A529" s="1" t="s">
        <v>97</v>
      </c>
      <c r="B529" t="s">
        <v>163</v>
      </c>
      <c r="C529" t="s">
        <v>3739</v>
      </c>
      <c r="D529" t="s">
        <v>206</v>
      </c>
      <c r="F529" t="s">
        <v>7052</v>
      </c>
      <c r="G529" t="s">
        <v>8138</v>
      </c>
      <c r="H529" t="s">
        <v>9618</v>
      </c>
      <c r="I529" t="s">
        <v>1534</v>
      </c>
      <c r="J529" t="s">
        <v>1643</v>
      </c>
      <c r="K529">
        <v>10032</v>
      </c>
      <c r="L529" t="s">
        <v>1670</v>
      </c>
      <c r="M529" t="s">
        <v>1672</v>
      </c>
      <c r="O529" t="s">
        <v>1941</v>
      </c>
      <c r="P529" t="s">
        <v>1958</v>
      </c>
      <c r="R529" t="s">
        <v>50</v>
      </c>
      <c r="S529" t="s">
        <v>1671</v>
      </c>
      <c r="U529" t="s">
        <v>1972</v>
      </c>
      <c r="W529" t="s">
        <v>206</v>
      </c>
      <c r="X529">
        <v>3445</v>
      </c>
      <c r="Y529" t="s">
        <v>2008</v>
      </c>
      <c r="Z529" t="s">
        <v>2013</v>
      </c>
      <c r="AB529" t="s">
        <v>13449</v>
      </c>
      <c r="AE529">
        <v>48</v>
      </c>
      <c r="AF529" t="s">
        <v>2902</v>
      </c>
      <c r="AG529" t="s">
        <v>1754</v>
      </c>
      <c r="AH529">
        <v>2</v>
      </c>
      <c r="AI529">
        <v>2</v>
      </c>
      <c r="AJ529">
        <v>0</v>
      </c>
      <c r="AK529">
        <v>330.1</v>
      </c>
      <c r="AN529" t="s">
        <v>2926</v>
      </c>
      <c r="AO529">
        <v>55820</v>
      </c>
      <c r="AU529">
        <v>1</v>
      </c>
      <c r="AV529" t="s">
        <v>290</v>
      </c>
      <c r="AW529" t="s">
        <v>3042</v>
      </c>
      <c r="AX529" t="s">
        <v>18685</v>
      </c>
    </row>
    <row r="530" spans="1:50">
      <c r="A530" s="1" t="s">
        <v>119</v>
      </c>
      <c r="B530" t="s">
        <v>163</v>
      </c>
      <c r="C530" t="s">
        <v>3740</v>
      </c>
      <c r="D530" t="s">
        <v>268</v>
      </c>
      <c r="F530" t="s">
        <v>7053</v>
      </c>
      <c r="G530" t="s">
        <v>803</v>
      </c>
      <c r="H530" t="s">
        <v>9619</v>
      </c>
      <c r="I530" t="s">
        <v>11066</v>
      </c>
      <c r="J530" t="s">
        <v>1644</v>
      </c>
      <c r="K530">
        <v>11233</v>
      </c>
      <c r="L530" t="s">
        <v>1670</v>
      </c>
      <c r="M530" t="s">
        <v>1672</v>
      </c>
      <c r="O530" t="s">
        <v>1936</v>
      </c>
      <c r="P530" t="s">
        <v>1960</v>
      </c>
      <c r="R530" t="s">
        <v>50</v>
      </c>
      <c r="S530" t="s">
        <v>1671</v>
      </c>
      <c r="U530" t="s">
        <v>1972</v>
      </c>
      <c r="V530" t="s">
        <v>1984</v>
      </c>
      <c r="W530" t="s">
        <v>249</v>
      </c>
      <c r="X530">
        <v>1365</v>
      </c>
      <c r="Y530" t="s">
        <v>2009</v>
      </c>
      <c r="Z530" t="s">
        <v>2017</v>
      </c>
      <c r="AB530" t="s">
        <v>13450</v>
      </c>
      <c r="AC530" t="s">
        <v>1754</v>
      </c>
      <c r="AD530" t="s">
        <v>15990</v>
      </c>
      <c r="AE530">
        <v>8</v>
      </c>
      <c r="AF530" t="s">
        <v>2902</v>
      </c>
      <c r="AG530" t="s">
        <v>2915</v>
      </c>
      <c r="AH530">
        <v>23</v>
      </c>
      <c r="AI530">
        <v>2</v>
      </c>
      <c r="AJ530">
        <v>0</v>
      </c>
      <c r="AK530">
        <v>331.16</v>
      </c>
      <c r="AN530" t="s">
        <v>2927</v>
      </c>
      <c r="AO530">
        <v>56000</v>
      </c>
      <c r="AP530" t="s">
        <v>18156</v>
      </c>
      <c r="AU530" t="s">
        <v>13051</v>
      </c>
      <c r="AW530" t="s">
        <v>3060</v>
      </c>
      <c r="AX530" t="s">
        <v>18685</v>
      </c>
    </row>
    <row r="531" spans="1:50">
      <c r="A531" s="1" t="s">
        <v>125</v>
      </c>
      <c r="B531" t="s">
        <v>163</v>
      </c>
      <c r="C531" t="s">
        <v>3741</v>
      </c>
      <c r="D531" t="s">
        <v>313</v>
      </c>
      <c r="F531" t="s">
        <v>7054</v>
      </c>
      <c r="G531" t="s">
        <v>8139</v>
      </c>
      <c r="H531" t="s">
        <v>9428</v>
      </c>
      <c r="I531" t="s">
        <v>1569</v>
      </c>
      <c r="J531" t="s">
        <v>1644</v>
      </c>
      <c r="K531">
        <v>11226</v>
      </c>
      <c r="L531" t="s">
        <v>1671</v>
      </c>
      <c r="M531" t="s">
        <v>1670</v>
      </c>
      <c r="O531" t="s">
        <v>1938</v>
      </c>
      <c r="P531" t="s">
        <v>1961</v>
      </c>
      <c r="R531" t="s">
        <v>50</v>
      </c>
      <c r="S531" t="s">
        <v>1670</v>
      </c>
      <c r="U531" t="s">
        <v>1972</v>
      </c>
      <c r="W531" t="s">
        <v>307</v>
      </c>
      <c r="X531">
        <v>904.1900000000001</v>
      </c>
      <c r="Y531" t="s">
        <v>2009</v>
      </c>
      <c r="AB531" t="s">
        <v>2223</v>
      </c>
      <c r="AE531" t="s">
        <v>13051</v>
      </c>
      <c r="AH531">
        <v>38</v>
      </c>
      <c r="AI531">
        <v>1</v>
      </c>
      <c r="AJ531">
        <v>0</v>
      </c>
      <c r="AK531">
        <v>331.18</v>
      </c>
      <c r="AN531" t="s">
        <v>2926</v>
      </c>
      <c r="AO531">
        <v>41364</v>
      </c>
      <c r="AU531" t="s">
        <v>13051</v>
      </c>
      <c r="AW531" t="s">
        <v>158</v>
      </c>
    </row>
    <row r="532" spans="1:50">
      <c r="A532" s="1" t="s">
        <v>96</v>
      </c>
      <c r="B532" t="s">
        <v>163</v>
      </c>
      <c r="C532" t="s">
        <v>3742</v>
      </c>
      <c r="D532" t="s">
        <v>299</v>
      </c>
      <c r="F532" t="s">
        <v>7054</v>
      </c>
      <c r="G532" t="s">
        <v>8139</v>
      </c>
      <c r="H532" t="s">
        <v>9428</v>
      </c>
      <c r="I532" t="s">
        <v>1569</v>
      </c>
      <c r="J532" t="s">
        <v>1644</v>
      </c>
      <c r="K532">
        <v>11226</v>
      </c>
      <c r="L532" t="s">
        <v>1671</v>
      </c>
      <c r="M532" t="s">
        <v>1670</v>
      </c>
      <c r="P532" t="s">
        <v>1961</v>
      </c>
      <c r="R532" t="s">
        <v>50</v>
      </c>
      <c r="S532" t="s">
        <v>1670</v>
      </c>
      <c r="U532" t="s">
        <v>1972</v>
      </c>
      <c r="W532" t="s">
        <v>376</v>
      </c>
      <c r="X532">
        <v>904.1900000000001</v>
      </c>
      <c r="Y532" t="s">
        <v>2009</v>
      </c>
      <c r="AB532" t="s">
        <v>2223</v>
      </c>
      <c r="AE532" t="s">
        <v>13051</v>
      </c>
      <c r="AH532">
        <v>38</v>
      </c>
      <c r="AI532">
        <v>1</v>
      </c>
      <c r="AJ532">
        <v>0</v>
      </c>
      <c r="AK532">
        <v>331.18</v>
      </c>
      <c r="AN532" t="s">
        <v>2926</v>
      </c>
      <c r="AO532">
        <v>41364.96</v>
      </c>
      <c r="AU532">
        <v>0.1</v>
      </c>
      <c r="AV532" t="s">
        <v>1999</v>
      </c>
      <c r="AW532" t="s">
        <v>158</v>
      </c>
    </row>
    <row r="533" spans="1:50">
      <c r="A533" s="1" t="s">
        <v>97</v>
      </c>
      <c r="B533" t="s">
        <v>163</v>
      </c>
      <c r="C533" t="s">
        <v>3743</v>
      </c>
      <c r="D533" t="s">
        <v>406</v>
      </c>
      <c r="F533" t="s">
        <v>7055</v>
      </c>
      <c r="G533" t="s">
        <v>8140</v>
      </c>
      <c r="H533" t="s">
        <v>9620</v>
      </c>
      <c r="I533">
        <v>34</v>
      </c>
      <c r="J533" t="s">
        <v>1643</v>
      </c>
      <c r="K533">
        <v>10034</v>
      </c>
      <c r="L533" t="s">
        <v>1670</v>
      </c>
      <c r="M533" t="s">
        <v>1670</v>
      </c>
      <c r="N533" t="s">
        <v>11978</v>
      </c>
      <c r="O533" t="s">
        <v>1936</v>
      </c>
      <c r="P533" t="s">
        <v>1960</v>
      </c>
      <c r="R533" t="s">
        <v>50</v>
      </c>
      <c r="S533" t="s">
        <v>1671</v>
      </c>
      <c r="U533" t="s">
        <v>1972</v>
      </c>
      <c r="W533" t="s">
        <v>199</v>
      </c>
      <c r="X533">
        <v>1450</v>
      </c>
      <c r="Y533" t="s">
        <v>2008</v>
      </c>
      <c r="Z533" t="s">
        <v>2024</v>
      </c>
      <c r="AB533" t="s">
        <v>13451</v>
      </c>
      <c r="AD533" t="s">
        <v>15991</v>
      </c>
      <c r="AE533">
        <v>55</v>
      </c>
      <c r="AF533" t="s">
        <v>2902</v>
      </c>
      <c r="AG533" t="s">
        <v>1754</v>
      </c>
      <c r="AH533">
        <v>3</v>
      </c>
      <c r="AI533">
        <v>1</v>
      </c>
      <c r="AJ533">
        <v>0</v>
      </c>
      <c r="AK533">
        <v>333.07</v>
      </c>
      <c r="AN533" t="s">
        <v>2927</v>
      </c>
      <c r="AO533">
        <v>41600</v>
      </c>
      <c r="AU533">
        <v>15.3</v>
      </c>
      <c r="AV533" t="s">
        <v>3031</v>
      </c>
      <c r="AW533" t="s">
        <v>18658</v>
      </c>
    </row>
    <row r="534" spans="1:50">
      <c r="A534" s="1" t="s">
        <v>97</v>
      </c>
      <c r="B534" t="s">
        <v>163</v>
      </c>
      <c r="C534" t="s">
        <v>3744</v>
      </c>
      <c r="D534" t="s">
        <v>249</v>
      </c>
      <c r="F534" t="s">
        <v>7056</v>
      </c>
      <c r="G534" t="s">
        <v>8141</v>
      </c>
      <c r="H534" t="s">
        <v>9621</v>
      </c>
      <c r="I534" t="s">
        <v>1578</v>
      </c>
      <c r="J534" t="s">
        <v>1643</v>
      </c>
      <c r="K534">
        <v>10033</v>
      </c>
      <c r="L534" t="s">
        <v>1670</v>
      </c>
      <c r="M534" t="s">
        <v>1672</v>
      </c>
      <c r="O534" t="s">
        <v>1941</v>
      </c>
      <c r="P534" t="s">
        <v>1958</v>
      </c>
      <c r="R534" t="s">
        <v>50</v>
      </c>
      <c r="S534" t="s">
        <v>1671</v>
      </c>
      <c r="U534" t="s">
        <v>1972</v>
      </c>
      <c r="W534" t="s">
        <v>249</v>
      </c>
      <c r="X534">
        <v>1850</v>
      </c>
      <c r="Y534" t="s">
        <v>2008</v>
      </c>
      <c r="Z534" t="s">
        <v>2013</v>
      </c>
      <c r="AB534" t="s">
        <v>13452</v>
      </c>
      <c r="AE534">
        <v>53</v>
      </c>
      <c r="AF534" t="s">
        <v>2902</v>
      </c>
      <c r="AG534" t="s">
        <v>1754</v>
      </c>
      <c r="AH534">
        <v>4</v>
      </c>
      <c r="AI534">
        <v>2</v>
      </c>
      <c r="AJ534">
        <v>1</v>
      </c>
      <c r="AK534">
        <v>334.23</v>
      </c>
      <c r="AN534" t="s">
        <v>2927</v>
      </c>
      <c r="AO534">
        <v>71292</v>
      </c>
      <c r="AU534">
        <v>1</v>
      </c>
      <c r="AV534" t="s">
        <v>290</v>
      </c>
      <c r="AW534" t="s">
        <v>3042</v>
      </c>
      <c r="AX534" t="s">
        <v>18685</v>
      </c>
    </row>
    <row r="535" spans="1:50">
      <c r="A535" s="1" t="s">
        <v>133</v>
      </c>
      <c r="B535" t="s">
        <v>163</v>
      </c>
      <c r="C535" t="s">
        <v>3745</v>
      </c>
      <c r="D535" t="s">
        <v>362</v>
      </c>
      <c r="F535" t="s">
        <v>7045</v>
      </c>
      <c r="G535" t="s">
        <v>8132</v>
      </c>
      <c r="H535" t="s">
        <v>9614</v>
      </c>
      <c r="I535" t="s">
        <v>11064</v>
      </c>
      <c r="J535" t="s">
        <v>1644</v>
      </c>
      <c r="K535">
        <v>11213</v>
      </c>
      <c r="L535" t="s">
        <v>1670</v>
      </c>
      <c r="M535" t="s">
        <v>1670</v>
      </c>
      <c r="N535" t="s">
        <v>1865</v>
      </c>
      <c r="O535" t="s">
        <v>1939</v>
      </c>
      <c r="P535" t="s">
        <v>1960</v>
      </c>
      <c r="R535" t="s">
        <v>50</v>
      </c>
      <c r="S535" t="s">
        <v>1670</v>
      </c>
      <c r="T535" t="s">
        <v>50</v>
      </c>
      <c r="U535" t="s">
        <v>1972</v>
      </c>
      <c r="W535" t="s">
        <v>232</v>
      </c>
      <c r="X535">
        <v>756</v>
      </c>
      <c r="Y535" t="s">
        <v>2009</v>
      </c>
      <c r="Z535" t="s">
        <v>2015</v>
      </c>
      <c r="AB535" t="s">
        <v>13438</v>
      </c>
      <c r="AD535" t="s">
        <v>15981</v>
      </c>
      <c r="AE535">
        <v>34</v>
      </c>
      <c r="AF535" t="s">
        <v>2902</v>
      </c>
      <c r="AG535" t="s">
        <v>1754</v>
      </c>
      <c r="AH535">
        <v>40</v>
      </c>
      <c r="AI535">
        <v>2</v>
      </c>
      <c r="AJ535">
        <v>0</v>
      </c>
      <c r="AK535">
        <v>335.36</v>
      </c>
      <c r="AN535" t="s">
        <v>2926</v>
      </c>
      <c r="AO535">
        <v>55200</v>
      </c>
      <c r="AU535">
        <v>0.75</v>
      </c>
      <c r="AV535" t="s">
        <v>165</v>
      </c>
      <c r="AW535" t="s">
        <v>3060</v>
      </c>
    </row>
    <row r="536" spans="1:50">
      <c r="A536" s="1" t="s">
        <v>101</v>
      </c>
      <c r="B536" t="s">
        <v>163</v>
      </c>
      <c r="C536" t="s">
        <v>3746</v>
      </c>
      <c r="D536" t="s">
        <v>385</v>
      </c>
      <c r="F536" t="s">
        <v>438</v>
      </c>
      <c r="G536" t="s">
        <v>8142</v>
      </c>
      <c r="H536" t="s">
        <v>1173</v>
      </c>
      <c r="I536" t="s">
        <v>1562</v>
      </c>
      <c r="J536" t="s">
        <v>1643</v>
      </c>
      <c r="K536">
        <v>10035</v>
      </c>
      <c r="L536" t="s">
        <v>1670</v>
      </c>
      <c r="M536" t="s">
        <v>1670</v>
      </c>
      <c r="O536" t="s">
        <v>1675</v>
      </c>
      <c r="P536" t="s">
        <v>1962</v>
      </c>
      <c r="R536" t="s">
        <v>50</v>
      </c>
      <c r="S536" t="s">
        <v>1670</v>
      </c>
      <c r="U536" t="s">
        <v>1972</v>
      </c>
      <c r="V536" t="s">
        <v>1984</v>
      </c>
      <c r="W536" t="s">
        <v>385</v>
      </c>
      <c r="X536">
        <v>1066.31</v>
      </c>
      <c r="Y536" t="s">
        <v>2008</v>
      </c>
      <c r="Z536" t="s">
        <v>2019</v>
      </c>
      <c r="AB536" t="s">
        <v>13453</v>
      </c>
      <c r="AE536">
        <v>60</v>
      </c>
      <c r="AF536" t="s">
        <v>2902</v>
      </c>
      <c r="AG536" t="s">
        <v>1754</v>
      </c>
      <c r="AH536">
        <v>15</v>
      </c>
      <c r="AI536">
        <v>3</v>
      </c>
      <c r="AJ536">
        <v>0</v>
      </c>
      <c r="AK536">
        <v>335.68</v>
      </c>
      <c r="AN536" t="s">
        <v>2926</v>
      </c>
      <c r="AO536">
        <v>71600</v>
      </c>
      <c r="AP536" t="s">
        <v>18085</v>
      </c>
      <c r="AU536" t="s">
        <v>13051</v>
      </c>
      <c r="AW536" t="s">
        <v>3051</v>
      </c>
      <c r="AX536" t="s">
        <v>18685</v>
      </c>
    </row>
    <row r="537" spans="1:50">
      <c r="A537" s="1" t="s">
        <v>65</v>
      </c>
      <c r="B537" t="s">
        <v>163</v>
      </c>
      <c r="C537" t="s">
        <v>3747</v>
      </c>
      <c r="D537" t="s">
        <v>382</v>
      </c>
      <c r="F537" t="s">
        <v>7057</v>
      </c>
      <c r="G537" t="s">
        <v>959</v>
      </c>
      <c r="H537" t="s">
        <v>1438</v>
      </c>
      <c r="J537" t="s">
        <v>1644</v>
      </c>
      <c r="K537">
        <v>11220</v>
      </c>
      <c r="L537" t="s">
        <v>1670</v>
      </c>
      <c r="M537" t="s">
        <v>1672</v>
      </c>
      <c r="N537" t="s">
        <v>11979</v>
      </c>
      <c r="O537" t="s">
        <v>1938</v>
      </c>
      <c r="P537" t="s">
        <v>1961</v>
      </c>
      <c r="R537" t="s">
        <v>50</v>
      </c>
      <c r="S537" t="s">
        <v>1670</v>
      </c>
      <c r="U537" t="s">
        <v>1972</v>
      </c>
      <c r="W537" t="s">
        <v>288</v>
      </c>
      <c r="X537">
        <v>1560</v>
      </c>
      <c r="Y537" t="s">
        <v>2009</v>
      </c>
      <c r="Z537" t="s">
        <v>2015</v>
      </c>
      <c r="AB537" t="s">
        <v>13454</v>
      </c>
      <c r="AE537">
        <v>12</v>
      </c>
      <c r="AF537" t="s">
        <v>2902</v>
      </c>
      <c r="AG537" t="s">
        <v>2915</v>
      </c>
      <c r="AH537">
        <v>34</v>
      </c>
      <c r="AI537">
        <v>1</v>
      </c>
      <c r="AJ537">
        <v>0</v>
      </c>
      <c r="AK537">
        <v>336.08</v>
      </c>
      <c r="AN537" t="s">
        <v>2926</v>
      </c>
      <c r="AO537">
        <v>40800</v>
      </c>
      <c r="AU537">
        <v>5.35</v>
      </c>
      <c r="AV537" t="s">
        <v>375</v>
      </c>
      <c r="AW537" t="s">
        <v>18661</v>
      </c>
      <c r="AX537" t="s">
        <v>18685</v>
      </c>
    </row>
    <row r="538" spans="1:50">
      <c r="A538" s="1" t="s">
        <v>3157</v>
      </c>
      <c r="B538" t="s">
        <v>164</v>
      </c>
      <c r="C538" t="s">
        <v>3748</v>
      </c>
      <c r="D538" t="s">
        <v>404</v>
      </c>
      <c r="E538" t="s">
        <v>379</v>
      </c>
      <c r="F538" t="s">
        <v>7058</v>
      </c>
      <c r="G538" t="s">
        <v>8143</v>
      </c>
      <c r="H538" t="s">
        <v>9622</v>
      </c>
      <c r="I538">
        <v>43</v>
      </c>
      <c r="J538" t="s">
        <v>1643</v>
      </c>
      <c r="K538">
        <v>10033</v>
      </c>
      <c r="L538" t="s">
        <v>1670</v>
      </c>
      <c r="M538" t="s">
        <v>1672</v>
      </c>
      <c r="O538" t="s">
        <v>1941</v>
      </c>
      <c r="P538" t="s">
        <v>1962</v>
      </c>
      <c r="Q538" t="s">
        <v>1968</v>
      </c>
      <c r="R538" t="s">
        <v>50</v>
      </c>
      <c r="S538" t="s">
        <v>1671</v>
      </c>
      <c r="U538" t="s">
        <v>1972</v>
      </c>
      <c r="W538" t="s">
        <v>404</v>
      </c>
      <c r="X538">
        <v>2900</v>
      </c>
      <c r="Y538" t="s">
        <v>2008</v>
      </c>
      <c r="Z538" t="s">
        <v>2013</v>
      </c>
      <c r="AA538" t="s">
        <v>2029</v>
      </c>
      <c r="AB538" t="s">
        <v>13455</v>
      </c>
      <c r="AE538">
        <v>54</v>
      </c>
      <c r="AF538" t="s">
        <v>2902</v>
      </c>
      <c r="AG538" t="s">
        <v>1754</v>
      </c>
      <c r="AH538">
        <v>3</v>
      </c>
      <c r="AI538">
        <v>1</v>
      </c>
      <c r="AJ538">
        <v>0</v>
      </c>
      <c r="AK538">
        <v>336.27</v>
      </c>
      <c r="AN538" t="s">
        <v>2926</v>
      </c>
      <c r="AO538">
        <v>42000</v>
      </c>
      <c r="AU538">
        <v>0.25</v>
      </c>
      <c r="AV538" t="s">
        <v>379</v>
      </c>
      <c r="AW538" t="s">
        <v>3042</v>
      </c>
      <c r="AX538" t="s">
        <v>18685</v>
      </c>
    </row>
    <row r="539" spans="1:50">
      <c r="A539" s="1" t="s">
        <v>82</v>
      </c>
      <c r="B539" t="s">
        <v>163</v>
      </c>
      <c r="C539" t="s">
        <v>3749</v>
      </c>
      <c r="D539" t="s">
        <v>181</v>
      </c>
      <c r="F539" t="s">
        <v>7059</v>
      </c>
      <c r="G539" t="s">
        <v>8144</v>
      </c>
      <c r="H539" t="s">
        <v>1144</v>
      </c>
      <c r="I539" t="s">
        <v>11067</v>
      </c>
      <c r="J539" t="s">
        <v>1644</v>
      </c>
      <c r="K539">
        <v>11233</v>
      </c>
      <c r="L539" t="s">
        <v>1670</v>
      </c>
      <c r="M539" t="s">
        <v>1670</v>
      </c>
      <c r="N539" t="s">
        <v>1754</v>
      </c>
      <c r="O539" t="s">
        <v>1937</v>
      </c>
      <c r="P539" t="s">
        <v>1962</v>
      </c>
      <c r="R539" t="s">
        <v>50</v>
      </c>
      <c r="S539" t="s">
        <v>1670</v>
      </c>
      <c r="U539" t="s">
        <v>1972</v>
      </c>
      <c r="V539" t="s">
        <v>1984</v>
      </c>
      <c r="W539" t="s">
        <v>221</v>
      </c>
      <c r="X539">
        <v>583.25</v>
      </c>
      <c r="Y539" t="s">
        <v>2009</v>
      </c>
      <c r="AB539" t="s">
        <v>13456</v>
      </c>
      <c r="AD539" t="s">
        <v>15992</v>
      </c>
      <c r="AE539">
        <v>359</v>
      </c>
      <c r="AF539" t="s">
        <v>2902</v>
      </c>
      <c r="AG539" t="s">
        <v>1754</v>
      </c>
      <c r="AH539" t="s">
        <v>13051</v>
      </c>
      <c r="AI539">
        <v>1</v>
      </c>
      <c r="AJ539">
        <v>0</v>
      </c>
      <c r="AK539">
        <v>336.27</v>
      </c>
      <c r="AN539" t="s">
        <v>2926</v>
      </c>
      <c r="AO539">
        <v>42000</v>
      </c>
      <c r="AP539" t="s">
        <v>18157</v>
      </c>
      <c r="AU539" t="s">
        <v>13051</v>
      </c>
      <c r="AW539" t="s">
        <v>3060</v>
      </c>
    </row>
    <row r="540" spans="1:50">
      <c r="A540" s="1" t="s">
        <v>127</v>
      </c>
      <c r="B540" t="s">
        <v>163</v>
      </c>
      <c r="C540" t="s">
        <v>3750</v>
      </c>
      <c r="D540" t="s">
        <v>326</v>
      </c>
      <c r="F540" t="s">
        <v>972</v>
      </c>
      <c r="G540" t="s">
        <v>8145</v>
      </c>
      <c r="H540" t="s">
        <v>9623</v>
      </c>
      <c r="I540" t="s">
        <v>1506</v>
      </c>
      <c r="J540" t="s">
        <v>1644</v>
      </c>
      <c r="K540">
        <v>11212</v>
      </c>
      <c r="L540" t="s">
        <v>1670</v>
      </c>
      <c r="M540" t="s">
        <v>1670</v>
      </c>
      <c r="O540" t="s">
        <v>1946</v>
      </c>
      <c r="P540" t="s">
        <v>1964</v>
      </c>
      <c r="R540" t="s">
        <v>50</v>
      </c>
      <c r="S540" t="s">
        <v>1670</v>
      </c>
      <c r="U540" t="s">
        <v>1972</v>
      </c>
      <c r="W540" t="s">
        <v>326</v>
      </c>
      <c r="X540">
        <v>1122</v>
      </c>
      <c r="Y540" t="s">
        <v>2009</v>
      </c>
      <c r="Z540" t="s">
        <v>2016</v>
      </c>
      <c r="AB540" t="s">
        <v>13364</v>
      </c>
      <c r="AE540" t="s">
        <v>13051</v>
      </c>
      <c r="AF540" t="s">
        <v>2902</v>
      </c>
      <c r="AH540">
        <v>3</v>
      </c>
      <c r="AI540">
        <v>2</v>
      </c>
      <c r="AJ540">
        <v>0</v>
      </c>
      <c r="AK540">
        <v>336.72</v>
      </c>
      <c r="AL540" t="s">
        <v>399</v>
      </c>
      <c r="AM540" t="s">
        <v>18031</v>
      </c>
      <c r="AN540" t="s">
        <v>2926</v>
      </c>
      <c r="AO540">
        <v>56940</v>
      </c>
      <c r="AU540" t="s">
        <v>13051</v>
      </c>
      <c r="AW540" t="s">
        <v>3059</v>
      </c>
    </row>
    <row r="541" spans="1:50">
      <c r="A541" s="1" t="s">
        <v>63</v>
      </c>
      <c r="B541" t="s">
        <v>163</v>
      </c>
      <c r="C541" t="s">
        <v>3751</v>
      </c>
      <c r="D541" t="s">
        <v>350</v>
      </c>
      <c r="F541" t="s">
        <v>7060</v>
      </c>
      <c r="G541" t="s">
        <v>8146</v>
      </c>
      <c r="H541" t="s">
        <v>9624</v>
      </c>
      <c r="I541" t="s">
        <v>1541</v>
      </c>
      <c r="J541" t="s">
        <v>1641</v>
      </c>
      <c r="K541">
        <v>10452</v>
      </c>
      <c r="L541" t="s">
        <v>1670</v>
      </c>
      <c r="M541" t="s">
        <v>1670</v>
      </c>
      <c r="O541" t="s">
        <v>1940</v>
      </c>
      <c r="P541" t="s">
        <v>1962</v>
      </c>
      <c r="R541" t="s">
        <v>50</v>
      </c>
      <c r="S541" t="s">
        <v>1671</v>
      </c>
      <c r="U541" t="s">
        <v>1972</v>
      </c>
      <c r="W541" t="s">
        <v>1991</v>
      </c>
      <c r="X541">
        <v>1181.64</v>
      </c>
      <c r="Y541" t="s">
        <v>2006</v>
      </c>
      <c r="Z541" t="s">
        <v>2015</v>
      </c>
      <c r="AB541" t="s">
        <v>13457</v>
      </c>
      <c r="AE541">
        <v>52</v>
      </c>
      <c r="AF541" t="s">
        <v>2902</v>
      </c>
      <c r="AG541" t="s">
        <v>1754</v>
      </c>
      <c r="AH541">
        <v>4</v>
      </c>
      <c r="AI541">
        <v>1</v>
      </c>
      <c r="AJ541">
        <v>0</v>
      </c>
      <c r="AK541">
        <v>337.07</v>
      </c>
      <c r="AN541" t="s">
        <v>2926</v>
      </c>
      <c r="AO541">
        <v>42100</v>
      </c>
      <c r="AP541" t="s">
        <v>18158</v>
      </c>
      <c r="AU541">
        <v>4.6</v>
      </c>
      <c r="AV541" t="s">
        <v>379</v>
      </c>
      <c r="AW541" t="s">
        <v>3046</v>
      </c>
      <c r="AX541" t="s">
        <v>18685</v>
      </c>
    </row>
    <row r="542" spans="1:50">
      <c r="A542" s="1" t="s">
        <v>72</v>
      </c>
      <c r="B542" t="s">
        <v>164</v>
      </c>
      <c r="C542" t="s">
        <v>3752</v>
      </c>
      <c r="D542" t="s">
        <v>242</v>
      </c>
      <c r="E542" t="s">
        <v>295</v>
      </c>
      <c r="F542" t="s">
        <v>7061</v>
      </c>
      <c r="G542" t="s">
        <v>8147</v>
      </c>
      <c r="H542" t="s">
        <v>9625</v>
      </c>
      <c r="I542" t="s">
        <v>11068</v>
      </c>
      <c r="J542" t="s">
        <v>1643</v>
      </c>
      <c r="K542">
        <v>10029</v>
      </c>
      <c r="L542" t="s">
        <v>1670</v>
      </c>
      <c r="M542" t="s">
        <v>1670</v>
      </c>
      <c r="O542" t="s">
        <v>12744</v>
      </c>
      <c r="P542" t="s">
        <v>1961</v>
      </c>
      <c r="Q542" t="s">
        <v>1969</v>
      </c>
      <c r="R542" t="s">
        <v>50</v>
      </c>
      <c r="S542" t="s">
        <v>1671</v>
      </c>
      <c r="U542" t="s">
        <v>1972</v>
      </c>
      <c r="V542" t="s">
        <v>1984</v>
      </c>
      <c r="W542" t="s">
        <v>298</v>
      </c>
      <c r="X542">
        <v>1123</v>
      </c>
      <c r="Y542" t="s">
        <v>2008</v>
      </c>
      <c r="Z542" t="s">
        <v>2024</v>
      </c>
      <c r="AA542" t="s">
        <v>2034</v>
      </c>
      <c r="AB542" t="s">
        <v>13458</v>
      </c>
      <c r="AD542" t="s">
        <v>15993</v>
      </c>
      <c r="AE542">
        <v>180</v>
      </c>
      <c r="AF542" t="s">
        <v>2906</v>
      </c>
      <c r="AG542" t="s">
        <v>1754</v>
      </c>
      <c r="AH542">
        <v>54</v>
      </c>
      <c r="AI542">
        <v>2</v>
      </c>
      <c r="AJ542">
        <v>0</v>
      </c>
      <c r="AK542">
        <v>340</v>
      </c>
      <c r="AL542" t="s">
        <v>271</v>
      </c>
      <c r="AM542" t="s">
        <v>18031</v>
      </c>
      <c r="AN542" t="s">
        <v>2926</v>
      </c>
      <c r="AO542">
        <v>55964</v>
      </c>
      <c r="AQ542" t="s">
        <v>2976</v>
      </c>
      <c r="AS542" t="s">
        <v>2993</v>
      </c>
      <c r="AT542" t="s">
        <v>18513</v>
      </c>
      <c r="AU542">
        <v>55.5</v>
      </c>
      <c r="AV542" t="s">
        <v>403</v>
      </c>
      <c r="AW542" t="s">
        <v>18658</v>
      </c>
      <c r="AX542" t="s">
        <v>18685</v>
      </c>
    </row>
    <row r="543" spans="1:50">
      <c r="A543" s="1" t="s">
        <v>147</v>
      </c>
      <c r="B543" t="s">
        <v>163</v>
      </c>
      <c r="C543" t="s">
        <v>3753</v>
      </c>
      <c r="D543" t="s">
        <v>290</v>
      </c>
      <c r="F543" t="s">
        <v>7062</v>
      </c>
      <c r="G543" t="s">
        <v>8148</v>
      </c>
      <c r="H543" t="s">
        <v>1199</v>
      </c>
      <c r="I543">
        <v>801</v>
      </c>
      <c r="J543" t="s">
        <v>1643</v>
      </c>
      <c r="K543">
        <v>10029</v>
      </c>
      <c r="L543" t="s">
        <v>1670</v>
      </c>
      <c r="M543" t="s">
        <v>1672</v>
      </c>
      <c r="O543" t="s">
        <v>1944</v>
      </c>
      <c r="P543" t="s">
        <v>1959</v>
      </c>
      <c r="R543" t="s">
        <v>50</v>
      </c>
      <c r="S543" t="s">
        <v>1671</v>
      </c>
      <c r="U543" t="s">
        <v>1976</v>
      </c>
      <c r="V543" t="s">
        <v>1984</v>
      </c>
      <c r="W543" t="s">
        <v>290</v>
      </c>
      <c r="X543">
        <v>987</v>
      </c>
      <c r="Y543" t="s">
        <v>2008</v>
      </c>
      <c r="Z543" t="s">
        <v>2021</v>
      </c>
      <c r="AB543" t="s">
        <v>13459</v>
      </c>
      <c r="AD543" t="s">
        <v>15994</v>
      </c>
      <c r="AE543">
        <v>108</v>
      </c>
      <c r="AF543" t="s">
        <v>2909</v>
      </c>
      <c r="AG543" t="s">
        <v>2915</v>
      </c>
      <c r="AH543">
        <v>20</v>
      </c>
      <c r="AI543">
        <v>1</v>
      </c>
      <c r="AJ543">
        <v>0</v>
      </c>
      <c r="AK543">
        <v>340.27</v>
      </c>
      <c r="AN543" t="s">
        <v>2926</v>
      </c>
      <c r="AO543">
        <v>42500</v>
      </c>
      <c r="AU543">
        <v>6.25</v>
      </c>
      <c r="AV543" t="s">
        <v>396</v>
      </c>
      <c r="AW543" t="s">
        <v>3051</v>
      </c>
      <c r="AX543" t="s">
        <v>18685</v>
      </c>
    </row>
    <row r="544" spans="1:50">
      <c r="A544" s="1" t="s">
        <v>73</v>
      </c>
      <c r="B544" t="s">
        <v>163</v>
      </c>
      <c r="C544" t="s">
        <v>3754</v>
      </c>
      <c r="D544" t="s">
        <v>217</v>
      </c>
      <c r="F544" t="s">
        <v>454</v>
      </c>
      <c r="G544" t="s">
        <v>8145</v>
      </c>
      <c r="H544" t="s">
        <v>1293</v>
      </c>
      <c r="I544">
        <v>10</v>
      </c>
      <c r="J544" t="s">
        <v>1645</v>
      </c>
      <c r="K544">
        <v>11691</v>
      </c>
      <c r="L544" t="s">
        <v>1670</v>
      </c>
      <c r="M544" t="s">
        <v>1670</v>
      </c>
      <c r="O544" t="s">
        <v>1938</v>
      </c>
      <c r="P544" t="s">
        <v>1962</v>
      </c>
      <c r="R544" t="s">
        <v>50</v>
      </c>
      <c r="S544" t="s">
        <v>1670</v>
      </c>
      <c r="U544" t="s">
        <v>1972</v>
      </c>
      <c r="W544" t="s">
        <v>217</v>
      </c>
      <c r="X544">
        <v>660</v>
      </c>
      <c r="Y544" t="s">
        <v>2007</v>
      </c>
      <c r="AB544" t="s">
        <v>13460</v>
      </c>
      <c r="AD544" t="s">
        <v>15995</v>
      </c>
      <c r="AE544">
        <v>43</v>
      </c>
      <c r="AH544">
        <v>10</v>
      </c>
      <c r="AI544">
        <v>2</v>
      </c>
      <c r="AJ544">
        <v>0</v>
      </c>
      <c r="AK544">
        <v>340.63</v>
      </c>
      <c r="AN544" t="s">
        <v>2926</v>
      </c>
      <c r="AO544">
        <v>57600</v>
      </c>
      <c r="AU544" t="s">
        <v>13051</v>
      </c>
      <c r="AW544" t="s">
        <v>3073</v>
      </c>
    </row>
    <row r="545" spans="1:50">
      <c r="A545" s="1" t="s">
        <v>73</v>
      </c>
      <c r="B545" t="s">
        <v>163</v>
      </c>
      <c r="C545" t="s">
        <v>3755</v>
      </c>
      <c r="D545" t="s">
        <v>217</v>
      </c>
      <c r="F545" t="s">
        <v>454</v>
      </c>
      <c r="G545" t="s">
        <v>8145</v>
      </c>
      <c r="H545" t="s">
        <v>1293</v>
      </c>
      <c r="I545">
        <v>10</v>
      </c>
      <c r="J545" t="s">
        <v>1645</v>
      </c>
      <c r="K545">
        <v>11691</v>
      </c>
      <c r="L545" t="s">
        <v>1670</v>
      </c>
      <c r="M545" t="s">
        <v>1670</v>
      </c>
      <c r="O545" t="s">
        <v>1938</v>
      </c>
      <c r="P545" t="s">
        <v>1962</v>
      </c>
      <c r="R545" t="s">
        <v>50</v>
      </c>
      <c r="S545" t="s">
        <v>1670</v>
      </c>
      <c r="U545" t="s">
        <v>1972</v>
      </c>
      <c r="W545" t="s">
        <v>217</v>
      </c>
      <c r="X545">
        <v>660</v>
      </c>
      <c r="Y545" t="s">
        <v>2007</v>
      </c>
      <c r="Z545" t="s">
        <v>2014</v>
      </c>
      <c r="AB545" t="s">
        <v>13460</v>
      </c>
      <c r="AD545" t="s">
        <v>15995</v>
      </c>
      <c r="AE545">
        <v>43</v>
      </c>
      <c r="AH545">
        <v>10</v>
      </c>
      <c r="AI545">
        <v>2</v>
      </c>
      <c r="AJ545">
        <v>0</v>
      </c>
      <c r="AK545">
        <v>340.63</v>
      </c>
      <c r="AN545" t="s">
        <v>2926</v>
      </c>
      <c r="AO545">
        <v>57600</v>
      </c>
      <c r="AU545" t="s">
        <v>13051</v>
      </c>
      <c r="AW545" t="s">
        <v>3073</v>
      </c>
    </row>
    <row r="546" spans="1:50">
      <c r="A546" s="1" t="s">
        <v>123</v>
      </c>
      <c r="B546" t="s">
        <v>163</v>
      </c>
      <c r="C546" t="s">
        <v>3756</v>
      </c>
      <c r="D546" t="s">
        <v>191</v>
      </c>
      <c r="F546" t="s">
        <v>7063</v>
      </c>
      <c r="G546" t="s">
        <v>870</v>
      </c>
      <c r="H546" t="s">
        <v>9626</v>
      </c>
      <c r="I546" t="s">
        <v>1584</v>
      </c>
      <c r="J546" t="s">
        <v>1641</v>
      </c>
      <c r="K546">
        <v>10467</v>
      </c>
      <c r="L546" t="s">
        <v>1670</v>
      </c>
      <c r="M546" t="s">
        <v>1672</v>
      </c>
      <c r="N546" t="s">
        <v>11980</v>
      </c>
      <c r="O546" t="s">
        <v>1942</v>
      </c>
      <c r="P546" t="s">
        <v>1961</v>
      </c>
      <c r="R546" t="s">
        <v>50</v>
      </c>
      <c r="S546" t="s">
        <v>1671</v>
      </c>
      <c r="U546" t="s">
        <v>1973</v>
      </c>
      <c r="W546" t="s">
        <v>191</v>
      </c>
      <c r="X546">
        <v>1350</v>
      </c>
      <c r="Y546" t="s">
        <v>2006</v>
      </c>
      <c r="Z546" t="s">
        <v>2013</v>
      </c>
      <c r="AB546" t="s">
        <v>13461</v>
      </c>
      <c r="AD546" t="s">
        <v>15996</v>
      </c>
      <c r="AE546" t="s">
        <v>13051</v>
      </c>
      <c r="AF546" t="s">
        <v>2903</v>
      </c>
      <c r="AG546" t="s">
        <v>2915</v>
      </c>
      <c r="AH546">
        <v>18</v>
      </c>
      <c r="AI546">
        <v>1</v>
      </c>
      <c r="AJ546">
        <v>0</v>
      </c>
      <c r="AK546">
        <v>340.83</v>
      </c>
      <c r="AL546" t="s">
        <v>399</v>
      </c>
      <c r="AM546" t="s">
        <v>18031</v>
      </c>
      <c r="AN546" t="s">
        <v>2926</v>
      </c>
      <c r="AO546">
        <v>42570</v>
      </c>
      <c r="AP546" t="s">
        <v>18159</v>
      </c>
      <c r="AU546">
        <v>1.6</v>
      </c>
      <c r="AV546" t="s">
        <v>389</v>
      </c>
      <c r="AW546" t="s">
        <v>123</v>
      </c>
      <c r="AX546" t="s">
        <v>18685</v>
      </c>
    </row>
    <row r="547" spans="1:50">
      <c r="A547" s="1" t="s">
        <v>126</v>
      </c>
      <c r="B547" t="s">
        <v>163</v>
      </c>
      <c r="C547" t="s">
        <v>3757</v>
      </c>
      <c r="D547" t="s">
        <v>371</v>
      </c>
      <c r="F547" t="s">
        <v>695</v>
      </c>
      <c r="G547" t="s">
        <v>7995</v>
      </c>
      <c r="H547" t="s">
        <v>9627</v>
      </c>
      <c r="I547" t="s">
        <v>11069</v>
      </c>
      <c r="J547" t="s">
        <v>1641</v>
      </c>
      <c r="K547">
        <v>10451</v>
      </c>
      <c r="L547" t="s">
        <v>1670</v>
      </c>
      <c r="M547" t="s">
        <v>1670</v>
      </c>
      <c r="N547" t="s">
        <v>11981</v>
      </c>
      <c r="O547" t="s">
        <v>1939</v>
      </c>
      <c r="P547" t="s">
        <v>1960</v>
      </c>
      <c r="R547" t="s">
        <v>50</v>
      </c>
      <c r="S547" t="s">
        <v>1670</v>
      </c>
      <c r="U547" t="s">
        <v>1972</v>
      </c>
      <c r="W547" t="s">
        <v>359</v>
      </c>
      <c r="X547">
        <v>1750</v>
      </c>
      <c r="Y547" t="s">
        <v>2006</v>
      </c>
      <c r="Z547" t="s">
        <v>2015</v>
      </c>
      <c r="AB547" t="s">
        <v>13462</v>
      </c>
      <c r="AD547" t="s">
        <v>15997</v>
      </c>
      <c r="AE547">
        <v>100</v>
      </c>
      <c r="AF547" t="s">
        <v>2908</v>
      </c>
      <c r="AG547" t="s">
        <v>1754</v>
      </c>
      <c r="AH547">
        <v>2</v>
      </c>
      <c r="AI547">
        <v>4</v>
      </c>
      <c r="AJ547">
        <v>0</v>
      </c>
      <c r="AK547">
        <v>341.04</v>
      </c>
      <c r="AN547" t="s">
        <v>2927</v>
      </c>
      <c r="AO547">
        <v>85600</v>
      </c>
      <c r="AU547" t="s">
        <v>13051</v>
      </c>
      <c r="AW547" t="s">
        <v>3047</v>
      </c>
    </row>
    <row r="548" spans="1:50">
      <c r="A548" s="1" t="s">
        <v>63</v>
      </c>
      <c r="B548" t="s">
        <v>163</v>
      </c>
      <c r="C548" t="s">
        <v>3758</v>
      </c>
      <c r="D548" t="s">
        <v>231</v>
      </c>
      <c r="F548" t="s">
        <v>6805</v>
      </c>
      <c r="G548" t="s">
        <v>7371</v>
      </c>
      <c r="H548" t="s">
        <v>1227</v>
      </c>
      <c r="I548" t="s">
        <v>1580</v>
      </c>
      <c r="J548" t="s">
        <v>1641</v>
      </c>
      <c r="K548">
        <v>10463</v>
      </c>
      <c r="L548" t="s">
        <v>1670</v>
      </c>
      <c r="M548" t="s">
        <v>1670</v>
      </c>
      <c r="N548" t="s">
        <v>1763</v>
      </c>
      <c r="O548" t="s">
        <v>1939</v>
      </c>
      <c r="P548" t="s">
        <v>1960</v>
      </c>
      <c r="R548" t="s">
        <v>50</v>
      </c>
      <c r="S548" t="s">
        <v>1670</v>
      </c>
      <c r="U548" t="s">
        <v>1972</v>
      </c>
      <c r="W548" t="s">
        <v>359</v>
      </c>
      <c r="X548">
        <v>1047.38</v>
      </c>
      <c r="Y548" t="s">
        <v>2006</v>
      </c>
      <c r="Z548" t="s">
        <v>2015</v>
      </c>
      <c r="AB548" t="s">
        <v>13463</v>
      </c>
      <c r="AE548">
        <v>55</v>
      </c>
      <c r="AF548" t="s">
        <v>2902</v>
      </c>
      <c r="AG548" t="s">
        <v>1754</v>
      </c>
      <c r="AH548">
        <v>4</v>
      </c>
      <c r="AI548">
        <v>1</v>
      </c>
      <c r="AJ548">
        <v>0</v>
      </c>
      <c r="AK548">
        <v>342.77</v>
      </c>
      <c r="AN548" t="s">
        <v>2926</v>
      </c>
      <c r="AO548">
        <v>41611.74</v>
      </c>
      <c r="AP548" t="s">
        <v>18146</v>
      </c>
      <c r="AU548" t="s">
        <v>13051</v>
      </c>
      <c r="AW548" t="s">
        <v>3054</v>
      </c>
    </row>
    <row r="549" spans="1:50">
      <c r="A549" s="1" t="s">
        <v>71</v>
      </c>
      <c r="B549" t="s">
        <v>163</v>
      </c>
      <c r="C549" t="s">
        <v>3759</v>
      </c>
      <c r="D549" t="s">
        <v>3032</v>
      </c>
      <c r="F549" t="s">
        <v>6911</v>
      </c>
      <c r="G549" t="s">
        <v>1043</v>
      </c>
      <c r="H549" t="s">
        <v>9628</v>
      </c>
      <c r="I549" t="s">
        <v>1622</v>
      </c>
      <c r="J549" t="s">
        <v>1646</v>
      </c>
      <c r="K549">
        <v>10301</v>
      </c>
      <c r="L549" t="s">
        <v>1670</v>
      </c>
      <c r="M549" t="s">
        <v>1670</v>
      </c>
      <c r="N549" t="s">
        <v>1693</v>
      </c>
      <c r="O549" t="s">
        <v>1937</v>
      </c>
      <c r="P549" t="s">
        <v>1959</v>
      </c>
      <c r="R549" t="s">
        <v>50</v>
      </c>
      <c r="S549" t="s">
        <v>1670</v>
      </c>
      <c r="U549" t="s">
        <v>1972</v>
      </c>
      <c r="V549" t="s">
        <v>1984</v>
      </c>
      <c r="W549" t="s">
        <v>200</v>
      </c>
      <c r="X549" t="s">
        <v>13051</v>
      </c>
      <c r="Y549" t="s">
        <v>2010</v>
      </c>
      <c r="Z549" t="s">
        <v>2020</v>
      </c>
      <c r="AB549" t="s">
        <v>13464</v>
      </c>
      <c r="AD549" t="s">
        <v>15998</v>
      </c>
      <c r="AE549">
        <v>100</v>
      </c>
      <c r="AF549" t="s">
        <v>2902</v>
      </c>
      <c r="AG549" t="s">
        <v>1754</v>
      </c>
      <c r="AH549">
        <v>3</v>
      </c>
      <c r="AI549">
        <v>2</v>
      </c>
      <c r="AJ549">
        <v>1</v>
      </c>
      <c r="AK549">
        <v>342.8</v>
      </c>
      <c r="AL549" t="s">
        <v>18026</v>
      </c>
      <c r="AM549" t="s">
        <v>18031</v>
      </c>
      <c r="AN549" t="s">
        <v>2926</v>
      </c>
      <c r="AO549">
        <v>70000</v>
      </c>
      <c r="AU549">
        <v>2.2</v>
      </c>
      <c r="AV549" t="s">
        <v>210</v>
      </c>
      <c r="AW549" t="s">
        <v>112</v>
      </c>
    </row>
    <row r="550" spans="1:50">
      <c r="A550" s="1" t="s">
        <v>82</v>
      </c>
      <c r="B550" t="s">
        <v>163</v>
      </c>
      <c r="C550" t="s">
        <v>3760</v>
      </c>
      <c r="D550" t="s">
        <v>286</v>
      </c>
      <c r="F550" t="s">
        <v>7064</v>
      </c>
      <c r="G550" t="s">
        <v>877</v>
      </c>
      <c r="H550" t="s">
        <v>9442</v>
      </c>
      <c r="I550" t="s">
        <v>11070</v>
      </c>
      <c r="J550" t="s">
        <v>1644</v>
      </c>
      <c r="K550">
        <v>11233</v>
      </c>
      <c r="L550" t="s">
        <v>1670</v>
      </c>
      <c r="M550" t="s">
        <v>1671</v>
      </c>
      <c r="O550" t="s">
        <v>1937</v>
      </c>
      <c r="P550" t="s">
        <v>1962</v>
      </c>
      <c r="R550" t="s">
        <v>50</v>
      </c>
      <c r="S550" t="s">
        <v>1670</v>
      </c>
      <c r="U550" t="s">
        <v>1972</v>
      </c>
      <c r="V550" t="s">
        <v>1984</v>
      </c>
      <c r="W550" t="s">
        <v>221</v>
      </c>
      <c r="X550">
        <v>833</v>
      </c>
      <c r="Y550" t="s">
        <v>2009</v>
      </c>
      <c r="Z550" t="s">
        <v>2017</v>
      </c>
      <c r="AB550" t="s">
        <v>13465</v>
      </c>
      <c r="AE550" t="s">
        <v>13051</v>
      </c>
      <c r="AF550" t="s">
        <v>2902</v>
      </c>
      <c r="AH550">
        <v>1</v>
      </c>
      <c r="AI550">
        <v>1</v>
      </c>
      <c r="AJ550">
        <v>0</v>
      </c>
      <c r="AK550">
        <v>344.28</v>
      </c>
      <c r="AL550" t="s">
        <v>365</v>
      </c>
      <c r="AM550" t="s">
        <v>18031</v>
      </c>
      <c r="AN550" t="s">
        <v>2926</v>
      </c>
      <c r="AO550">
        <v>43000</v>
      </c>
      <c r="AP550" t="s">
        <v>18160</v>
      </c>
      <c r="AU550" t="s">
        <v>13051</v>
      </c>
      <c r="AW550" t="s">
        <v>3059</v>
      </c>
    </row>
    <row r="551" spans="1:50">
      <c r="A551" s="1" t="s">
        <v>82</v>
      </c>
      <c r="B551" t="s">
        <v>163</v>
      </c>
      <c r="C551" t="s">
        <v>3761</v>
      </c>
      <c r="D551" t="s">
        <v>286</v>
      </c>
      <c r="F551" t="s">
        <v>7064</v>
      </c>
      <c r="G551" t="s">
        <v>877</v>
      </c>
      <c r="H551" t="s">
        <v>9442</v>
      </c>
      <c r="I551" t="s">
        <v>11070</v>
      </c>
      <c r="J551" t="s">
        <v>1644</v>
      </c>
      <c r="K551">
        <v>11233</v>
      </c>
      <c r="L551" t="s">
        <v>1670</v>
      </c>
      <c r="M551" t="s">
        <v>1671</v>
      </c>
      <c r="O551" t="s">
        <v>1938</v>
      </c>
      <c r="P551" t="s">
        <v>1961</v>
      </c>
      <c r="R551" t="s">
        <v>50</v>
      </c>
      <c r="S551" t="s">
        <v>1670</v>
      </c>
      <c r="U551" t="s">
        <v>1972</v>
      </c>
      <c r="V551" t="s">
        <v>1984</v>
      </c>
      <c r="W551" t="s">
        <v>248</v>
      </c>
      <c r="X551">
        <v>833</v>
      </c>
      <c r="Y551" t="s">
        <v>2009</v>
      </c>
      <c r="Z551" t="s">
        <v>2017</v>
      </c>
      <c r="AB551" t="s">
        <v>13465</v>
      </c>
      <c r="AE551">
        <v>359</v>
      </c>
      <c r="AF551" t="s">
        <v>2902</v>
      </c>
      <c r="AH551">
        <v>1</v>
      </c>
      <c r="AI551">
        <v>1</v>
      </c>
      <c r="AJ551">
        <v>0</v>
      </c>
      <c r="AK551">
        <v>344.28</v>
      </c>
      <c r="AL551" t="s">
        <v>365</v>
      </c>
      <c r="AM551" t="s">
        <v>18031</v>
      </c>
      <c r="AN551" t="s">
        <v>2926</v>
      </c>
      <c r="AO551">
        <v>43000</v>
      </c>
      <c r="AP551" t="s">
        <v>18071</v>
      </c>
      <c r="AU551" t="s">
        <v>13051</v>
      </c>
      <c r="AW551" t="s">
        <v>3059</v>
      </c>
    </row>
    <row r="552" spans="1:50">
      <c r="A552" s="1" t="s">
        <v>153</v>
      </c>
      <c r="B552" t="s">
        <v>164</v>
      </c>
      <c r="C552" t="s">
        <v>3762</v>
      </c>
      <c r="D552" t="s">
        <v>184</v>
      </c>
      <c r="E552" t="s">
        <v>188</v>
      </c>
      <c r="F552" t="s">
        <v>7065</v>
      </c>
      <c r="G552" t="s">
        <v>8149</v>
      </c>
      <c r="H552" t="s">
        <v>9629</v>
      </c>
      <c r="I552" t="s">
        <v>11071</v>
      </c>
      <c r="J552" t="s">
        <v>11741</v>
      </c>
      <c r="K552">
        <v>10467</v>
      </c>
      <c r="L552" t="s">
        <v>1670</v>
      </c>
      <c r="M552" t="s">
        <v>1670</v>
      </c>
      <c r="N552" t="s">
        <v>11982</v>
      </c>
      <c r="O552" t="s">
        <v>1940</v>
      </c>
      <c r="P552" t="s">
        <v>1960</v>
      </c>
      <c r="Q552" t="s">
        <v>13024</v>
      </c>
      <c r="R552" t="s">
        <v>50</v>
      </c>
      <c r="S552" t="s">
        <v>1671</v>
      </c>
      <c r="U552" t="s">
        <v>1972</v>
      </c>
      <c r="V552" t="s">
        <v>1983</v>
      </c>
      <c r="W552" t="s">
        <v>1992</v>
      </c>
      <c r="X552">
        <v>840.63</v>
      </c>
      <c r="Y552" t="s">
        <v>2006</v>
      </c>
      <c r="Z552" t="s">
        <v>2014</v>
      </c>
      <c r="AA552" t="s">
        <v>2033</v>
      </c>
      <c r="AB552" t="s">
        <v>13466</v>
      </c>
      <c r="AD552" t="s">
        <v>15999</v>
      </c>
      <c r="AE552">
        <v>66</v>
      </c>
      <c r="AF552" t="s">
        <v>2908</v>
      </c>
      <c r="AG552" t="s">
        <v>1754</v>
      </c>
      <c r="AH552">
        <v>60</v>
      </c>
      <c r="AI552">
        <v>1</v>
      </c>
      <c r="AJ552">
        <v>0</v>
      </c>
      <c r="AK552">
        <v>345.07</v>
      </c>
      <c r="AL552" t="s">
        <v>271</v>
      </c>
      <c r="AM552" t="s">
        <v>18031</v>
      </c>
      <c r="AN552" t="s">
        <v>2926</v>
      </c>
      <c r="AO552">
        <v>41892</v>
      </c>
      <c r="AP552" t="s">
        <v>18072</v>
      </c>
      <c r="AQ552" t="s">
        <v>2978</v>
      </c>
      <c r="AR552" t="s">
        <v>2017</v>
      </c>
      <c r="AS552" t="s">
        <v>2993</v>
      </c>
      <c r="AT552" t="s">
        <v>18514</v>
      </c>
      <c r="AU552">
        <v>6.6</v>
      </c>
      <c r="AV552" t="s">
        <v>342</v>
      </c>
      <c r="AW552" t="s">
        <v>3046</v>
      </c>
    </row>
    <row r="553" spans="1:50">
      <c r="A553" s="1" t="s">
        <v>127</v>
      </c>
      <c r="B553" t="s">
        <v>163</v>
      </c>
      <c r="C553" t="s">
        <v>3763</v>
      </c>
      <c r="D553" t="s">
        <v>6154</v>
      </c>
      <c r="F553" t="s">
        <v>972</v>
      </c>
      <c r="G553" t="s">
        <v>8145</v>
      </c>
      <c r="H553" t="s">
        <v>9623</v>
      </c>
      <c r="I553" t="s">
        <v>1506</v>
      </c>
      <c r="J553" t="s">
        <v>1644</v>
      </c>
      <c r="K553">
        <v>11212</v>
      </c>
      <c r="L553" t="s">
        <v>1670</v>
      </c>
      <c r="M553" t="s">
        <v>1670</v>
      </c>
      <c r="N553" t="s">
        <v>11983</v>
      </c>
      <c r="O553" t="s">
        <v>1936</v>
      </c>
      <c r="P553" t="s">
        <v>1960</v>
      </c>
      <c r="R553" t="s">
        <v>50</v>
      </c>
      <c r="U553" t="s">
        <v>1972</v>
      </c>
      <c r="W553" t="s">
        <v>13040</v>
      </c>
      <c r="X553">
        <v>1122</v>
      </c>
      <c r="Y553" t="s">
        <v>2009</v>
      </c>
      <c r="Z553" t="s">
        <v>2016</v>
      </c>
      <c r="AB553" t="s">
        <v>13364</v>
      </c>
      <c r="AE553" t="s">
        <v>13051</v>
      </c>
      <c r="AF553" t="s">
        <v>2902</v>
      </c>
      <c r="AH553">
        <v>3</v>
      </c>
      <c r="AI553">
        <v>2</v>
      </c>
      <c r="AJ553">
        <v>0</v>
      </c>
      <c r="AK553">
        <v>345.93</v>
      </c>
      <c r="AL553" t="s">
        <v>399</v>
      </c>
      <c r="AM553" t="s">
        <v>18031</v>
      </c>
      <c r="AN553" t="s">
        <v>2926</v>
      </c>
      <c r="AO553">
        <v>56940</v>
      </c>
      <c r="AU553">
        <v>24.8</v>
      </c>
      <c r="AV553" t="s">
        <v>222</v>
      </c>
      <c r="AW553" t="s">
        <v>18662</v>
      </c>
    </row>
    <row r="554" spans="1:50">
      <c r="A554" s="1" t="s">
        <v>115</v>
      </c>
      <c r="B554" t="s">
        <v>164</v>
      </c>
      <c r="C554" t="s">
        <v>3764</v>
      </c>
      <c r="D554" t="s">
        <v>292</v>
      </c>
      <c r="E554" t="s">
        <v>376</v>
      </c>
      <c r="F554" t="s">
        <v>6986</v>
      </c>
      <c r="G554" t="s">
        <v>7652</v>
      </c>
      <c r="H554" t="s">
        <v>9630</v>
      </c>
      <c r="I554" t="s">
        <v>1550</v>
      </c>
      <c r="J554" t="s">
        <v>1641</v>
      </c>
      <c r="K554">
        <v>10467</v>
      </c>
      <c r="L554" t="s">
        <v>1670</v>
      </c>
      <c r="M554" t="s">
        <v>1670</v>
      </c>
      <c r="O554" t="s">
        <v>1675</v>
      </c>
      <c r="P554" t="s">
        <v>1958</v>
      </c>
      <c r="Q554" t="s">
        <v>1965</v>
      </c>
      <c r="R554" t="s">
        <v>50</v>
      </c>
      <c r="S554" t="s">
        <v>1671</v>
      </c>
      <c r="U554" t="s">
        <v>1972</v>
      </c>
      <c r="W554" t="s">
        <v>238</v>
      </c>
      <c r="X554">
        <v>1010.78</v>
      </c>
      <c r="Y554" t="s">
        <v>2006</v>
      </c>
      <c r="Z554" t="s">
        <v>2015</v>
      </c>
      <c r="AA554" t="s">
        <v>2029</v>
      </c>
      <c r="AB554" t="s">
        <v>13467</v>
      </c>
      <c r="AE554">
        <v>49</v>
      </c>
      <c r="AF554" t="s">
        <v>2902</v>
      </c>
      <c r="AG554" t="s">
        <v>1754</v>
      </c>
      <c r="AH554">
        <v>14</v>
      </c>
      <c r="AI554">
        <v>1</v>
      </c>
      <c r="AJ554">
        <v>0</v>
      </c>
      <c r="AK554">
        <v>345.96</v>
      </c>
      <c r="AN554" t="s">
        <v>2926</v>
      </c>
      <c r="AO554">
        <v>42000</v>
      </c>
      <c r="AU554">
        <v>1.4</v>
      </c>
      <c r="AV554" t="s">
        <v>376</v>
      </c>
      <c r="AW554" t="s">
        <v>115</v>
      </c>
    </row>
    <row r="555" spans="1:50">
      <c r="A555" s="1" t="s">
        <v>82</v>
      </c>
      <c r="B555" t="s">
        <v>163</v>
      </c>
      <c r="C555" t="s">
        <v>3765</v>
      </c>
      <c r="D555" t="s">
        <v>174</v>
      </c>
      <c r="F555" t="s">
        <v>7059</v>
      </c>
      <c r="G555" t="s">
        <v>8144</v>
      </c>
      <c r="H555" t="s">
        <v>1144</v>
      </c>
      <c r="I555" t="s">
        <v>11067</v>
      </c>
      <c r="J555" t="s">
        <v>1644</v>
      </c>
      <c r="K555">
        <v>11233</v>
      </c>
      <c r="L555" t="s">
        <v>1670</v>
      </c>
      <c r="M555" t="s">
        <v>1670</v>
      </c>
      <c r="N555" t="s">
        <v>1687</v>
      </c>
      <c r="O555" t="s">
        <v>1938</v>
      </c>
      <c r="P555" t="s">
        <v>1959</v>
      </c>
      <c r="R555" t="s">
        <v>50</v>
      </c>
      <c r="S555" t="s">
        <v>1670</v>
      </c>
      <c r="U555" t="s">
        <v>1972</v>
      </c>
      <c r="V555" t="s">
        <v>1984</v>
      </c>
      <c r="W555" t="s">
        <v>243</v>
      </c>
      <c r="X555">
        <v>583.25</v>
      </c>
      <c r="Y555" t="s">
        <v>2009</v>
      </c>
      <c r="AB555" t="s">
        <v>13456</v>
      </c>
      <c r="AC555" t="s">
        <v>1754</v>
      </c>
      <c r="AD555" t="s">
        <v>15992</v>
      </c>
      <c r="AE555">
        <v>764</v>
      </c>
      <c r="AF555" t="s">
        <v>2902</v>
      </c>
      <c r="AG555" t="s">
        <v>1754</v>
      </c>
      <c r="AH555" t="s">
        <v>13051</v>
      </c>
      <c r="AI555">
        <v>1</v>
      </c>
      <c r="AJ555">
        <v>0</v>
      </c>
      <c r="AK555">
        <v>345.96</v>
      </c>
      <c r="AN555" t="s">
        <v>2926</v>
      </c>
      <c r="AO555">
        <v>42000</v>
      </c>
      <c r="AU555" t="s">
        <v>13051</v>
      </c>
      <c r="AW555" t="s">
        <v>3060</v>
      </c>
    </row>
    <row r="556" spans="1:50">
      <c r="A556" s="1" t="s">
        <v>61</v>
      </c>
      <c r="B556" t="s">
        <v>163</v>
      </c>
      <c r="C556" t="s">
        <v>3766</v>
      </c>
      <c r="D556" t="s">
        <v>176</v>
      </c>
      <c r="F556" t="s">
        <v>6813</v>
      </c>
      <c r="G556" t="s">
        <v>909</v>
      </c>
      <c r="H556" t="s">
        <v>1464</v>
      </c>
      <c r="I556" t="s">
        <v>1578</v>
      </c>
      <c r="J556" t="s">
        <v>1644</v>
      </c>
      <c r="K556">
        <v>11226</v>
      </c>
      <c r="L556" t="s">
        <v>1670</v>
      </c>
      <c r="M556" t="s">
        <v>1670</v>
      </c>
      <c r="N556" t="s">
        <v>1929</v>
      </c>
      <c r="O556" t="s">
        <v>1938</v>
      </c>
      <c r="P556" t="s">
        <v>1963</v>
      </c>
      <c r="R556" t="s">
        <v>50</v>
      </c>
      <c r="S556" t="s">
        <v>1670</v>
      </c>
      <c r="U556" t="s">
        <v>1972</v>
      </c>
      <c r="W556" t="s">
        <v>394</v>
      </c>
      <c r="X556">
        <v>1350</v>
      </c>
      <c r="Y556" t="s">
        <v>2009</v>
      </c>
      <c r="Z556" t="s">
        <v>2015</v>
      </c>
      <c r="AB556" t="s">
        <v>13468</v>
      </c>
      <c r="AE556">
        <v>48</v>
      </c>
      <c r="AF556" t="s">
        <v>2902</v>
      </c>
      <c r="AH556">
        <v>10</v>
      </c>
      <c r="AI556">
        <v>1</v>
      </c>
      <c r="AJ556">
        <v>2</v>
      </c>
      <c r="AK556">
        <v>346.01</v>
      </c>
      <c r="AN556" t="s">
        <v>2926</v>
      </c>
      <c r="AO556">
        <v>71900</v>
      </c>
      <c r="AU556">
        <v>0.4</v>
      </c>
      <c r="AV556" t="s">
        <v>176</v>
      </c>
      <c r="AW556" t="s">
        <v>158</v>
      </c>
    </row>
    <row r="557" spans="1:50">
      <c r="A557" s="1" t="s">
        <v>59</v>
      </c>
      <c r="B557" t="s">
        <v>163</v>
      </c>
      <c r="C557" t="s">
        <v>3767</v>
      </c>
      <c r="D557" t="s">
        <v>214</v>
      </c>
      <c r="F557" t="s">
        <v>6837</v>
      </c>
      <c r="G557" t="s">
        <v>7959</v>
      </c>
      <c r="H557" t="s">
        <v>1114</v>
      </c>
      <c r="I557" t="s">
        <v>1551</v>
      </c>
      <c r="J557" t="s">
        <v>1641</v>
      </c>
      <c r="K557">
        <v>10456</v>
      </c>
      <c r="L557" t="s">
        <v>1670</v>
      </c>
      <c r="M557" t="s">
        <v>1670</v>
      </c>
      <c r="N557" t="s">
        <v>1680</v>
      </c>
      <c r="O557" t="s">
        <v>1938</v>
      </c>
      <c r="P557" t="s">
        <v>1961</v>
      </c>
      <c r="R557" t="s">
        <v>50</v>
      </c>
      <c r="S557" t="s">
        <v>1670</v>
      </c>
      <c r="U557" t="s">
        <v>1972</v>
      </c>
      <c r="W557" t="s">
        <v>283</v>
      </c>
      <c r="X557">
        <v>1035</v>
      </c>
      <c r="Y557" t="s">
        <v>2006</v>
      </c>
      <c r="Z557" t="s">
        <v>2015</v>
      </c>
      <c r="AB557" t="s">
        <v>13469</v>
      </c>
      <c r="AD557" t="s">
        <v>16000</v>
      </c>
      <c r="AE557">
        <v>131</v>
      </c>
      <c r="AF557" t="s">
        <v>2902</v>
      </c>
      <c r="AG557" t="s">
        <v>1754</v>
      </c>
      <c r="AH557">
        <v>20</v>
      </c>
      <c r="AI557">
        <v>3</v>
      </c>
      <c r="AJ557">
        <v>0</v>
      </c>
      <c r="AK557">
        <v>346.49</v>
      </c>
      <c r="AN557" t="s">
        <v>2926</v>
      </c>
      <c r="AO557">
        <v>72000</v>
      </c>
      <c r="AU557" t="s">
        <v>13051</v>
      </c>
      <c r="AW557" t="s">
        <v>3047</v>
      </c>
    </row>
    <row r="558" spans="1:50">
      <c r="A558" s="1" t="s">
        <v>138</v>
      </c>
      <c r="B558" t="s">
        <v>163</v>
      </c>
      <c r="C558" t="s">
        <v>3768</v>
      </c>
      <c r="D558" t="s">
        <v>381</v>
      </c>
      <c r="F558" t="s">
        <v>741</v>
      </c>
      <c r="G558" t="s">
        <v>914</v>
      </c>
      <c r="H558" t="s">
        <v>9631</v>
      </c>
      <c r="I558" t="s">
        <v>11072</v>
      </c>
      <c r="J558" t="s">
        <v>1646</v>
      </c>
      <c r="K558">
        <v>10301</v>
      </c>
      <c r="L558" t="s">
        <v>1670</v>
      </c>
      <c r="M558" t="s">
        <v>1672</v>
      </c>
      <c r="N558" t="s">
        <v>11984</v>
      </c>
      <c r="O558" t="s">
        <v>1940</v>
      </c>
      <c r="P558" t="s">
        <v>1960</v>
      </c>
      <c r="R558" t="s">
        <v>50</v>
      </c>
      <c r="S558" t="s">
        <v>1671</v>
      </c>
      <c r="U558" t="s">
        <v>1972</v>
      </c>
      <c r="V558" t="s">
        <v>1984</v>
      </c>
      <c r="W558" t="s">
        <v>381</v>
      </c>
      <c r="X558">
        <v>723</v>
      </c>
      <c r="Y558" t="s">
        <v>2010</v>
      </c>
      <c r="Z558" t="s">
        <v>2019</v>
      </c>
      <c r="AB558" t="s">
        <v>13470</v>
      </c>
      <c r="AD558" t="s">
        <v>16001</v>
      </c>
      <c r="AE558">
        <v>110</v>
      </c>
      <c r="AF558" t="s">
        <v>2902</v>
      </c>
      <c r="AG558" t="s">
        <v>1754</v>
      </c>
      <c r="AH558">
        <v>46</v>
      </c>
      <c r="AI558">
        <v>2</v>
      </c>
      <c r="AJ558">
        <v>0</v>
      </c>
      <c r="AK558">
        <v>347.72</v>
      </c>
      <c r="AL558" t="s">
        <v>399</v>
      </c>
      <c r="AM558" t="s">
        <v>18031</v>
      </c>
      <c r="AN558" t="s">
        <v>2926</v>
      </c>
      <c r="AO558">
        <v>58800</v>
      </c>
      <c r="AU558">
        <v>36.49</v>
      </c>
      <c r="AV558" t="s">
        <v>396</v>
      </c>
      <c r="AW558" t="s">
        <v>3072</v>
      </c>
      <c r="AX558" t="s">
        <v>18685</v>
      </c>
    </row>
    <row r="559" spans="1:50">
      <c r="A559" s="1" t="s">
        <v>139</v>
      </c>
      <c r="B559" t="s">
        <v>164</v>
      </c>
      <c r="C559" t="s">
        <v>3769</v>
      </c>
      <c r="D559" t="s">
        <v>197</v>
      </c>
      <c r="E559" t="s">
        <v>399</v>
      </c>
      <c r="F559" t="s">
        <v>7062</v>
      </c>
      <c r="G559" t="s">
        <v>8148</v>
      </c>
      <c r="H559" t="s">
        <v>1199</v>
      </c>
      <c r="I559">
        <v>801</v>
      </c>
      <c r="J559" t="s">
        <v>1643</v>
      </c>
      <c r="K559">
        <v>10029</v>
      </c>
      <c r="L559" t="s">
        <v>1670</v>
      </c>
      <c r="M559" t="s">
        <v>1670</v>
      </c>
      <c r="N559" t="s">
        <v>11985</v>
      </c>
      <c r="O559" t="s">
        <v>1936</v>
      </c>
      <c r="P559" t="s">
        <v>1960</v>
      </c>
      <c r="Q559" t="s">
        <v>1967</v>
      </c>
      <c r="R559" t="s">
        <v>50</v>
      </c>
      <c r="S559" t="s">
        <v>1671</v>
      </c>
      <c r="U559" t="s">
        <v>1972</v>
      </c>
      <c r="V559" t="s">
        <v>1984</v>
      </c>
      <c r="W559" t="s">
        <v>197</v>
      </c>
      <c r="X559">
        <v>987</v>
      </c>
      <c r="Y559" t="s">
        <v>2008</v>
      </c>
      <c r="Z559" t="s">
        <v>2020</v>
      </c>
      <c r="AA559" t="s">
        <v>2042</v>
      </c>
      <c r="AB559" t="s">
        <v>13459</v>
      </c>
      <c r="AD559" t="s">
        <v>15994</v>
      </c>
      <c r="AE559">
        <v>108</v>
      </c>
      <c r="AF559" t="s">
        <v>2909</v>
      </c>
      <c r="AG559" t="s">
        <v>2915</v>
      </c>
      <c r="AH559">
        <v>20</v>
      </c>
      <c r="AI559">
        <v>1</v>
      </c>
      <c r="AJ559">
        <v>0</v>
      </c>
      <c r="AK559">
        <v>350.08</v>
      </c>
      <c r="AL559" t="s">
        <v>340</v>
      </c>
      <c r="AM559" t="s">
        <v>18031</v>
      </c>
      <c r="AN559" t="s">
        <v>2926</v>
      </c>
      <c r="AO559">
        <v>42500</v>
      </c>
      <c r="AQ559" t="s">
        <v>2977</v>
      </c>
      <c r="AR559" t="s">
        <v>18455</v>
      </c>
      <c r="AS559" t="s">
        <v>2992</v>
      </c>
      <c r="AT559" t="s">
        <v>18515</v>
      </c>
      <c r="AU559">
        <v>28.7</v>
      </c>
      <c r="AV559" t="s">
        <v>399</v>
      </c>
      <c r="AW559" t="s">
        <v>3051</v>
      </c>
      <c r="AX559" t="s">
        <v>18685</v>
      </c>
    </row>
    <row r="560" spans="1:50">
      <c r="A560" s="1" t="s">
        <v>72</v>
      </c>
      <c r="B560" t="s">
        <v>163</v>
      </c>
      <c r="C560" t="s">
        <v>3770</v>
      </c>
      <c r="D560" t="s">
        <v>304</v>
      </c>
      <c r="F560" t="s">
        <v>7066</v>
      </c>
      <c r="G560" t="s">
        <v>8150</v>
      </c>
      <c r="H560" t="s">
        <v>9586</v>
      </c>
      <c r="I560" t="s">
        <v>11015</v>
      </c>
      <c r="J560" t="s">
        <v>1643</v>
      </c>
      <c r="K560">
        <v>10029</v>
      </c>
      <c r="L560" t="s">
        <v>1670</v>
      </c>
      <c r="M560" t="s">
        <v>1670</v>
      </c>
      <c r="O560" t="s">
        <v>1939</v>
      </c>
      <c r="P560" t="s">
        <v>1963</v>
      </c>
      <c r="R560" t="s">
        <v>50</v>
      </c>
      <c r="S560" t="s">
        <v>1670</v>
      </c>
      <c r="U560" t="s">
        <v>1972</v>
      </c>
      <c r="V560" t="s">
        <v>1984</v>
      </c>
      <c r="W560" t="s">
        <v>304</v>
      </c>
      <c r="X560">
        <v>2300</v>
      </c>
      <c r="Y560" t="s">
        <v>2008</v>
      </c>
      <c r="Z560" t="s">
        <v>2016</v>
      </c>
      <c r="AB560" t="s">
        <v>13471</v>
      </c>
      <c r="AD560" t="s">
        <v>16002</v>
      </c>
      <c r="AE560" t="s">
        <v>13051</v>
      </c>
      <c r="AF560" t="s">
        <v>2903</v>
      </c>
      <c r="AG560" t="s">
        <v>1754</v>
      </c>
      <c r="AH560">
        <v>1</v>
      </c>
      <c r="AI560">
        <v>4</v>
      </c>
      <c r="AJ560">
        <v>0</v>
      </c>
      <c r="AK560">
        <v>350.6</v>
      </c>
      <c r="AN560" t="s">
        <v>18036</v>
      </c>
      <c r="AO560">
        <v>88000</v>
      </c>
      <c r="AU560">
        <v>15</v>
      </c>
      <c r="AV560" t="s">
        <v>403</v>
      </c>
      <c r="AW560" t="s">
        <v>3051</v>
      </c>
      <c r="AX560" t="s">
        <v>18685</v>
      </c>
    </row>
    <row r="561" spans="1:50">
      <c r="A561" s="1" t="s">
        <v>135</v>
      </c>
      <c r="B561" t="s">
        <v>163</v>
      </c>
      <c r="C561" t="s">
        <v>3771</v>
      </c>
      <c r="D561" t="s">
        <v>384</v>
      </c>
      <c r="F561" t="s">
        <v>524</v>
      </c>
      <c r="G561" t="s">
        <v>8151</v>
      </c>
      <c r="H561" t="s">
        <v>9632</v>
      </c>
      <c r="I561" t="s">
        <v>11073</v>
      </c>
      <c r="J561" t="s">
        <v>1644</v>
      </c>
      <c r="K561">
        <v>11212</v>
      </c>
      <c r="L561" t="s">
        <v>1670</v>
      </c>
      <c r="M561" t="s">
        <v>1670</v>
      </c>
      <c r="N561" t="s">
        <v>1693</v>
      </c>
      <c r="O561" t="s">
        <v>1938</v>
      </c>
      <c r="P561" t="s">
        <v>1958</v>
      </c>
      <c r="R561" t="s">
        <v>50</v>
      </c>
      <c r="S561" t="s">
        <v>1670</v>
      </c>
      <c r="U561" t="s">
        <v>1972</v>
      </c>
      <c r="V561" t="s">
        <v>1984</v>
      </c>
      <c r="W561" t="s">
        <v>253</v>
      </c>
      <c r="X561">
        <v>1489</v>
      </c>
      <c r="Y561" t="s">
        <v>2009</v>
      </c>
      <c r="Z561" t="s">
        <v>2015</v>
      </c>
      <c r="AB561" t="s">
        <v>13472</v>
      </c>
      <c r="AC561" t="s">
        <v>1754</v>
      </c>
      <c r="AD561" t="s">
        <v>16003</v>
      </c>
      <c r="AE561">
        <v>38</v>
      </c>
      <c r="AF561" t="s">
        <v>2902</v>
      </c>
      <c r="AG561" t="s">
        <v>1754</v>
      </c>
      <c r="AH561">
        <v>6</v>
      </c>
      <c r="AI561">
        <v>2</v>
      </c>
      <c r="AJ561">
        <v>0</v>
      </c>
      <c r="AK561">
        <v>351.79</v>
      </c>
      <c r="AN561" t="s">
        <v>2926</v>
      </c>
      <c r="AO561">
        <v>59488</v>
      </c>
      <c r="AP561" t="s">
        <v>18156</v>
      </c>
      <c r="AU561">
        <v>0.1</v>
      </c>
      <c r="AV561" t="s">
        <v>361</v>
      </c>
      <c r="AW561" t="s">
        <v>3059</v>
      </c>
      <c r="AX561" t="s">
        <v>18685</v>
      </c>
    </row>
    <row r="562" spans="1:50">
      <c r="A562" s="1" t="s">
        <v>135</v>
      </c>
      <c r="B562" t="s">
        <v>163</v>
      </c>
      <c r="C562" t="s">
        <v>3772</v>
      </c>
      <c r="D562" t="s">
        <v>384</v>
      </c>
      <c r="F562" t="s">
        <v>524</v>
      </c>
      <c r="G562" t="s">
        <v>8151</v>
      </c>
      <c r="H562" t="s">
        <v>9632</v>
      </c>
      <c r="I562" t="s">
        <v>11073</v>
      </c>
      <c r="J562" t="s">
        <v>1644</v>
      </c>
      <c r="K562">
        <v>11212</v>
      </c>
      <c r="L562" t="s">
        <v>1670</v>
      </c>
      <c r="M562" t="s">
        <v>1670</v>
      </c>
      <c r="N562" t="s">
        <v>1693</v>
      </c>
      <c r="O562" t="s">
        <v>1939</v>
      </c>
      <c r="P562" t="s">
        <v>1958</v>
      </c>
      <c r="R562" t="s">
        <v>50</v>
      </c>
      <c r="S562" t="s">
        <v>1670</v>
      </c>
      <c r="U562" t="s">
        <v>1972</v>
      </c>
      <c r="V562" t="s">
        <v>1984</v>
      </c>
      <c r="W562" t="s">
        <v>253</v>
      </c>
      <c r="X562">
        <v>1489</v>
      </c>
      <c r="Y562" t="s">
        <v>2009</v>
      </c>
      <c r="Z562" t="s">
        <v>2015</v>
      </c>
      <c r="AB562" t="s">
        <v>13472</v>
      </c>
      <c r="AD562" t="s">
        <v>16003</v>
      </c>
      <c r="AE562">
        <v>38</v>
      </c>
      <c r="AF562" t="s">
        <v>2902</v>
      </c>
      <c r="AG562" t="s">
        <v>1754</v>
      </c>
      <c r="AH562">
        <v>6</v>
      </c>
      <c r="AI562">
        <v>2</v>
      </c>
      <c r="AJ562">
        <v>0</v>
      </c>
      <c r="AK562">
        <v>351.79</v>
      </c>
      <c r="AN562" t="s">
        <v>2926</v>
      </c>
      <c r="AO562">
        <v>59488</v>
      </c>
      <c r="AU562">
        <v>0.1</v>
      </c>
      <c r="AV562" t="s">
        <v>361</v>
      </c>
      <c r="AW562" t="s">
        <v>3059</v>
      </c>
    </row>
    <row r="563" spans="1:50">
      <c r="A563" s="1" t="s">
        <v>135</v>
      </c>
      <c r="B563" t="s">
        <v>163</v>
      </c>
      <c r="C563" t="s">
        <v>3773</v>
      </c>
      <c r="D563" t="s">
        <v>384</v>
      </c>
      <c r="F563" t="s">
        <v>524</v>
      </c>
      <c r="G563" t="s">
        <v>8151</v>
      </c>
      <c r="H563" t="s">
        <v>9632</v>
      </c>
      <c r="I563" t="s">
        <v>11073</v>
      </c>
      <c r="J563" t="s">
        <v>1644</v>
      </c>
      <c r="K563">
        <v>11212</v>
      </c>
      <c r="L563" t="s">
        <v>1670</v>
      </c>
      <c r="M563" t="s">
        <v>1670</v>
      </c>
      <c r="N563" t="s">
        <v>1754</v>
      </c>
      <c r="O563" t="s">
        <v>1675</v>
      </c>
      <c r="P563" t="s">
        <v>1962</v>
      </c>
      <c r="R563" t="s">
        <v>50</v>
      </c>
      <c r="S563" t="s">
        <v>1670</v>
      </c>
      <c r="U563" t="s">
        <v>1972</v>
      </c>
      <c r="V563" t="s">
        <v>1984</v>
      </c>
      <c r="W563" t="s">
        <v>253</v>
      </c>
      <c r="X563">
        <v>1489</v>
      </c>
      <c r="Y563" t="s">
        <v>2009</v>
      </c>
      <c r="Z563" t="s">
        <v>2015</v>
      </c>
      <c r="AB563" t="s">
        <v>13472</v>
      </c>
      <c r="AC563" t="s">
        <v>1754</v>
      </c>
      <c r="AD563" t="s">
        <v>16003</v>
      </c>
      <c r="AE563">
        <v>38</v>
      </c>
      <c r="AF563" t="s">
        <v>2902</v>
      </c>
      <c r="AG563" t="s">
        <v>1754</v>
      </c>
      <c r="AH563">
        <v>6</v>
      </c>
      <c r="AI563">
        <v>2</v>
      </c>
      <c r="AJ563">
        <v>0</v>
      </c>
      <c r="AK563">
        <v>351.79</v>
      </c>
      <c r="AN563" t="s">
        <v>2926</v>
      </c>
      <c r="AO563">
        <v>59488</v>
      </c>
      <c r="AP563" t="s">
        <v>18156</v>
      </c>
      <c r="AU563" t="s">
        <v>13051</v>
      </c>
      <c r="AW563" t="s">
        <v>3059</v>
      </c>
      <c r="AX563" t="s">
        <v>18685</v>
      </c>
    </row>
    <row r="564" spans="1:50">
      <c r="A564" s="1" t="s">
        <v>95</v>
      </c>
      <c r="B564" t="s">
        <v>164</v>
      </c>
      <c r="C564" t="s">
        <v>3774</v>
      </c>
      <c r="D564" t="s">
        <v>295</v>
      </c>
      <c r="E564" t="s">
        <v>220</v>
      </c>
      <c r="F564" t="s">
        <v>7067</v>
      </c>
      <c r="G564" t="s">
        <v>1006</v>
      </c>
      <c r="H564" t="s">
        <v>9633</v>
      </c>
      <c r="I564">
        <v>9</v>
      </c>
      <c r="J564" t="s">
        <v>1641</v>
      </c>
      <c r="K564">
        <v>10452</v>
      </c>
      <c r="L564" t="s">
        <v>1670</v>
      </c>
      <c r="M564" t="s">
        <v>1670</v>
      </c>
      <c r="O564" t="s">
        <v>1936</v>
      </c>
      <c r="P564" t="s">
        <v>1962</v>
      </c>
      <c r="Q564" t="s">
        <v>1968</v>
      </c>
      <c r="R564" t="s">
        <v>50</v>
      </c>
      <c r="S564" t="s">
        <v>1671</v>
      </c>
      <c r="U564" t="s">
        <v>1972</v>
      </c>
      <c r="V564" t="s">
        <v>1983</v>
      </c>
      <c r="W564" t="s">
        <v>295</v>
      </c>
      <c r="X564" t="s">
        <v>13051</v>
      </c>
      <c r="Y564" t="s">
        <v>2006</v>
      </c>
      <c r="Z564" t="s">
        <v>2015</v>
      </c>
      <c r="AA564" t="s">
        <v>2029</v>
      </c>
      <c r="AB564" t="s">
        <v>13473</v>
      </c>
      <c r="AD564" t="s">
        <v>15077</v>
      </c>
      <c r="AE564" t="s">
        <v>13051</v>
      </c>
      <c r="AF564" t="s">
        <v>2902</v>
      </c>
      <c r="AH564">
        <v>18</v>
      </c>
      <c r="AI564">
        <v>1</v>
      </c>
      <c r="AJ564">
        <v>0</v>
      </c>
      <c r="AK564">
        <v>352.28</v>
      </c>
      <c r="AN564" t="s">
        <v>2926</v>
      </c>
      <c r="AO564">
        <v>44000</v>
      </c>
      <c r="AU564">
        <v>4.25</v>
      </c>
      <c r="AV564" t="s">
        <v>235</v>
      </c>
      <c r="AW564" t="s">
        <v>95</v>
      </c>
      <c r="AX564" t="s">
        <v>18685</v>
      </c>
    </row>
    <row r="565" spans="1:50">
      <c r="A565" s="1" t="s">
        <v>74</v>
      </c>
      <c r="B565" t="s">
        <v>163</v>
      </c>
      <c r="C565" t="s">
        <v>3775</v>
      </c>
      <c r="D565" t="s">
        <v>191</v>
      </c>
      <c r="F565" t="s">
        <v>7068</v>
      </c>
      <c r="G565" t="s">
        <v>8152</v>
      </c>
      <c r="H565" t="s">
        <v>1131</v>
      </c>
      <c r="I565" t="s">
        <v>11074</v>
      </c>
      <c r="J565" t="s">
        <v>1641</v>
      </c>
      <c r="K565">
        <v>10460</v>
      </c>
      <c r="L565" t="s">
        <v>1670</v>
      </c>
      <c r="M565" t="s">
        <v>1672</v>
      </c>
      <c r="N565" t="s">
        <v>1691</v>
      </c>
      <c r="O565" t="s">
        <v>1675</v>
      </c>
      <c r="P565" t="s">
        <v>1959</v>
      </c>
      <c r="R565" t="s">
        <v>50</v>
      </c>
      <c r="S565" t="s">
        <v>1670</v>
      </c>
      <c r="U565" t="s">
        <v>1972</v>
      </c>
      <c r="W565" t="s">
        <v>1991</v>
      </c>
      <c r="X565">
        <v>1967</v>
      </c>
      <c r="Y565" t="s">
        <v>2006</v>
      </c>
      <c r="Z565" t="s">
        <v>2015</v>
      </c>
      <c r="AB565" t="s">
        <v>13474</v>
      </c>
      <c r="AD565" t="s">
        <v>16004</v>
      </c>
      <c r="AE565" t="s">
        <v>13051</v>
      </c>
      <c r="AF565" t="s">
        <v>2902</v>
      </c>
      <c r="AG565" t="s">
        <v>2915</v>
      </c>
      <c r="AH565">
        <v>3</v>
      </c>
      <c r="AI565">
        <v>2</v>
      </c>
      <c r="AJ565">
        <v>0</v>
      </c>
      <c r="AK565">
        <v>353.64</v>
      </c>
      <c r="AN565" t="s">
        <v>2926</v>
      </c>
      <c r="AO565">
        <v>59800</v>
      </c>
      <c r="AU565" t="s">
        <v>13051</v>
      </c>
      <c r="AW565" t="s">
        <v>3054</v>
      </c>
      <c r="AX565" t="s">
        <v>18685</v>
      </c>
    </row>
    <row r="566" spans="1:50">
      <c r="A566" s="1" t="s">
        <v>74</v>
      </c>
      <c r="B566" t="s">
        <v>163</v>
      </c>
      <c r="C566" t="s">
        <v>3776</v>
      </c>
      <c r="D566" t="s">
        <v>191</v>
      </c>
      <c r="F566" t="s">
        <v>640</v>
      </c>
      <c r="G566" t="s">
        <v>7941</v>
      </c>
      <c r="H566" t="s">
        <v>1131</v>
      </c>
      <c r="I566" t="s">
        <v>11075</v>
      </c>
      <c r="J566" t="s">
        <v>1641</v>
      </c>
      <c r="K566">
        <v>10460</v>
      </c>
      <c r="L566" t="s">
        <v>1670</v>
      </c>
      <c r="M566" t="s">
        <v>1672</v>
      </c>
      <c r="O566" t="s">
        <v>1675</v>
      </c>
      <c r="P566" t="s">
        <v>1959</v>
      </c>
      <c r="R566" t="s">
        <v>50</v>
      </c>
      <c r="S566" t="s">
        <v>1670</v>
      </c>
      <c r="U566" t="s">
        <v>1972</v>
      </c>
      <c r="W566" t="s">
        <v>1991</v>
      </c>
      <c r="X566">
        <v>1367</v>
      </c>
      <c r="Y566" t="s">
        <v>2006</v>
      </c>
      <c r="Z566" t="s">
        <v>2015</v>
      </c>
      <c r="AB566" t="s">
        <v>13475</v>
      </c>
      <c r="AD566" t="s">
        <v>16005</v>
      </c>
      <c r="AE566">
        <v>168</v>
      </c>
      <c r="AF566" t="s">
        <v>2910</v>
      </c>
      <c r="AG566" t="s">
        <v>1754</v>
      </c>
      <c r="AH566">
        <v>24</v>
      </c>
      <c r="AI566">
        <v>1</v>
      </c>
      <c r="AJ566">
        <v>0</v>
      </c>
      <c r="AK566">
        <v>354.77</v>
      </c>
      <c r="AN566" t="s">
        <v>2926</v>
      </c>
      <c r="AO566">
        <v>44310.96</v>
      </c>
      <c r="AU566" t="s">
        <v>13051</v>
      </c>
      <c r="AW566" t="s">
        <v>3047</v>
      </c>
      <c r="AX566" t="s">
        <v>18685</v>
      </c>
    </row>
    <row r="567" spans="1:50">
      <c r="A567" s="1" t="s">
        <v>127</v>
      </c>
      <c r="B567" t="s">
        <v>163</v>
      </c>
      <c r="C567" t="s">
        <v>3777</v>
      </c>
      <c r="D567" t="s">
        <v>326</v>
      </c>
      <c r="F567" t="s">
        <v>6946</v>
      </c>
      <c r="G567" t="s">
        <v>7214</v>
      </c>
      <c r="H567" t="s">
        <v>9623</v>
      </c>
      <c r="J567" t="s">
        <v>1644</v>
      </c>
      <c r="K567">
        <v>11212</v>
      </c>
      <c r="L567" t="s">
        <v>1670</v>
      </c>
      <c r="M567" t="s">
        <v>1670</v>
      </c>
      <c r="O567" t="s">
        <v>1946</v>
      </c>
      <c r="P567" t="s">
        <v>1964</v>
      </c>
      <c r="R567" t="s">
        <v>50</v>
      </c>
      <c r="S567" t="s">
        <v>1670</v>
      </c>
      <c r="U567" t="s">
        <v>1972</v>
      </c>
      <c r="W567" t="s">
        <v>326</v>
      </c>
      <c r="X567">
        <v>770.47</v>
      </c>
      <c r="Y567" t="s">
        <v>2009</v>
      </c>
      <c r="Z567" t="s">
        <v>2016</v>
      </c>
      <c r="AB567" t="s">
        <v>13476</v>
      </c>
      <c r="AD567" t="s">
        <v>16006</v>
      </c>
      <c r="AE567">
        <v>19</v>
      </c>
      <c r="AF567" t="s">
        <v>2902</v>
      </c>
      <c r="AG567" t="s">
        <v>1754</v>
      </c>
      <c r="AH567">
        <v>21</v>
      </c>
      <c r="AI567">
        <v>2</v>
      </c>
      <c r="AJ567">
        <v>0</v>
      </c>
      <c r="AK567">
        <v>354.82</v>
      </c>
      <c r="AN567" t="s">
        <v>2926</v>
      </c>
      <c r="AO567">
        <v>60000</v>
      </c>
      <c r="AU567" t="s">
        <v>13051</v>
      </c>
      <c r="AW567" t="s">
        <v>3059</v>
      </c>
    </row>
    <row r="568" spans="1:50">
      <c r="A568" s="1" t="s">
        <v>53</v>
      </c>
      <c r="B568" t="s">
        <v>163</v>
      </c>
      <c r="C568" t="s">
        <v>3778</v>
      </c>
      <c r="D568" t="s">
        <v>217</v>
      </c>
      <c r="F568" t="s">
        <v>582</v>
      </c>
      <c r="G568" t="s">
        <v>8153</v>
      </c>
      <c r="H568" t="s">
        <v>9634</v>
      </c>
      <c r="I568" t="s">
        <v>11076</v>
      </c>
      <c r="J568" t="s">
        <v>1645</v>
      </c>
      <c r="K568">
        <v>11691</v>
      </c>
      <c r="L568" t="s">
        <v>1670</v>
      </c>
      <c r="M568" t="s">
        <v>1672</v>
      </c>
      <c r="N568" t="s">
        <v>11986</v>
      </c>
      <c r="O568" t="s">
        <v>1940</v>
      </c>
      <c r="P568" t="s">
        <v>1960</v>
      </c>
      <c r="R568" t="s">
        <v>50</v>
      </c>
      <c r="S568" t="s">
        <v>1671</v>
      </c>
      <c r="U568" t="s">
        <v>1972</v>
      </c>
      <c r="V568" t="s">
        <v>1984</v>
      </c>
      <c r="W568" t="s">
        <v>328</v>
      </c>
      <c r="X568">
        <v>1100</v>
      </c>
      <c r="Y568" t="s">
        <v>2007</v>
      </c>
      <c r="Z568" t="s">
        <v>13055</v>
      </c>
      <c r="AB568" t="s">
        <v>13477</v>
      </c>
      <c r="AC568" t="s">
        <v>1754</v>
      </c>
      <c r="AD568" t="s">
        <v>16007</v>
      </c>
      <c r="AE568">
        <v>1</v>
      </c>
      <c r="AF568" t="s">
        <v>2903</v>
      </c>
      <c r="AG568" t="s">
        <v>1754</v>
      </c>
      <c r="AH568">
        <v>-1</v>
      </c>
      <c r="AI568">
        <v>2</v>
      </c>
      <c r="AJ568">
        <v>0</v>
      </c>
      <c r="AK568">
        <v>354.82</v>
      </c>
      <c r="AN568" t="s">
        <v>2926</v>
      </c>
      <c r="AO568">
        <v>60000</v>
      </c>
      <c r="AP568" t="s">
        <v>18161</v>
      </c>
      <c r="AU568">
        <v>11.65</v>
      </c>
      <c r="AV568" t="s">
        <v>397</v>
      </c>
      <c r="AW568" t="s">
        <v>3052</v>
      </c>
      <c r="AX568" t="s">
        <v>18685</v>
      </c>
    </row>
    <row r="569" spans="1:50">
      <c r="A569" s="1" t="s">
        <v>82</v>
      </c>
      <c r="B569" t="s">
        <v>163</v>
      </c>
      <c r="C569" t="s">
        <v>3779</v>
      </c>
      <c r="D569" t="s">
        <v>226</v>
      </c>
      <c r="F569" t="s">
        <v>436</v>
      </c>
      <c r="G569" t="s">
        <v>8154</v>
      </c>
      <c r="H569" t="s">
        <v>1144</v>
      </c>
      <c r="I569" t="s">
        <v>11077</v>
      </c>
      <c r="J569" t="s">
        <v>1644</v>
      </c>
      <c r="K569">
        <v>11233</v>
      </c>
      <c r="L569" t="s">
        <v>1670</v>
      </c>
      <c r="M569" t="s">
        <v>1671</v>
      </c>
      <c r="O569" t="s">
        <v>1937</v>
      </c>
      <c r="P569" t="s">
        <v>1962</v>
      </c>
      <c r="R569" t="s">
        <v>50</v>
      </c>
      <c r="S569" t="s">
        <v>1670</v>
      </c>
      <c r="U569" t="s">
        <v>1972</v>
      </c>
      <c r="V569" t="s">
        <v>1984</v>
      </c>
      <c r="W569" t="s">
        <v>221</v>
      </c>
      <c r="X569" t="s">
        <v>13051</v>
      </c>
      <c r="Y569" t="s">
        <v>2009</v>
      </c>
      <c r="Z569" t="s">
        <v>2017</v>
      </c>
      <c r="AB569" t="s">
        <v>13478</v>
      </c>
      <c r="AE569">
        <v>359</v>
      </c>
      <c r="AF569" t="s">
        <v>2902</v>
      </c>
      <c r="AH569">
        <v>6</v>
      </c>
      <c r="AI569">
        <v>1</v>
      </c>
      <c r="AJ569">
        <v>1</v>
      </c>
      <c r="AK569">
        <v>354.82</v>
      </c>
      <c r="AN569" t="s">
        <v>2926</v>
      </c>
      <c r="AO569">
        <v>60000</v>
      </c>
      <c r="AP569" t="s">
        <v>18162</v>
      </c>
      <c r="AU569" t="s">
        <v>13051</v>
      </c>
      <c r="AW569" t="s">
        <v>3059</v>
      </c>
    </row>
    <row r="570" spans="1:50">
      <c r="A570" s="1" t="s">
        <v>82</v>
      </c>
      <c r="B570" t="s">
        <v>163</v>
      </c>
      <c r="C570" t="s">
        <v>3780</v>
      </c>
      <c r="D570" t="s">
        <v>1999</v>
      </c>
      <c r="F570" t="s">
        <v>7069</v>
      </c>
      <c r="G570" t="s">
        <v>8155</v>
      </c>
      <c r="H570" t="s">
        <v>9442</v>
      </c>
      <c r="I570" t="s">
        <v>11078</v>
      </c>
      <c r="J570" t="s">
        <v>1644</v>
      </c>
      <c r="K570">
        <v>11233</v>
      </c>
      <c r="L570" t="s">
        <v>1670</v>
      </c>
      <c r="M570" t="s">
        <v>1672</v>
      </c>
      <c r="O570" t="s">
        <v>1937</v>
      </c>
      <c r="P570" t="s">
        <v>1962</v>
      </c>
      <c r="R570" t="s">
        <v>50</v>
      </c>
      <c r="S570" t="s">
        <v>1670</v>
      </c>
      <c r="U570" t="s">
        <v>1972</v>
      </c>
      <c r="V570" t="s">
        <v>1984</v>
      </c>
      <c r="W570" t="s">
        <v>221</v>
      </c>
      <c r="X570">
        <v>888.58</v>
      </c>
      <c r="Y570" t="s">
        <v>2009</v>
      </c>
      <c r="Z570" t="s">
        <v>2017</v>
      </c>
      <c r="AB570" t="s">
        <v>13479</v>
      </c>
      <c r="AE570">
        <v>359</v>
      </c>
      <c r="AF570" t="s">
        <v>2902</v>
      </c>
      <c r="AH570">
        <v>11</v>
      </c>
      <c r="AI570">
        <v>1</v>
      </c>
      <c r="AJ570">
        <v>1</v>
      </c>
      <c r="AK570">
        <v>354.82</v>
      </c>
      <c r="AN570" t="s">
        <v>2926</v>
      </c>
      <c r="AO570">
        <v>60000</v>
      </c>
      <c r="AP570" t="s">
        <v>18163</v>
      </c>
      <c r="AU570" t="s">
        <v>13051</v>
      </c>
      <c r="AW570" t="s">
        <v>3059</v>
      </c>
      <c r="AX570" t="s">
        <v>1754</v>
      </c>
    </row>
    <row r="571" spans="1:50">
      <c r="A571" s="1" t="s">
        <v>82</v>
      </c>
      <c r="B571" t="s">
        <v>163</v>
      </c>
      <c r="C571" t="s">
        <v>3781</v>
      </c>
      <c r="D571" t="s">
        <v>226</v>
      </c>
      <c r="F571" t="s">
        <v>436</v>
      </c>
      <c r="G571" t="s">
        <v>8154</v>
      </c>
      <c r="H571" t="s">
        <v>1144</v>
      </c>
      <c r="I571" t="s">
        <v>11077</v>
      </c>
      <c r="J571" t="s">
        <v>1644</v>
      </c>
      <c r="K571">
        <v>11233</v>
      </c>
      <c r="L571" t="s">
        <v>1670</v>
      </c>
      <c r="M571" t="s">
        <v>1671</v>
      </c>
      <c r="O571" t="s">
        <v>1938</v>
      </c>
      <c r="P571" t="s">
        <v>1961</v>
      </c>
      <c r="R571" t="s">
        <v>50</v>
      </c>
      <c r="S571" t="s">
        <v>1670</v>
      </c>
      <c r="U571" t="s">
        <v>1972</v>
      </c>
      <c r="V571" t="s">
        <v>1984</v>
      </c>
      <c r="W571" t="s">
        <v>248</v>
      </c>
      <c r="X571" t="s">
        <v>13051</v>
      </c>
      <c r="Y571" t="s">
        <v>2009</v>
      </c>
      <c r="Z571" t="s">
        <v>2017</v>
      </c>
      <c r="AB571" t="s">
        <v>13478</v>
      </c>
      <c r="AE571">
        <v>359</v>
      </c>
      <c r="AF571" t="s">
        <v>2902</v>
      </c>
      <c r="AH571">
        <v>6</v>
      </c>
      <c r="AI571">
        <v>1</v>
      </c>
      <c r="AJ571">
        <v>1</v>
      </c>
      <c r="AK571">
        <v>354.82</v>
      </c>
      <c r="AN571" t="s">
        <v>2926</v>
      </c>
      <c r="AO571">
        <v>60000</v>
      </c>
      <c r="AP571" t="s">
        <v>18071</v>
      </c>
      <c r="AU571" t="s">
        <v>13051</v>
      </c>
      <c r="AW571" t="s">
        <v>3059</v>
      </c>
    </row>
    <row r="572" spans="1:50">
      <c r="A572" s="1" t="s">
        <v>82</v>
      </c>
      <c r="B572" t="s">
        <v>163</v>
      </c>
      <c r="C572" t="s">
        <v>3782</v>
      </c>
      <c r="D572" t="s">
        <v>1999</v>
      </c>
      <c r="F572" t="s">
        <v>7069</v>
      </c>
      <c r="G572" t="s">
        <v>8155</v>
      </c>
      <c r="H572" t="s">
        <v>9442</v>
      </c>
      <c r="I572" t="s">
        <v>11078</v>
      </c>
      <c r="J572" t="s">
        <v>1644</v>
      </c>
      <c r="K572">
        <v>11233</v>
      </c>
      <c r="L572" t="s">
        <v>1670</v>
      </c>
      <c r="M572" t="s">
        <v>1672</v>
      </c>
      <c r="O572" t="s">
        <v>1938</v>
      </c>
      <c r="P572" t="s">
        <v>1961</v>
      </c>
      <c r="R572" t="s">
        <v>50</v>
      </c>
      <c r="S572" t="s">
        <v>1670</v>
      </c>
      <c r="U572" t="s">
        <v>1972</v>
      </c>
      <c r="V572" t="s">
        <v>1984</v>
      </c>
      <c r="W572" t="s">
        <v>248</v>
      </c>
      <c r="X572">
        <v>888.58</v>
      </c>
      <c r="Y572" t="s">
        <v>2009</v>
      </c>
      <c r="Z572" t="s">
        <v>2017</v>
      </c>
      <c r="AB572" t="s">
        <v>13479</v>
      </c>
      <c r="AE572">
        <v>359</v>
      </c>
      <c r="AF572" t="s">
        <v>2902</v>
      </c>
      <c r="AH572">
        <v>11</v>
      </c>
      <c r="AI572">
        <v>1</v>
      </c>
      <c r="AJ572">
        <v>1</v>
      </c>
      <c r="AK572">
        <v>354.82</v>
      </c>
      <c r="AN572" t="s">
        <v>2926</v>
      </c>
      <c r="AO572">
        <v>60000</v>
      </c>
      <c r="AP572" t="s">
        <v>18071</v>
      </c>
      <c r="AU572" t="s">
        <v>13051</v>
      </c>
      <c r="AW572" t="s">
        <v>3059</v>
      </c>
      <c r="AX572" t="s">
        <v>1754</v>
      </c>
    </row>
    <row r="573" spans="1:50">
      <c r="A573" s="1" t="s">
        <v>66</v>
      </c>
      <c r="B573" t="s">
        <v>163</v>
      </c>
      <c r="C573" t="s">
        <v>3783</v>
      </c>
      <c r="D573" t="s">
        <v>186</v>
      </c>
      <c r="F573" t="s">
        <v>6837</v>
      </c>
      <c r="G573" t="s">
        <v>8156</v>
      </c>
      <c r="H573" t="s">
        <v>9635</v>
      </c>
      <c r="I573" t="s">
        <v>11079</v>
      </c>
      <c r="J573" t="s">
        <v>1644</v>
      </c>
      <c r="K573">
        <v>11212</v>
      </c>
      <c r="L573" t="s">
        <v>1670</v>
      </c>
      <c r="M573" t="s">
        <v>1670</v>
      </c>
      <c r="N573" t="s">
        <v>11987</v>
      </c>
      <c r="O573" t="s">
        <v>1940</v>
      </c>
      <c r="P573" t="s">
        <v>1960</v>
      </c>
      <c r="R573" t="s">
        <v>50</v>
      </c>
      <c r="S573" t="s">
        <v>1671</v>
      </c>
      <c r="U573" t="s">
        <v>1972</v>
      </c>
      <c r="V573" t="s">
        <v>1984</v>
      </c>
      <c r="W573" t="s">
        <v>275</v>
      </c>
      <c r="X573">
        <v>1154.67</v>
      </c>
      <c r="Y573" t="s">
        <v>2009</v>
      </c>
      <c r="Z573" t="s">
        <v>2017</v>
      </c>
      <c r="AB573" t="s">
        <v>13480</v>
      </c>
      <c r="AD573" t="s">
        <v>16008</v>
      </c>
      <c r="AE573">
        <v>172</v>
      </c>
      <c r="AF573" t="s">
        <v>2902</v>
      </c>
      <c r="AG573" t="s">
        <v>1754</v>
      </c>
      <c r="AH573">
        <v>11</v>
      </c>
      <c r="AI573">
        <v>4</v>
      </c>
      <c r="AJ573">
        <v>0</v>
      </c>
      <c r="AK573">
        <v>355.11</v>
      </c>
      <c r="AN573" t="s">
        <v>2926</v>
      </c>
      <c r="AO573">
        <v>91440</v>
      </c>
      <c r="AU573">
        <v>20.2</v>
      </c>
      <c r="AV573" t="s">
        <v>393</v>
      </c>
      <c r="AW573" t="s">
        <v>3059</v>
      </c>
      <c r="AX573" t="s">
        <v>18685</v>
      </c>
    </row>
    <row r="574" spans="1:50">
      <c r="A574" s="1" t="s">
        <v>64</v>
      </c>
      <c r="B574" t="s">
        <v>163</v>
      </c>
      <c r="C574" t="s">
        <v>3784</v>
      </c>
      <c r="D574" t="s">
        <v>356</v>
      </c>
      <c r="F574" t="s">
        <v>7070</v>
      </c>
      <c r="G574" t="s">
        <v>8157</v>
      </c>
      <c r="H574" t="s">
        <v>9636</v>
      </c>
      <c r="I574" t="s">
        <v>1475</v>
      </c>
      <c r="J574" t="s">
        <v>1643</v>
      </c>
      <c r="K574">
        <v>10040</v>
      </c>
      <c r="L574" t="s">
        <v>1670</v>
      </c>
      <c r="M574" t="s">
        <v>1670</v>
      </c>
      <c r="O574" t="s">
        <v>1939</v>
      </c>
      <c r="P574" t="s">
        <v>1958</v>
      </c>
      <c r="R574" t="s">
        <v>50</v>
      </c>
      <c r="S574" t="s">
        <v>1670</v>
      </c>
      <c r="U574" t="s">
        <v>1972</v>
      </c>
      <c r="W574" t="s">
        <v>356</v>
      </c>
      <c r="X574">
        <v>1650</v>
      </c>
      <c r="Y574" t="s">
        <v>2008</v>
      </c>
      <c r="Z574" t="s">
        <v>2013</v>
      </c>
      <c r="AB574" t="s">
        <v>13481</v>
      </c>
      <c r="AD574" t="s">
        <v>16009</v>
      </c>
      <c r="AE574">
        <v>42</v>
      </c>
      <c r="AF574" t="s">
        <v>2902</v>
      </c>
      <c r="AG574" t="s">
        <v>1754</v>
      </c>
      <c r="AH574">
        <v>9</v>
      </c>
      <c r="AI574">
        <v>2</v>
      </c>
      <c r="AJ574">
        <v>2</v>
      </c>
      <c r="AK574">
        <v>358.57</v>
      </c>
      <c r="AL574" t="s">
        <v>18027</v>
      </c>
      <c r="AM574" t="s">
        <v>18032</v>
      </c>
      <c r="AN574" t="s">
        <v>2927</v>
      </c>
      <c r="AO574">
        <v>90000</v>
      </c>
      <c r="AU574">
        <v>0.4</v>
      </c>
      <c r="AV574" t="s">
        <v>289</v>
      </c>
      <c r="AW574" t="s">
        <v>3042</v>
      </c>
    </row>
    <row r="575" spans="1:50">
      <c r="A575" s="1" t="s">
        <v>94</v>
      </c>
      <c r="B575" t="s">
        <v>164</v>
      </c>
      <c r="C575" t="s">
        <v>3785</v>
      </c>
      <c r="D575" t="s">
        <v>338</v>
      </c>
      <c r="E575" t="s">
        <v>337</v>
      </c>
      <c r="F575" t="s">
        <v>7071</v>
      </c>
      <c r="G575" t="s">
        <v>8158</v>
      </c>
      <c r="H575" t="s">
        <v>9637</v>
      </c>
      <c r="I575" t="s">
        <v>11080</v>
      </c>
      <c r="J575" t="s">
        <v>1643</v>
      </c>
      <c r="K575">
        <v>10033</v>
      </c>
      <c r="L575" t="s">
        <v>1670</v>
      </c>
      <c r="M575" t="s">
        <v>1670</v>
      </c>
      <c r="O575" t="s">
        <v>1941</v>
      </c>
      <c r="P575" t="s">
        <v>1958</v>
      </c>
      <c r="Q575" t="s">
        <v>1965</v>
      </c>
      <c r="R575" t="s">
        <v>50</v>
      </c>
      <c r="S575" t="s">
        <v>1670</v>
      </c>
      <c r="U575" t="s">
        <v>1972</v>
      </c>
      <c r="W575" t="s">
        <v>338</v>
      </c>
      <c r="X575">
        <v>2020</v>
      </c>
      <c r="Y575" t="s">
        <v>2008</v>
      </c>
      <c r="Z575" t="s">
        <v>2028</v>
      </c>
      <c r="AA575" t="s">
        <v>2029</v>
      </c>
      <c r="AB575" t="s">
        <v>13482</v>
      </c>
      <c r="AE575">
        <v>60</v>
      </c>
      <c r="AF575" t="s">
        <v>2902</v>
      </c>
      <c r="AG575" t="s">
        <v>1754</v>
      </c>
      <c r="AH575">
        <v>6</v>
      </c>
      <c r="AI575">
        <v>1</v>
      </c>
      <c r="AJ575">
        <v>3</v>
      </c>
      <c r="AK575">
        <v>359.22</v>
      </c>
      <c r="AL575" t="s">
        <v>303</v>
      </c>
      <c r="AM575" t="s">
        <v>18031</v>
      </c>
      <c r="AN575" t="s">
        <v>2926</v>
      </c>
      <c r="AO575">
        <v>92500</v>
      </c>
      <c r="AU575">
        <v>3.05</v>
      </c>
      <c r="AV575" t="s">
        <v>275</v>
      </c>
      <c r="AW575" t="s">
        <v>3042</v>
      </c>
      <c r="AX575" t="s">
        <v>18685</v>
      </c>
    </row>
    <row r="576" spans="1:50">
      <c r="A576" s="1" t="s">
        <v>146</v>
      </c>
      <c r="B576" t="s">
        <v>164</v>
      </c>
      <c r="C576" t="s">
        <v>3786</v>
      </c>
      <c r="D576" t="s">
        <v>6155</v>
      </c>
      <c r="E576" t="s">
        <v>6180</v>
      </c>
      <c r="F576" t="s">
        <v>7072</v>
      </c>
      <c r="G576" t="s">
        <v>1002</v>
      </c>
      <c r="H576" t="s">
        <v>9638</v>
      </c>
      <c r="I576" t="s">
        <v>11081</v>
      </c>
      <c r="J576" t="s">
        <v>1641</v>
      </c>
      <c r="K576">
        <v>10466</v>
      </c>
      <c r="L576" t="s">
        <v>1670</v>
      </c>
      <c r="M576" t="s">
        <v>1670</v>
      </c>
      <c r="N576" t="s">
        <v>11988</v>
      </c>
      <c r="O576" t="s">
        <v>1940</v>
      </c>
      <c r="P576" t="s">
        <v>1962</v>
      </c>
      <c r="Q576" t="s">
        <v>1965</v>
      </c>
      <c r="R576" t="s">
        <v>50</v>
      </c>
      <c r="U576" t="s">
        <v>1972</v>
      </c>
      <c r="W576" t="s">
        <v>216</v>
      </c>
      <c r="X576">
        <v>5000</v>
      </c>
      <c r="Y576" t="s">
        <v>2006</v>
      </c>
      <c r="Z576" t="s">
        <v>2028</v>
      </c>
      <c r="AA576" t="s">
        <v>2029</v>
      </c>
      <c r="AB576" t="s">
        <v>13483</v>
      </c>
      <c r="AD576" t="s">
        <v>16010</v>
      </c>
      <c r="AE576" t="s">
        <v>13051</v>
      </c>
      <c r="AF576" t="s">
        <v>2903</v>
      </c>
      <c r="AG576" t="s">
        <v>1754</v>
      </c>
      <c r="AH576">
        <v>30</v>
      </c>
      <c r="AI576">
        <v>7</v>
      </c>
      <c r="AJ576">
        <v>0</v>
      </c>
      <c r="AK576">
        <v>359.43</v>
      </c>
      <c r="AO576">
        <v>136800</v>
      </c>
      <c r="AP576" t="s">
        <v>18164</v>
      </c>
      <c r="AU576">
        <v>6.3</v>
      </c>
      <c r="AV576" t="s">
        <v>6180</v>
      </c>
      <c r="AW576" t="s">
        <v>18663</v>
      </c>
    </row>
    <row r="577" spans="1:50">
      <c r="A577" s="1" t="s">
        <v>133</v>
      </c>
      <c r="B577" t="s">
        <v>163</v>
      </c>
      <c r="C577" t="s">
        <v>3787</v>
      </c>
      <c r="D577" t="s">
        <v>272</v>
      </c>
      <c r="F577" t="s">
        <v>7073</v>
      </c>
      <c r="G577" t="s">
        <v>8159</v>
      </c>
      <c r="H577" t="s">
        <v>9401</v>
      </c>
      <c r="I577">
        <v>27</v>
      </c>
      <c r="J577" t="s">
        <v>1644</v>
      </c>
      <c r="K577">
        <v>11213</v>
      </c>
      <c r="L577" t="s">
        <v>1670</v>
      </c>
      <c r="M577" t="s">
        <v>1672</v>
      </c>
      <c r="O577" t="s">
        <v>1675</v>
      </c>
      <c r="P577" t="s">
        <v>1959</v>
      </c>
      <c r="R577" t="s">
        <v>50</v>
      </c>
      <c r="S577" t="s">
        <v>1670</v>
      </c>
      <c r="U577" t="s">
        <v>1972</v>
      </c>
      <c r="V577" t="s">
        <v>1984</v>
      </c>
      <c r="W577" t="s">
        <v>213</v>
      </c>
      <c r="X577">
        <v>861.2</v>
      </c>
      <c r="Y577" t="s">
        <v>2009</v>
      </c>
      <c r="Z577" t="s">
        <v>2015</v>
      </c>
      <c r="AB577" t="s">
        <v>13484</v>
      </c>
      <c r="AD577" t="s">
        <v>16011</v>
      </c>
      <c r="AE577">
        <v>31</v>
      </c>
      <c r="AF577" t="s">
        <v>2902</v>
      </c>
      <c r="AG577" t="s">
        <v>1754</v>
      </c>
      <c r="AH577">
        <v>34</v>
      </c>
      <c r="AI577">
        <v>2</v>
      </c>
      <c r="AJ577">
        <v>0</v>
      </c>
      <c r="AK577">
        <v>359.55</v>
      </c>
      <c r="AN577" t="s">
        <v>2926</v>
      </c>
      <c r="AO577">
        <v>60800</v>
      </c>
      <c r="AP577" t="s">
        <v>18165</v>
      </c>
      <c r="AU577" t="s">
        <v>13051</v>
      </c>
      <c r="AW577" t="s">
        <v>3060</v>
      </c>
      <c r="AX577" t="s">
        <v>18685</v>
      </c>
    </row>
    <row r="578" spans="1:50">
      <c r="A578" s="1" t="s">
        <v>122</v>
      </c>
      <c r="B578" t="s">
        <v>164</v>
      </c>
      <c r="C578" t="s">
        <v>3788</v>
      </c>
      <c r="D578" t="s">
        <v>301</v>
      </c>
      <c r="E578" t="s">
        <v>326</v>
      </c>
      <c r="F578" t="s">
        <v>7074</v>
      </c>
      <c r="G578" t="s">
        <v>8160</v>
      </c>
      <c r="H578" t="s">
        <v>9639</v>
      </c>
      <c r="I578" t="s">
        <v>1490</v>
      </c>
      <c r="J578" t="s">
        <v>1641</v>
      </c>
      <c r="K578">
        <v>10451</v>
      </c>
      <c r="L578" t="s">
        <v>1670</v>
      </c>
      <c r="M578" t="s">
        <v>1670</v>
      </c>
      <c r="O578" t="s">
        <v>1675</v>
      </c>
      <c r="P578" t="s">
        <v>1958</v>
      </c>
      <c r="Q578" t="s">
        <v>1965</v>
      </c>
      <c r="R578" t="s">
        <v>50</v>
      </c>
      <c r="S578" t="s">
        <v>1671</v>
      </c>
      <c r="U578" t="s">
        <v>1972</v>
      </c>
      <c r="W578" t="s">
        <v>326</v>
      </c>
      <c r="X578">
        <v>2450</v>
      </c>
      <c r="Y578" t="s">
        <v>2006</v>
      </c>
      <c r="Z578" t="s">
        <v>2015</v>
      </c>
      <c r="AA578" t="s">
        <v>2029</v>
      </c>
      <c r="AB578" t="s">
        <v>13485</v>
      </c>
      <c r="AD578" t="s">
        <v>16012</v>
      </c>
      <c r="AE578" t="s">
        <v>13051</v>
      </c>
      <c r="AF578" t="s">
        <v>2902</v>
      </c>
      <c r="AG578" t="s">
        <v>1754</v>
      </c>
      <c r="AH578">
        <v>3</v>
      </c>
      <c r="AI578">
        <v>1</v>
      </c>
      <c r="AJ578">
        <v>0</v>
      </c>
      <c r="AK578">
        <v>360.29</v>
      </c>
      <c r="AN578" t="s">
        <v>2926</v>
      </c>
      <c r="AO578">
        <v>45000</v>
      </c>
      <c r="AU578">
        <v>1.2</v>
      </c>
      <c r="AV578" t="s">
        <v>339</v>
      </c>
      <c r="AW578" t="s">
        <v>122</v>
      </c>
    </row>
    <row r="579" spans="1:50">
      <c r="A579" s="1" t="s">
        <v>94</v>
      </c>
      <c r="B579" t="s">
        <v>164</v>
      </c>
      <c r="C579" t="s">
        <v>3789</v>
      </c>
      <c r="D579" t="s">
        <v>338</v>
      </c>
      <c r="E579" t="s">
        <v>337</v>
      </c>
      <c r="F579" t="s">
        <v>7075</v>
      </c>
      <c r="G579" t="s">
        <v>8161</v>
      </c>
      <c r="H579" t="s">
        <v>9637</v>
      </c>
      <c r="I579" t="s">
        <v>1503</v>
      </c>
      <c r="J579" t="s">
        <v>1643</v>
      </c>
      <c r="K579">
        <v>10033</v>
      </c>
      <c r="L579" t="s">
        <v>1670</v>
      </c>
      <c r="M579" t="s">
        <v>1670</v>
      </c>
      <c r="P579" t="s">
        <v>1958</v>
      </c>
      <c r="Q579" t="s">
        <v>1965</v>
      </c>
      <c r="R579" t="s">
        <v>50</v>
      </c>
      <c r="S579" t="s">
        <v>1670</v>
      </c>
      <c r="U579" t="s">
        <v>1972</v>
      </c>
      <c r="W579" t="s">
        <v>338</v>
      </c>
      <c r="X579" t="s">
        <v>13051</v>
      </c>
      <c r="Y579" t="s">
        <v>2008</v>
      </c>
      <c r="Z579" t="s">
        <v>2028</v>
      </c>
      <c r="AA579" t="s">
        <v>2029</v>
      </c>
      <c r="AB579" t="s">
        <v>13486</v>
      </c>
      <c r="AD579" t="s">
        <v>16013</v>
      </c>
      <c r="AE579">
        <v>60</v>
      </c>
      <c r="AF579" t="s">
        <v>2902</v>
      </c>
      <c r="AG579" t="s">
        <v>1754</v>
      </c>
      <c r="AH579" t="s">
        <v>13051</v>
      </c>
      <c r="AI579">
        <v>1</v>
      </c>
      <c r="AJ579">
        <v>0</v>
      </c>
      <c r="AK579">
        <v>360.29</v>
      </c>
      <c r="AL579" t="s">
        <v>303</v>
      </c>
      <c r="AM579" t="s">
        <v>18031</v>
      </c>
      <c r="AN579" t="s">
        <v>2926</v>
      </c>
      <c r="AO579">
        <v>45000</v>
      </c>
      <c r="AU579">
        <v>0.01</v>
      </c>
      <c r="AV579" t="s">
        <v>337</v>
      </c>
      <c r="AW579" t="s">
        <v>3042</v>
      </c>
    </row>
    <row r="580" spans="1:50">
      <c r="A580" s="1" t="s">
        <v>94</v>
      </c>
      <c r="B580" t="s">
        <v>164</v>
      </c>
      <c r="C580" t="s">
        <v>3790</v>
      </c>
      <c r="D580" t="s">
        <v>290</v>
      </c>
      <c r="E580" t="s">
        <v>249</v>
      </c>
      <c r="F580" t="s">
        <v>7076</v>
      </c>
      <c r="G580" t="s">
        <v>888</v>
      </c>
      <c r="H580" t="s">
        <v>9640</v>
      </c>
      <c r="I580" t="s">
        <v>1633</v>
      </c>
      <c r="J580" t="s">
        <v>1643</v>
      </c>
      <c r="K580">
        <v>10032</v>
      </c>
      <c r="L580" t="s">
        <v>1670</v>
      </c>
      <c r="M580" t="s">
        <v>1672</v>
      </c>
      <c r="O580" t="s">
        <v>1941</v>
      </c>
      <c r="P580" t="s">
        <v>1958</v>
      </c>
      <c r="Q580" t="s">
        <v>1965</v>
      </c>
      <c r="R580" t="s">
        <v>50</v>
      </c>
      <c r="S580" t="s">
        <v>1671</v>
      </c>
      <c r="U580" t="s">
        <v>1972</v>
      </c>
      <c r="W580" t="s">
        <v>290</v>
      </c>
      <c r="X580">
        <v>1381.42</v>
      </c>
      <c r="Y580" t="s">
        <v>2008</v>
      </c>
      <c r="Z580" t="s">
        <v>2013</v>
      </c>
      <c r="AA580" t="s">
        <v>2029</v>
      </c>
      <c r="AB580" t="s">
        <v>13487</v>
      </c>
      <c r="AD580" t="s">
        <v>16014</v>
      </c>
      <c r="AE580">
        <v>54</v>
      </c>
      <c r="AF580" t="s">
        <v>2902</v>
      </c>
      <c r="AG580" t="s">
        <v>1754</v>
      </c>
      <c r="AH580">
        <v>35</v>
      </c>
      <c r="AI580">
        <v>1</v>
      </c>
      <c r="AJ580">
        <v>0</v>
      </c>
      <c r="AK580">
        <v>360.29</v>
      </c>
      <c r="AN580" t="s">
        <v>2927</v>
      </c>
      <c r="AO580">
        <v>45000</v>
      </c>
      <c r="AU580">
        <v>1</v>
      </c>
      <c r="AV580" t="s">
        <v>357</v>
      </c>
      <c r="AW580" t="s">
        <v>3042</v>
      </c>
      <c r="AX580" t="s">
        <v>18685</v>
      </c>
    </row>
    <row r="581" spans="1:50">
      <c r="A581" s="1" t="s">
        <v>82</v>
      </c>
      <c r="B581" t="s">
        <v>163</v>
      </c>
      <c r="C581" t="s">
        <v>3791</v>
      </c>
      <c r="D581" t="s">
        <v>1999</v>
      </c>
      <c r="F581" t="s">
        <v>7077</v>
      </c>
      <c r="G581" t="s">
        <v>909</v>
      </c>
      <c r="H581" t="s">
        <v>1144</v>
      </c>
      <c r="I581" t="s">
        <v>11053</v>
      </c>
      <c r="J581" t="s">
        <v>1644</v>
      </c>
      <c r="K581">
        <v>11233</v>
      </c>
      <c r="L581" t="s">
        <v>1670</v>
      </c>
      <c r="M581" t="s">
        <v>1672</v>
      </c>
      <c r="O581" t="s">
        <v>1937</v>
      </c>
      <c r="P581" t="s">
        <v>1962</v>
      </c>
      <c r="R581" t="s">
        <v>50</v>
      </c>
      <c r="S581" t="s">
        <v>1670</v>
      </c>
      <c r="U581" t="s">
        <v>1972</v>
      </c>
      <c r="V581" t="s">
        <v>1984</v>
      </c>
      <c r="W581" t="s">
        <v>221</v>
      </c>
      <c r="X581">
        <v>1162</v>
      </c>
      <c r="Y581" t="s">
        <v>2009</v>
      </c>
      <c r="Z581" t="s">
        <v>2017</v>
      </c>
      <c r="AB581" t="s">
        <v>13488</v>
      </c>
      <c r="AE581">
        <v>359</v>
      </c>
      <c r="AF581" t="s">
        <v>2902</v>
      </c>
      <c r="AH581">
        <v>55</v>
      </c>
      <c r="AI581">
        <v>1</v>
      </c>
      <c r="AJ581">
        <v>0</v>
      </c>
      <c r="AK581">
        <v>360.29</v>
      </c>
      <c r="AN581" t="s">
        <v>2926</v>
      </c>
      <c r="AO581">
        <v>45000</v>
      </c>
      <c r="AP581" t="s">
        <v>18166</v>
      </c>
      <c r="AU581" t="s">
        <v>13051</v>
      </c>
      <c r="AW581" t="s">
        <v>3059</v>
      </c>
      <c r="AX581" t="s">
        <v>1754</v>
      </c>
    </row>
    <row r="582" spans="1:50">
      <c r="A582" s="1" t="s">
        <v>82</v>
      </c>
      <c r="B582" t="s">
        <v>163</v>
      </c>
      <c r="C582" t="s">
        <v>3792</v>
      </c>
      <c r="D582" t="s">
        <v>1999</v>
      </c>
      <c r="F582" t="s">
        <v>7077</v>
      </c>
      <c r="G582" t="s">
        <v>909</v>
      </c>
      <c r="H582" t="s">
        <v>1144</v>
      </c>
      <c r="I582" t="s">
        <v>11053</v>
      </c>
      <c r="J582" t="s">
        <v>1644</v>
      </c>
      <c r="K582">
        <v>11233</v>
      </c>
      <c r="L582" t="s">
        <v>1670</v>
      </c>
      <c r="M582" t="s">
        <v>1672</v>
      </c>
      <c r="O582" t="s">
        <v>1938</v>
      </c>
      <c r="P582" t="s">
        <v>1961</v>
      </c>
      <c r="R582" t="s">
        <v>50</v>
      </c>
      <c r="S582" t="s">
        <v>1670</v>
      </c>
      <c r="U582" t="s">
        <v>1972</v>
      </c>
      <c r="V582" t="s">
        <v>1984</v>
      </c>
      <c r="W582" t="s">
        <v>248</v>
      </c>
      <c r="X582">
        <v>1162</v>
      </c>
      <c r="Y582" t="s">
        <v>2009</v>
      </c>
      <c r="Z582" t="s">
        <v>2017</v>
      </c>
      <c r="AB582" t="s">
        <v>13488</v>
      </c>
      <c r="AE582">
        <v>359</v>
      </c>
      <c r="AF582" t="s">
        <v>2902</v>
      </c>
      <c r="AH582">
        <v>55</v>
      </c>
      <c r="AI582">
        <v>1</v>
      </c>
      <c r="AJ582">
        <v>0</v>
      </c>
      <c r="AK582">
        <v>360.29</v>
      </c>
      <c r="AN582" t="s">
        <v>2926</v>
      </c>
      <c r="AO582">
        <v>45000</v>
      </c>
      <c r="AP582" t="s">
        <v>18097</v>
      </c>
      <c r="AU582" t="s">
        <v>13051</v>
      </c>
      <c r="AW582" t="s">
        <v>3059</v>
      </c>
      <c r="AX582" t="s">
        <v>1754</v>
      </c>
    </row>
    <row r="583" spans="1:50">
      <c r="A583" s="1" t="s">
        <v>113</v>
      </c>
      <c r="B583" t="s">
        <v>164</v>
      </c>
      <c r="C583" t="s">
        <v>3793</v>
      </c>
      <c r="D583" t="s">
        <v>246</v>
      </c>
      <c r="E583" t="s">
        <v>243</v>
      </c>
      <c r="F583" t="s">
        <v>7078</v>
      </c>
      <c r="G583" t="s">
        <v>952</v>
      </c>
      <c r="H583" t="s">
        <v>9641</v>
      </c>
      <c r="I583">
        <v>17</v>
      </c>
      <c r="J583" t="s">
        <v>1643</v>
      </c>
      <c r="K583">
        <v>10032</v>
      </c>
      <c r="L583" t="s">
        <v>1670</v>
      </c>
      <c r="M583" t="s">
        <v>1670</v>
      </c>
      <c r="N583" t="s">
        <v>11989</v>
      </c>
      <c r="O583" t="s">
        <v>1940</v>
      </c>
      <c r="P583" t="s">
        <v>1958</v>
      </c>
      <c r="Q583" t="s">
        <v>1965</v>
      </c>
      <c r="R583" t="s">
        <v>50</v>
      </c>
      <c r="S583" t="s">
        <v>1671</v>
      </c>
      <c r="U583" t="s">
        <v>1972</v>
      </c>
      <c r="W583" t="s">
        <v>246</v>
      </c>
      <c r="X583">
        <v>742.08</v>
      </c>
      <c r="Y583" t="s">
        <v>2008</v>
      </c>
      <c r="Z583" t="s">
        <v>2011</v>
      </c>
      <c r="AA583" t="s">
        <v>2029</v>
      </c>
      <c r="AB583" t="s">
        <v>13489</v>
      </c>
      <c r="AD583" t="s">
        <v>16015</v>
      </c>
      <c r="AE583" t="s">
        <v>13051</v>
      </c>
      <c r="AF583" t="s">
        <v>2908</v>
      </c>
      <c r="AH583">
        <v>40</v>
      </c>
      <c r="AI583">
        <v>2</v>
      </c>
      <c r="AJ583">
        <v>0</v>
      </c>
      <c r="AK583">
        <v>360.87</v>
      </c>
      <c r="AN583" t="s">
        <v>2927</v>
      </c>
      <c r="AO583">
        <v>59400</v>
      </c>
      <c r="AU583">
        <v>0.3</v>
      </c>
      <c r="AV583" t="s">
        <v>375</v>
      </c>
      <c r="AW583" t="s">
        <v>3061</v>
      </c>
    </row>
    <row r="584" spans="1:50">
      <c r="A584" s="1" t="s">
        <v>74</v>
      </c>
      <c r="B584" t="s">
        <v>163</v>
      </c>
      <c r="C584" t="s">
        <v>3794</v>
      </c>
      <c r="D584" t="s">
        <v>375</v>
      </c>
      <c r="F584" t="s">
        <v>7068</v>
      </c>
      <c r="G584" t="s">
        <v>8152</v>
      </c>
      <c r="H584" t="s">
        <v>1131</v>
      </c>
      <c r="I584" t="s">
        <v>11074</v>
      </c>
      <c r="J584" t="s">
        <v>1641</v>
      </c>
      <c r="K584">
        <v>10460</v>
      </c>
      <c r="L584" t="s">
        <v>1670</v>
      </c>
      <c r="M584" t="s">
        <v>1670</v>
      </c>
      <c r="N584" t="s">
        <v>1692</v>
      </c>
      <c r="O584" t="s">
        <v>1939</v>
      </c>
      <c r="P584" t="s">
        <v>1960</v>
      </c>
      <c r="R584" t="s">
        <v>50</v>
      </c>
      <c r="S584" t="s">
        <v>1670</v>
      </c>
      <c r="U584" t="s">
        <v>1972</v>
      </c>
      <c r="W584" t="s">
        <v>283</v>
      </c>
      <c r="X584">
        <v>1967</v>
      </c>
      <c r="Y584" t="s">
        <v>2006</v>
      </c>
      <c r="Z584" t="s">
        <v>2015</v>
      </c>
      <c r="AB584" t="s">
        <v>13474</v>
      </c>
      <c r="AD584" t="s">
        <v>16004</v>
      </c>
      <c r="AE584">
        <v>168</v>
      </c>
      <c r="AF584" t="s">
        <v>2910</v>
      </c>
      <c r="AG584" t="s">
        <v>2915</v>
      </c>
      <c r="AH584">
        <v>3</v>
      </c>
      <c r="AI584">
        <v>2</v>
      </c>
      <c r="AJ584">
        <v>0</v>
      </c>
      <c r="AK584">
        <v>363.3</v>
      </c>
      <c r="AN584" t="s">
        <v>2926</v>
      </c>
      <c r="AO584">
        <v>59800</v>
      </c>
      <c r="AU584">
        <v>9</v>
      </c>
      <c r="AV584" t="s">
        <v>361</v>
      </c>
      <c r="AW584" t="s">
        <v>76</v>
      </c>
    </row>
    <row r="585" spans="1:50">
      <c r="A585" s="1" t="s">
        <v>61</v>
      </c>
      <c r="B585" t="s">
        <v>164</v>
      </c>
      <c r="C585" t="s">
        <v>3795</v>
      </c>
      <c r="D585" t="s">
        <v>335</v>
      </c>
      <c r="E585" t="s">
        <v>330</v>
      </c>
      <c r="F585" t="s">
        <v>7079</v>
      </c>
      <c r="G585" t="s">
        <v>8162</v>
      </c>
      <c r="H585" t="s">
        <v>1464</v>
      </c>
      <c r="I585" t="s">
        <v>1490</v>
      </c>
      <c r="J585" t="s">
        <v>1644</v>
      </c>
      <c r="K585">
        <v>11226</v>
      </c>
      <c r="L585" t="s">
        <v>1670</v>
      </c>
      <c r="M585" t="s">
        <v>1670</v>
      </c>
      <c r="O585" t="s">
        <v>1675</v>
      </c>
      <c r="P585" t="s">
        <v>1962</v>
      </c>
      <c r="Q585" t="s">
        <v>1965</v>
      </c>
      <c r="R585" t="s">
        <v>50</v>
      </c>
      <c r="S585" t="s">
        <v>1671</v>
      </c>
      <c r="U585" t="s">
        <v>1972</v>
      </c>
      <c r="W585" t="s">
        <v>252</v>
      </c>
      <c r="X585">
        <v>1450</v>
      </c>
      <c r="Y585" t="s">
        <v>2009</v>
      </c>
      <c r="Z585" t="s">
        <v>2016</v>
      </c>
      <c r="AA585" t="s">
        <v>2029</v>
      </c>
      <c r="AB585" t="s">
        <v>2441</v>
      </c>
      <c r="AE585">
        <v>48</v>
      </c>
      <c r="AF585" t="s">
        <v>2902</v>
      </c>
      <c r="AG585" t="s">
        <v>1754</v>
      </c>
      <c r="AH585">
        <v>4</v>
      </c>
      <c r="AI585">
        <v>2</v>
      </c>
      <c r="AJ585">
        <v>0</v>
      </c>
      <c r="AK585">
        <v>364.52</v>
      </c>
      <c r="AN585" t="s">
        <v>2926</v>
      </c>
      <c r="AO585">
        <v>60000</v>
      </c>
      <c r="AU585">
        <v>2.4</v>
      </c>
      <c r="AV585" t="s">
        <v>345</v>
      </c>
      <c r="AW585" t="s">
        <v>61</v>
      </c>
    </row>
    <row r="586" spans="1:50">
      <c r="A586" s="1" t="s">
        <v>95</v>
      </c>
      <c r="B586" t="s">
        <v>164</v>
      </c>
      <c r="C586" t="s">
        <v>3796</v>
      </c>
      <c r="D586" t="s">
        <v>231</v>
      </c>
      <c r="E586" t="s">
        <v>376</v>
      </c>
      <c r="F586" t="s">
        <v>7080</v>
      </c>
      <c r="G586" t="s">
        <v>8163</v>
      </c>
      <c r="H586" t="s">
        <v>9624</v>
      </c>
      <c r="I586" t="s">
        <v>1580</v>
      </c>
      <c r="J586" t="s">
        <v>1641</v>
      </c>
      <c r="K586">
        <v>10452</v>
      </c>
      <c r="L586" t="s">
        <v>1670</v>
      </c>
      <c r="M586" t="s">
        <v>1670</v>
      </c>
      <c r="O586" t="s">
        <v>1675</v>
      </c>
      <c r="P586" t="s">
        <v>1962</v>
      </c>
      <c r="Q586" t="s">
        <v>1968</v>
      </c>
      <c r="R586" t="s">
        <v>50</v>
      </c>
      <c r="S586" t="s">
        <v>1671</v>
      </c>
      <c r="U586" t="s">
        <v>1972</v>
      </c>
      <c r="W586" t="s">
        <v>231</v>
      </c>
      <c r="X586">
        <v>1277.64</v>
      </c>
      <c r="Y586" t="s">
        <v>2006</v>
      </c>
      <c r="Z586" t="s">
        <v>2017</v>
      </c>
      <c r="AA586" t="s">
        <v>2029</v>
      </c>
      <c r="AB586" t="s">
        <v>2199</v>
      </c>
      <c r="AD586" t="s">
        <v>16016</v>
      </c>
      <c r="AE586">
        <v>129</v>
      </c>
      <c r="AF586" t="s">
        <v>2902</v>
      </c>
      <c r="AG586" t="s">
        <v>1754</v>
      </c>
      <c r="AH586">
        <v>20</v>
      </c>
      <c r="AI586">
        <v>2</v>
      </c>
      <c r="AJ586">
        <v>0</v>
      </c>
      <c r="AK586">
        <v>364.52</v>
      </c>
      <c r="AN586" t="s">
        <v>2926</v>
      </c>
      <c r="AO586">
        <v>60000</v>
      </c>
      <c r="AU586">
        <v>0.75</v>
      </c>
      <c r="AV586" t="s">
        <v>376</v>
      </c>
      <c r="AW586" t="s">
        <v>95</v>
      </c>
    </row>
    <row r="587" spans="1:50">
      <c r="A587" s="1" t="s">
        <v>127</v>
      </c>
      <c r="B587" t="s">
        <v>163</v>
      </c>
      <c r="C587" t="s">
        <v>3797</v>
      </c>
      <c r="D587" t="s">
        <v>2002</v>
      </c>
      <c r="F587" t="s">
        <v>6946</v>
      </c>
      <c r="G587" t="s">
        <v>7214</v>
      </c>
      <c r="H587" t="s">
        <v>9623</v>
      </c>
      <c r="J587" t="s">
        <v>1644</v>
      </c>
      <c r="K587">
        <v>11212</v>
      </c>
      <c r="L587" t="s">
        <v>1670</v>
      </c>
      <c r="M587" t="s">
        <v>1670</v>
      </c>
      <c r="O587" t="s">
        <v>1675</v>
      </c>
      <c r="P587" t="s">
        <v>1962</v>
      </c>
      <c r="R587" t="s">
        <v>50</v>
      </c>
      <c r="S587" t="s">
        <v>1670</v>
      </c>
      <c r="U587" t="s">
        <v>1972</v>
      </c>
      <c r="W587" t="s">
        <v>2002</v>
      </c>
      <c r="X587">
        <v>770.47</v>
      </c>
      <c r="Y587" t="s">
        <v>2009</v>
      </c>
      <c r="Z587" t="s">
        <v>2016</v>
      </c>
      <c r="AB587" t="s">
        <v>13476</v>
      </c>
      <c r="AD587" t="s">
        <v>16006</v>
      </c>
      <c r="AE587">
        <v>19</v>
      </c>
      <c r="AF587" t="s">
        <v>2902</v>
      </c>
      <c r="AG587" t="s">
        <v>1754</v>
      </c>
      <c r="AH587">
        <v>21</v>
      </c>
      <c r="AI587">
        <v>2</v>
      </c>
      <c r="AJ587">
        <v>0</v>
      </c>
      <c r="AK587">
        <v>364.52</v>
      </c>
      <c r="AN587" t="s">
        <v>2926</v>
      </c>
      <c r="AO587">
        <v>60000</v>
      </c>
      <c r="AP587" t="s">
        <v>2968</v>
      </c>
      <c r="AU587">
        <v>10</v>
      </c>
      <c r="AV587" t="s">
        <v>376</v>
      </c>
      <c r="AW587" t="s">
        <v>55</v>
      </c>
    </row>
    <row r="588" spans="1:50">
      <c r="A588" s="1" t="s">
        <v>74</v>
      </c>
      <c r="B588" t="s">
        <v>163</v>
      </c>
      <c r="C588" t="s">
        <v>3798</v>
      </c>
      <c r="D588" t="s">
        <v>371</v>
      </c>
      <c r="F588" t="s">
        <v>640</v>
      </c>
      <c r="G588" t="s">
        <v>7941</v>
      </c>
      <c r="H588" t="s">
        <v>1131</v>
      </c>
      <c r="I588" t="s">
        <v>11075</v>
      </c>
      <c r="J588" t="s">
        <v>1641</v>
      </c>
      <c r="K588">
        <v>10460</v>
      </c>
      <c r="L588" t="s">
        <v>1670</v>
      </c>
      <c r="M588" t="s">
        <v>1670</v>
      </c>
      <c r="N588" t="s">
        <v>1692</v>
      </c>
      <c r="O588" t="s">
        <v>1939</v>
      </c>
      <c r="P588" t="s">
        <v>1960</v>
      </c>
      <c r="R588" t="s">
        <v>50</v>
      </c>
      <c r="S588" t="s">
        <v>1670</v>
      </c>
      <c r="U588" t="s">
        <v>1972</v>
      </c>
      <c r="W588" t="s">
        <v>283</v>
      </c>
      <c r="X588">
        <v>1367</v>
      </c>
      <c r="Y588" t="s">
        <v>2006</v>
      </c>
      <c r="Z588" t="s">
        <v>2015</v>
      </c>
      <c r="AB588" t="s">
        <v>13475</v>
      </c>
      <c r="AD588" t="s">
        <v>16005</v>
      </c>
      <c r="AE588">
        <v>168</v>
      </c>
      <c r="AF588" t="s">
        <v>2910</v>
      </c>
      <c r="AG588" t="s">
        <v>1754</v>
      </c>
      <c r="AH588">
        <v>24</v>
      </c>
      <c r="AI588">
        <v>1</v>
      </c>
      <c r="AJ588">
        <v>0</v>
      </c>
      <c r="AK588">
        <v>365</v>
      </c>
      <c r="AN588" t="s">
        <v>2926</v>
      </c>
      <c r="AO588">
        <v>44311</v>
      </c>
      <c r="AU588" t="s">
        <v>13051</v>
      </c>
      <c r="AW588" t="s">
        <v>3047</v>
      </c>
    </row>
    <row r="589" spans="1:50">
      <c r="A589" s="1" t="s">
        <v>115</v>
      </c>
      <c r="B589" t="s">
        <v>163</v>
      </c>
      <c r="C589" t="s">
        <v>3799</v>
      </c>
      <c r="D589" t="s">
        <v>350</v>
      </c>
      <c r="F589" t="s">
        <v>544</v>
      </c>
      <c r="G589" t="s">
        <v>1097</v>
      </c>
      <c r="H589" t="s">
        <v>9465</v>
      </c>
      <c r="I589" t="s">
        <v>1525</v>
      </c>
      <c r="J589" t="s">
        <v>1641</v>
      </c>
      <c r="K589">
        <v>10453</v>
      </c>
      <c r="L589" t="s">
        <v>1670</v>
      </c>
      <c r="M589" t="s">
        <v>1670</v>
      </c>
      <c r="O589" t="s">
        <v>1675</v>
      </c>
      <c r="P589" t="s">
        <v>1962</v>
      </c>
      <c r="R589" t="s">
        <v>50</v>
      </c>
      <c r="S589" t="s">
        <v>1671</v>
      </c>
      <c r="U589" t="s">
        <v>1972</v>
      </c>
      <c r="W589" t="s">
        <v>350</v>
      </c>
      <c r="X589">
        <v>1250</v>
      </c>
      <c r="Y589" t="s">
        <v>2006</v>
      </c>
      <c r="Z589" t="s">
        <v>2020</v>
      </c>
      <c r="AB589" t="s">
        <v>13195</v>
      </c>
      <c r="AD589" t="s">
        <v>15798</v>
      </c>
      <c r="AE589">
        <v>21</v>
      </c>
      <c r="AF589" t="s">
        <v>2902</v>
      </c>
      <c r="AG589" t="s">
        <v>1754</v>
      </c>
      <c r="AH589">
        <v>4</v>
      </c>
      <c r="AI589">
        <v>3</v>
      </c>
      <c r="AJ589">
        <v>0</v>
      </c>
      <c r="AK589">
        <v>365.68</v>
      </c>
      <c r="AN589" t="s">
        <v>2927</v>
      </c>
      <c r="AO589">
        <v>78000</v>
      </c>
      <c r="AU589">
        <v>2.3</v>
      </c>
      <c r="AV589" t="s">
        <v>339</v>
      </c>
      <c r="AW589" t="s">
        <v>115</v>
      </c>
    </row>
    <row r="590" spans="1:50">
      <c r="A590" s="1" t="s">
        <v>82</v>
      </c>
      <c r="B590" t="s">
        <v>163</v>
      </c>
      <c r="C590" t="s">
        <v>3800</v>
      </c>
      <c r="D590" t="s">
        <v>165</v>
      </c>
      <c r="F590" t="s">
        <v>647</v>
      </c>
      <c r="G590" t="s">
        <v>909</v>
      </c>
      <c r="H590" t="s">
        <v>1144</v>
      </c>
      <c r="I590" t="s">
        <v>11082</v>
      </c>
      <c r="J590" t="s">
        <v>1644</v>
      </c>
      <c r="K590">
        <v>11233</v>
      </c>
      <c r="L590" t="s">
        <v>1670</v>
      </c>
      <c r="M590" t="s">
        <v>1671</v>
      </c>
      <c r="O590" t="s">
        <v>1938</v>
      </c>
      <c r="P590" t="s">
        <v>1961</v>
      </c>
      <c r="R590" t="s">
        <v>50</v>
      </c>
      <c r="S590" t="s">
        <v>1670</v>
      </c>
      <c r="U590" t="s">
        <v>1972</v>
      </c>
      <c r="V590" t="s">
        <v>1984</v>
      </c>
      <c r="W590" t="s">
        <v>248</v>
      </c>
      <c r="X590">
        <v>1037</v>
      </c>
      <c r="Y590" t="s">
        <v>2009</v>
      </c>
      <c r="Z590" t="s">
        <v>2017</v>
      </c>
      <c r="AB590" t="s">
        <v>13490</v>
      </c>
      <c r="AE590">
        <v>359</v>
      </c>
      <c r="AF590" t="s">
        <v>2902</v>
      </c>
      <c r="AH590">
        <v>49</v>
      </c>
      <c r="AI590">
        <v>3</v>
      </c>
      <c r="AJ590">
        <v>0</v>
      </c>
      <c r="AK590">
        <v>365.68</v>
      </c>
      <c r="AN590" t="s">
        <v>2926</v>
      </c>
      <c r="AO590">
        <v>78000</v>
      </c>
      <c r="AP590" t="s">
        <v>18068</v>
      </c>
      <c r="AU590" t="s">
        <v>13051</v>
      </c>
      <c r="AW590" t="s">
        <v>3059</v>
      </c>
    </row>
    <row r="591" spans="1:50">
      <c r="A591" s="1" t="s">
        <v>92</v>
      </c>
      <c r="B591" t="s">
        <v>164</v>
      </c>
      <c r="C591" t="s">
        <v>3801</v>
      </c>
      <c r="D591" t="s">
        <v>358</v>
      </c>
      <c r="E591" t="s">
        <v>379</v>
      </c>
      <c r="F591" t="s">
        <v>7081</v>
      </c>
      <c r="G591" t="s">
        <v>7087</v>
      </c>
      <c r="H591" t="s">
        <v>9642</v>
      </c>
      <c r="I591" t="s">
        <v>11032</v>
      </c>
      <c r="J591" t="s">
        <v>1643</v>
      </c>
      <c r="K591">
        <v>10037</v>
      </c>
      <c r="L591" t="s">
        <v>1670</v>
      </c>
      <c r="M591" t="s">
        <v>1670</v>
      </c>
      <c r="N591" t="s">
        <v>11990</v>
      </c>
      <c r="O591" t="s">
        <v>1936</v>
      </c>
      <c r="P591" t="s">
        <v>1960</v>
      </c>
      <c r="Q591" t="s">
        <v>1969</v>
      </c>
      <c r="R591" t="s">
        <v>50</v>
      </c>
      <c r="S591" t="s">
        <v>1671</v>
      </c>
      <c r="U591" t="s">
        <v>1973</v>
      </c>
      <c r="V591" t="s">
        <v>1984</v>
      </c>
      <c r="W591" t="s">
        <v>358</v>
      </c>
      <c r="X591">
        <v>780</v>
      </c>
      <c r="Y591" t="s">
        <v>2008</v>
      </c>
      <c r="Z591" t="s">
        <v>2013</v>
      </c>
      <c r="AA591" t="s">
        <v>2032</v>
      </c>
      <c r="AB591" t="s">
        <v>13491</v>
      </c>
      <c r="AD591" t="s">
        <v>16017</v>
      </c>
      <c r="AE591" t="s">
        <v>13051</v>
      </c>
      <c r="AF591" t="s">
        <v>2906</v>
      </c>
      <c r="AG591" t="s">
        <v>1754</v>
      </c>
      <c r="AH591">
        <v>12</v>
      </c>
      <c r="AI591">
        <v>1</v>
      </c>
      <c r="AJ591">
        <v>0</v>
      </c>
      <c r="AK591">
        <v>365.73</v>
      </c>
      <c r="AN591" t="s">
        <v>2926</v>
      </c>
      <c r="AO591">
        <v>44400</v>
      </c>
      <c r="AS591" t="s">
        <v>2992</v>
      </c>
      <c r="AT591" t="s">
        <v>18496</v>
      </c>
      <c r="AU591">
        <v>13.5</v>
      </c>
      <c r="AV591" t="s">
        <v>379</v>
      </c>
      <c r="AW591" t="s">
        <v>3048</v>
      </c>
    </row>
    <row r="592" spans="1:50">
      <c r="A592" s="1" t="s">
        <v>82</v>
      </c>
      <c r="B592" t="s">
        <v>163</v>
      </c>
      <c r="C592" t="s">
        <v>3802</v>
      </c>
      <c r="D592" t="s">
        <v>181</v>
      </c>
      <c r="F592" t="s">
        <v>7082</v>
      </c>
      <c r="G592" t="s">
        <v>8164</v>
      </c>
      <c r="H592" t="s">
        <v>1144</v>
      </c>
      <c r="I592" t="s">
        <v>1538</v>
      </c>
      <c r="J592" t="s">
        <v>1644</v>
      </c>
      <c r="K592">
        <v>11233</v>
      </c>
      <c r="L592" t="s">
        <v>1670</v>
      </c>
      <c r="M592" t="s">
        <v>1671</v>
      </c>
      <c r="N592" t="s">
        <v>1754</v>
      </c>
      <c r="O592" t="s">
        <v>1937</v>
      </c>
      <c r="P592" t="s">
        <v>1962</v>
      </c>
      <c r="R592" t="s">
        <v>50</v>
      </c>
      <c r="S592" t="s">
        <v>1670</v>
      </c>
      <c r="U592" t="s">
        <v>1972</v>
      </c>
      <c r="V592" t="s">
        <v>1984</v>
      </c>
      <c r="W592" t="s">
        <v>221</v>
      </c>
      <c r="X592">
        <v>1038.66</v>
      </c>
      <c r="Y592" t="s">
        <v>2009</v>
      </c>
      <c r="AB592" t="s">
        <v>13492</v>
      </c>
      <c r="AE592">
        <v>359</v>
      </c>
      <c r="AF592" t="s">
        <v>2902</v>
      </c>
      <c r="AH592">
        <v>50</v>
      </c>
      <c r="AI592">
        <v>2</v>
      </c>
      <c r="AJ592">
        <v>0</v>
      </c>
      <c r="AK592">
        <v>366.65</v>
      </c>
      <c r="AN592" t="s">
        <v>2926</v>
      </c>
      <c r="AO592">
        <v>62000</v>
      </c>
      <c r="AP592" t="s">
        <v>18167</v>
      </c>
      <c r="AU592" t="s">
        <v>13051</v>
      </c>
      <c r="AW592" t="s">
        <v>3060</v>
      </c>
    </row>
    <row r="593" spans="1:50">
      <c r="A593" s="1" t="s">
        <v>82</v>
      </c>
      <c r="B593" t="s">
        <v>163</v>
      </c>
      <c r="C593" t="s">
        <v>3803</v>
      </c>
      <c r="D593" t="s">
        <v>181</v>
      </c>
      <c r="F593" t="s">
        <v>7082</v>
      </c>
      <c r="G593" t="s">
        <v>8164</v>
      </c>
      <c r="H593" t="s">
        <v>1144</v>
      </c>
      <c r="I593" t="s">
        <v>1538</v>
      </c>
      <c r="J593" t="s">
        <v>1644</v>
      </c>
      <c r="K593">
        <v>11233</v>
      </c>
      <c r="L593" t="s">
        <v>1670</v>
      </c>
      <c r="M593" t="s">
        <v>1671</v>
      </c>
      <c r="N593" t="s">
        <v>1754</v>
      </c>
      <c r="O593" t="s">
        <v>1938</v>
      </c>
      <c r="P593" t="s">
        <v>1961</v>
      </c>
      <c r="R593" t="s">
        <v>50</v>
      </c>
      <c r="S593" t="s">
        <v>1670</v>
      </c>
      <c r="U593" t="s">
        <v>1972</v>
      </c>
      <c r="V593" t="s">
        <v>1984</v>
      </c>
      <c r="W593" t="s">
        <v>248</v>
      </c>
      <c r="X593">
        <v>1038.66</v>
      </c>
      <c r="Y593" t="s">
        <v>2009</v>
      </c>
      <c r="AB593" t="s">
        <v>13492</v>
      </c>
      <c r="AE593">
        <v>359</v>
      </c>
      <c r="AF593" t="s">
        <v>2902</v>
      </c>
      <c r="AH593">
        <v>50</v>
      </c>
      <c r="AI593">
        <v>2</v>
      </c>
      <c r="AJ593">
        <v>0</v>
      </c>
      <c r="AK593">
        <v>366.65</v>
      </c>
      <c r="AN593" t="s">
        <v>2926</v>
      </c>
      <c r="AO593">
        <v>62000</v>
      </c>
      <c r="AP593" t="s">
        <v>18076</v>
      </c>
      <c r="AU593" t="s">
        <v>13051</v>
      </c>
      <c r="AW593" t="s">
        <v>3060</v>
      </c>
    </row>
    <row r="594" spans="1:50">
      <c r="A594" s="1" t="s">
        <v>133</v>
      </c>
      <c r="B594" t="s">
        <v>163</v>
      </c>
      <c r="C594" t="s">
        <v>3804</v>
      </c>
      <c r="D594" t="s">
        <v>362</v>
      </c>
      <c r="F594" t="s">
        <v>7073</v>
      </c>
      <c r="G594" t="s">
        <v>8159</v>
      </c>
      <c r="H594" t="s">
        <v>9401</v>
      </c>
      <c r="I594">
        <v>27</v>
      </c>
      <c r="J594" t="s">
        <v>1644</v>
      </c>
      <c r="K594">
        <v>11213</v>
      </c>
      <c r="L594" t="s">
        <v>1670</v>
      </c>
      <c r="M594" t="s">
        <v>1670</v>
      </c>
      <c r="N594" t="s">
        <v>1865</v>
      </c>
      <c r="O594" t="s">
        <v>1939</v>
      </c>
      <c r="P594" t="s">
        <v>1960</v>
      </c>
      <c r="R594" t="s">
        <v>50</v>
      </c>
      <c r="S594" t="s">
        <v>1670</v>
      </c>
      <c r="T594" t="s">
        <v>50</v>
      </c>
      <c r="U594" t="s">
        <v>1972</v>
      </c>
      <c r="W594" t="s">
        <v>232</v>
      </c>
      <c r="X594">
        <v>861.2</v>
      </c>
      <c r="Y594" t="s">
        <v>2009</v>
      </c>
      <c r="Z594" t="s">
        <v>2015</v>
      </c>
      <c r="AB594" t="s">
        <v>13484</v>
      </c>
      <c r="AD594" t="s">
        <v>16011</v>
      </c>
      <c r="AE594">
        <v>31</v>
      </c>
      <c r="AF594" t="s">
        <v>2902</v>
      </c>
      <c r="AG594" t="s">
        <v>1754</v>
      </c>
      <c r="AH594">
        <v>34</v>
      </c>
      <c r="AI594">
        <v>2</v>
      </c>
      <c r="AJ594">
        <v>0</v>
      </c>
      <c r="AK594">
        <v>369.38</v>
      </c>
      <c r="AN594" t="s">
        <v>2926</v>
      </c>
      <c r="AO594">
        <v>60800</v>
      </c>
      <c r="AU594">
        <v>0.1</v>
      </c>
      <c r="AV594" t="s">
        <v>165</v>
      </c>
      <c r="AW594" t="s">
        <v>3060</v>
      </c>
    </row>
    <row r="595" spans="1:50">
      <c r="A595" s="1" t="s">
        <v>53</v>
      </c>
      <c r="B595" t="s">
        <v>164</v>
      </c>
      <c r="C595" t="s">
        <v>3805</v>
      </c>
      <c r="D595" t="s">
        <v>231</v>
      </c>
      <c r="E595" t="s">
        <v>223</v>
      </c>
      <c r="F595" t="s">
        <v>7083</v>
      </c>
      <c r="G595" t="s">
        <v>8165</v>
      </c>
      <c r="H595" t="s">
        <v>9643</v>
      </c>
      <c r="I595" t="s">
        <v>1486</v>
      </c>
      <c r="J595" t="s">
        <v>1650</v>
      </c>
      <c r="K595">
        <v>11418</v>
      </c>
      <c r="L595" t="s">
        <v>1670</v>
      </c>
      <c r="M595" t="s">
        <v>1670</v>
      </c>
      <c r="N595" t="s">
        <v>1691</v>
      </c>
      <c r="O595" t="s">
        <v>1675</v>
      </c>
      <c r="P595" t="s">
        <v>1958</v>
      </c>
      <c r="Q595" t="s">
        <v>1965</v>
      </c>
      <c r="R595" t="s">
        <v>51</v>
      </c>
      <c r="S595" t="s">
        <v>1671</v>
      </c>
      <c r="U595" t="s">
        <v>1972</v>
      </c>
      <c r="V595" t="s">
        <v>1984</v>
      </c>
      <c r="W595" t="s">
        <v>231</v>
      </c>
      <c r="X595">
        <v>1950</v>
      </c>
      <c r="Y595" t="s">
        <v>2007</v>
      </c>
      <c r="Z595" t="s">
        <v>2012</v>
      </c>
      <c r="AA595" t="s">
        <v>2029</v>
      </c>
      <c r="AB595" t="s">
        <v>2118</v>
      </c>
      <c r="AC595" t="s">
        <v>1754</v>
      </c>
      <c r="AD595" t="s">
        <v>15077</v>
      </c>
      <c r="AE595">
        <v>18</v>
      </c>
      <c r="AF595" t="s">
        <v>2903</v>
      </c>
      <c r="AG595" t="s">
        <v>1754</v>
      </c>
      <c r="AH595">
        <v>1</v>
      </c>
      <c r="AI595">
        <v>1</v>
      </c>
      <c r="AJ595">
        <v>0</v>
      </c>
      <c r="AK595">
        <v>370.68</v>
      </c>
      <c r="AL595" t="s">
        <v>2923</v>
      </c>
      <c r="AM595" t="s">
        <v>2924</v>
      </c>
      <c r="AN595" t="s">
        <v>2926</v>
      </c>
      <c r="AO595">
        <v>45000</v>
      </c>
      <c r="AU595">
        <v>1.9</v>
      </c>
      <c r="AV595" t="s">
        <v>223</v>
      </c>
      <c r="AW595" t="s">
        <v>53</v>
      </c>
    </row>
    <row r="596" spans="1:50">
      <c r="A596" s="1" t="s">
        <v>57</v>
      </c>
      <c r="B596" t="s">
        <v>164</v>
      </c>
      <c r="C596" t="s">
        <v>3806</v>
      </c>
      <c r="D596" t="s">
        <v>250</v>
      </c>
      <c r="E596" t="s">
        <v>174</v>
      </c>
      <c r="F596" t="s">
        <v>7084</v>
      </c>
      <c r="G596" t="s">
        <v>8166</v>
      </c>
      <c r="H596" t="s">
        <v>9644</v>
      </c>
      <c r="I596" t="s">
        <v>1488</v>
      </c>
      <c r="J596" t="s">
        <v>1641</v>
      </c>
      <c r="K596">
        <v>10453</v>
      </c>
      <c r="L596" t="s">
        <v>1670</v>
      </c>
      <c r="M596" t="s">
        <v>1670</v>
      </c>
      <c r="O596" t="s">
        <v>1940</v>
      </c>
      <c r="P596" t="s">
        <v>1958</v>
      </c>
      <c r="Q596" t="s">
        <v>1965</v>
      </c>
      <c r="R596" t="s">
        <v>50</v>
      </c>
      <c r="S596" t="s">
        <v>1671</v>
      </c>
      <c r="U596" t="s">
        <v>1972</v>
      </c>
      <c r="W596" t="s">
        <v>250</v>
      </c>
      <c r="X596">
        <v>1526</v>
      </c>
      <c r="Y596" t="s">
        <v>2006</v>
      </c>
      <c r="AA596" t="s">
        <v>2029</v>
      </c>
      <c r="AB596" t="s">
        <v>13493</v>
      </c>
      <c r="AD596" t="s">
        <v>16018</v>
      </c>
      <c r="AE596">
        <v>225</v>
      </c>
      <c r="AF596" t="s">
        <v>2902</v>
      </c>
      <c r="AG596" t="s">
        <v>1754</v>
      </c>
      <c r="AH596">
        <v>1</v>
      </c>
      <c r="AI596">
        <v>1</v>
      </c>
      <c r="AJ596">
        <v>0</v>
      </c>
      <c r="AK596">
        <v>370.68</v>
      </c>
      <c r="AN596" t="s">
        <v>2926</v>
      </c>
      <c r="AO596">
        <v>45000</v>
      </c>
      <c r="AU596">
        <v>0.1</v>
      </c>
      <c r="AV596" t="s">
        <v>174</v>
      </c>
      <c r="AW596" t="s">
        <v>3046</v>
      </c>
    </row>
    <row r="597" spans="1:50">
      <c r="A597" s="1" t="s">
        <v>92</v>
      </c>
      <c r="B597" t="s">
        <v>164</v>
      </c>
      <c r="C597" t="s">
        <v>3807</v>
      </c>
      <c r="D597" t="s">
        <v>223</v>
      </c>
      <c r="E597" t="s">
        <v>243</v>
      </c>
      <c r="F597" t="s">
        <v>7085</v>
      </c>
      <c r="G597" t="s">
        <v>7998</v>
      </c>
      <c r="H597" t="s">
        <v>9645</v>
      </c>
      <c r="I597" t="s">
        <v>1490</v>
      </c>
      <c r="J597" t="s">
        <v>1643</v>
      </c>
      <c r="K597">
        <v>10026</v>
      </c>
      <c r="L597" t="s">
        <v>1670</v>
      </c>
      <c r="M597" t="s">
        <v>1670</v>
      </c>
      <c r="N597" t="s">
        <v>11991</v>
      </c>
      <c r="O597" t="s">
        <v>1936</v>
      </c>
      <c r="P597" t="s">
        <v>1958</v>
      </c>
      <c r="Q597" t="s">
        <v>1965</v>
      </c>
      <c r="R597" t="s">
        <v>50</v>
      </c>
      <c r="S597" t="s">
        <v>1671</v>
      </c>
      <c r="U597" t="s">
        <v>1972</v>
      </c>
      <c r="V597" t="s">
        <v>1984</v>
      </c>
      <c r="W597" t="s">
        <v>223</v>
      </c>
      <c r="X597">
        <v>3850</v>
      </c>
      <c r="Y597" t="s">
        <v>2008</v>
      </c>
      <c r="Z597" t="s">
        <v>2011</v>
      </c>
      <c r="AA597" t="s">
        <v>2029</v>
      </c>
      <c r="AB597" t="s">
        <v>13494</v>
      </c>
      <c r="AD597" t="s">
        <v>16019</v>
      </c>
      <c r="AE597" t="s">
        <v>13051</v>
      </c>
      <c r="AF597" t="s">
        <v>2904</v>
      </c>
      <c r="AG597" t="s">
        <v>1754</v>
      </c>
      <c r="AH597">
        <v>-1</v>
      </c>
      <c r="AI597">
        <v>1</v>
      </c>
      <c r="AJ597">
        <v>0</v>
      </c>
      <c r="AK597">
        <v>370.68</v>
      </c>
      <c r="AN597" t="s">
        <v>2926</v>
      </c>
      <c r="AO597">
        <v>45000</v>
      </c>
      <c r="AU597">
        <v>0.6</v>
      </c>
      <c r="AV597" t="s">
        <v>223</v>
      </c>
      <c r="AW597" t="s">
        <v>3048</v>
      </c>
    </row>
    <row r="598" spans="1:50">
      <c r="A598" s="1" t="s">
        <v>3173</v>
      </c>
      <c r="B598" t="s">
        <v>164</v>
      </c>
      <c r="C598" t="s">
        <v>3808</v>
      </c>
      <c r="D598" t="s">
        <v>174</v>
      </c>
      <c r="E598" t="s">
        <v>359</v>
      </c>
      <c r="F598" t="s">
        <v>7086</v>
      </c>
      <c r="G598" t="s">
        <v>8167</v>
      </c>
      <c r="H598" t="s">
        <v>9646</v>
      </c>
      <c r="I598" t="s">
        <v>1486</v>
      </c>
      <c r="J598" t="s">
        <v>1643</v>
      </c>
      <c r="K598">
        <v>10026</v>
      </c>
      <c r="L598" t="s">
        <v>1670</v>
      </c>
      <c r="M598" t="s">
        <v>1670</v>
      </c>
      <c r="N598" t="s">
        <v>11992</v>
      </c>
      <c r="O598" t="s">
        <v>1936</v>
      </c>
      <c r="P598" t="s">
        <v>1958</v>
      </c>
      <c r="Q598" t="s">
        <v>1965</v>
      </c>
      <c r="R598" t="s">
        <v>50</v>
      </c>
      <c r="S598" t="s">
        <v>1671</v>
      </c>
      <c r="U598" t="s">
        <v>1972</v>
      </c>
      <c r="V598" t="s">
        <v>1985</v>
      </c>
      <c r="W598" t="s">
        <v>174</v>
      </c>
      <c r="X598">
        <v>702</v>
      </c>
      <c r="Y598" t="s">
        <v>2008</v>
      </c>
      <c r="Z598" t="s">
        <v>2011</v>
      </c>
      <c r="AA598" t="s">
        <v>2029</v>
      </c>
      <c r="AB598" t="s">
        <v>13495</v>
      </c>
      <c r="AD598" t="s">
        <v>16020</v>
      </c>
      <c r="AE598">
        <v>8</v>
      </c>
      <c r="AF598" t="s">
        <v>2910</v>
      </c>
      <c r="AG598" t="s">
        <v>1754</v>
      </c>
      <c r="AH598">
        <v>3</v>
      </c>
      <c r="AI598">
        <v>1</v>
      </c>
      <c r="AJ598">
        <v>0</v>
      </c>
      <c r="AK598">
        <v>370.68</v>
      </c>
      <c r="AN598" t="s">
        <v>2926</v>
      </c>
      <c r="AO598">
        <v>45000</v>
      </c>
      <c r="AU598">
        <v>1.2</v>
      </c>
      <c r="AV598" t="s">
        <v>376</v>
      </c>
      <c r="AW598" t="s">
        <v>3048</v>
      </c>
    </row>
    <row r="599" spans="1:50">
      <c r="A599" s="1" t="s">
        <v>94</v>
      </c>
      <c r="B599" t="s">
        <v>163</v>
      </c>
      <c r="C599" t="s">
        <v>3809</v>
      </c>
      <c r="D599" t="s">
        <v>219</v>
      </c>
      <c r="F599" t="s">
        <v>415</v>
      </c>
      <c r="G599" t="s">
        <v>8168</v>
      </c>
      <c r="H599" t="s">
        <v>9541</v>
      </c>
      <c r="I599">
        <v>54</v>
      </c>
      <c r="J599" t="s">
        <v>1643</v>
      </c>
      <c r="K599">
        <v>10034</v>
      </c>
      <c r="L599" t="s">
        <v>1670</v>
      </c>
      <c r="M599" t="s">
        <v>1670</v>
      </c>
      <c r="O599" t="s">
        <v>1939</v>
      </c>
      <c r="P599" t="s">
        <v>1963</v>
      </c>
      <c r="R599" t="s">
        <v>50</v>
      </c>
      <c r="S599" t="s">
        <v>1670</v>
      </c>
      <c r="U599" t="s">
        <v>1972</v>
      </c>
      <c r="W599" t="s">
        <v>219</v>
      </c>
      <c r="X599">
        <v>1313.52</v>
      </c>
      <c r="Y599" t="s">
        <v>2008</v>
      </c>
      <c r="Z599" t="s">
        <v>2013</v>
      </c>
      <c r="AB599" t="s">
        <v>13496</v>
      </c>
      <c r="AD599" t="s">
        <v>16021</v>
      </c>
      <c r="AE599">
        <v>51</v>
      </c>
      <c r="AF599" t="s">
        <v>2902</v>
      </c>
      <c r="AG599" t="s">
        <v>1754</v>
      </c>
      <c r="AH599">
        <v>18</v>
      </c>
      <c r="AI599">
        <v>2</v>
      </c>
      <c r="AJ599">
        <v>0</v>
      </c>
      <c r="AK599">
        <v>372.56</v>
      </c>
      <c r="AN599" t="s">
        <v>2926</v>
      </c>
      <c r="AO599">
        <v>63000</v>
      </c>
      <c r="AU599">
        <v>0.1</v>
      </c>
      <c r="AV599" t="s">
        <v>346</v>
      </c>
      <c r="AW599" t="s">
        <v>3042</v>
      </c>
    </row>
    <row r="600" spans="1:50">
      <c r="A600" s="1" t="s">
        <v>133</v>
      </c>
      <c r="B600" t="s">
        <v>163</v>
      </c>
      <c r="C600" t="s">
        <v>3810</v>
      </c>
      <c r="D600" t="s">
        <v>272</v>
      </c>
      <c r="F600" t="s">
        <v>843</v>
      </c>
      <c r="G600" t="s">
        <v>8169</v>
      </c>
      <c r="H600" t="s">
        <v>9401</v>
      </c>
      <c r="I600">
        <v>28</v>
      </c>
      <c r="J600" t="s">
        <v>1644</v>
      </c>
      <c r="K600">
        <v>11213</v>
      </c>
      <c r="L600" t="s">
        <v>1670</v>
      </c>
      <c r="M600" t="s">
        <v>1672</v>
      </c>
      <c r="O600" t="s">
        <v>1675</v>
      </c>
      <c r="P600" t="s">
        <v>1959</v>
      </c>
      <c r="R600" t="s">
        <v>50</v>
      </c>
      <c r="S600" t="s">
        <v>1670</v>
      </c>
      <c r="U600" t="s">
        <v>1972</v>
      </c>
      <c r="V600" t="s">
        <v>1984</v>
      </c>
      <c r="W600" t="s">
        <v>213</v>
      </c>
      <c r="X600">
        <v>1326</v>
      </c>
      <c r="Y600" t="s">
        <v>2009</v>
      </c>
      <c r="Z600" t="s">
        <v>2015</v>
      </c>
      <c r="AB600" t="s">
        <v>13497</v>
      </c>
      <c r="AC600" t="s">
        <v>15088</v>
      </c>
      <c r="AD600" t="s">
        <v>16022</v>
      </c>
      <c r="AE600">
        <v>34</v>
      </c>
      <c r="AF600" t="s">
        <v>2902</v>
      </c>
      <c r="AG600" t="s">
        <v>1754</v>
      </c>
      <c r="AH600">
        <v>2</v>
      </c>
      <c r="AI600">
        <v>2</v>
      </c>
      <c r="AJ600">
        <v>0</v>
      </c>
      <c r="AK600">
        <v>372.56</v>
      </c>
      <c r="AN600" t="s">
        <v>2926</v>
      </c>
      <c r="AO600">
        <v>63000</v>
      </c>
      <c r="AP600" t="s">
        <v>18168</v>
      </c>
      <c r="AU600" t="s">
        <v>13051</v>
      </c>
      <c r="AW600" t="s">
        <v>3060</v>
      </c>
      <c r="AX600" t="s">
        <v>18685</v>
      </c>
    </row>
    <row r="601" spans="1:50">
      <c r="A601" s="1" t="s">
        <v>57</v>
      </c>
      <c r="B601" t="s">
        <v>163</v>
      </c>
      <c r="C601" t="s">
        <v>3811</v>
      </c>
      <c r="D601" t="s">
        <v>313</v>
      </c>
      <c r="F601" t="s">
        <v>7087</v>
      </c>
      <c r="G601" t="s">
        <v>7216</v>
      </c>
      <c r="H601" t="s">
        <v>1193</v>
      </c>
      <c r="I601" t="s">
        <v>1475</v>
      </c>
      <c r="J601" t="s">
        <v>1641</v>
      </c>
      <c r="K601">
        <v>10456</v>
      </c>
      <c r="L601" t="s">
        <v>1670</v>
      </c>
      <c r="M601" t="s">
        <v>1670</v>
      </c>
      <c r="N601" t="s">
        <v>1736</v>
      </c>
      <c r="O601" t="s">
        <v>1938</v>
      </c>
      <c r="P601" t="s">
        <v>1961</v>
      </c>
      <c r="R601" t="s">
        <v>50</v>
      </c>
      <c r="S601" t="s">
        <v>1670</v>
      </c>
      <c r="U601" t="s">
        <v>1972</v>
      </c>
      <c r="W601" t="s">
        <v>219</v>
      </c>
      <c r="X601">
        <v>1098</v>
      </c>
      <c r="Y601" t="s">
        <v>2006</v>
      </c>
      <c r="Z601" t="s">
        <v>2015</v>
      </c>
      <c r="AB601" t="s">
        <v>13498</v>
      </c>
      <c r="AD601" t="s">
        <v>16023</v>
      </c>
      <c r="AE601">
        <v>61</v>
      </c>
      <c r="AF601" t="s">
        <v>2902</v>
      </c>
      <c r="AG601" t="s">
        <v>1754</v>
      </c>
      <c r="AH601">
        <v>1</v>
      </c>
      <c r="AI601">
        <v>2</v>
      </c>
      <c r="AJ601">
        <v>0</v>
      </c>
      <c r="AK601">
        <v>372.56</v>
      </c>
      <c r="AN601" t="s">
        <v>2927</v>
      </c>
      <c r="AO601">
        <v>63000</v>
      </c>
      <c r="AU601" t="s">
        <v>13051</v>
      </c>
      <c r="AW601" t="s">
        <v>3047</v>
      </c>
    </row>
    <row r="602" spans="1:50">
      <c r="A602" s="1" t="s">
        <v>57</v>
      </c>
      <c r="B602" t="s">
        <v>163</v>
      </c>
      <c r="C602" t="s">
        <v>3812</v>
      </c>
      <c r="D602" t="s">
        <v>313</v>
      </c>
      <c r="F602" t="s">
        <v>7087</v>
      </c>
      <c r="G602" t="s">
        <v>7216</v>
      </c>
      <c r="H602" t="s">
        <v>1193</v>
      </c>
      <c r="I602" t="s">
        <v>1475</v>
      </c>
      <c r="J602" t="s">
        <v>1641</v>
      </c>
      <c r="K602">
        <v>10456</v>
      </c>
      <c r="L602" t="s">
        <v>1670</v>
      </c>
      <c r="M602" t="s">
        <v>1670</v>
      </c>
      <c r="N602" t="s">
        <v>11993</v>
      </c>
      <c r="O602" t="s">
        <v>1938</v>
      </c>
      <c r="P602" t="s">
        <v>1961</v>
      </c>
      <c r="R602" t="s">
        <v>50</v>
      </c>
      <c r="S602" t="s">
        <v>1670</v>
      </c>
      <c r="U602" t="s">
        <v>1972</v>
      </c>
      <c r="W602" t="s">
        <v>219</v>
      </c>
      <c r="X602">
        <v>1098</v>
      </c>
      <c r="Y602" t="s">
        <v>2006</v>
      </c>
      <c r="Z602" t="s">
        <v>2015</v>
      </c>
      <c r="AB602" t="s">
        <v>13498</v>
      </c>
      <c r="AD602" t="s">
        <v>16023</v>
      </c>
      <c r="AE602">
        <v>61</v>
      </c>
      <c r="AF602" t="s">
        <v>2902</v>
      </c>
      <c r="AG602" t="s">
        <v>1754</v>
      </c>
      <c r="AH602">
        <v>1</v>
      </c>
      <c r="AI602">
        <v>2</v>
      </c>
      <c r="AJ602">
        <v>0</v>
      </c>
      <c r="AK602">
        <v>372.56</v>
      </c>
      <c r="AN602" t="s">
        <v>2927</v>
      </c>
      <c r="AO602">
        <v>63000</v>
      </c>
      <c r="AU602" t="s">
        <v>13051</v>
      </c>
      <c r="AW602" t="s">
        <v>3047</v>
      </c>
    </row>
    <row r="603" spans="1:50">
      <c r="A603" s="1" t="s">
        <v>57</v>
      </c>
      <c r="B603" t="s">
        <v>163</v>
      </c>
      <c r="C603" t="s">
        <v>3813</v>
      </c>
      <c r="D603" t="s">
        <v>266</v>
      </c>
      <c r="F603" t="s">
        <v>6944</v>
      </c>
      <c r="G603" t="s">
        <v>8145</v>
      </c>
      <c r="H603" t="s">
        <v>1112</v>
      </c>
      <c r="I603" t="s">
        <v>11083</v>
      </c>
      <c r="J603" t="s">
        <v>1641</v>
      </c>
      <c r="K603">
        <v>10453</v>
      </c>
      <c r="L603" t="s">
        <v>1670</v>
      </c>
      <c r="M603" t="s">
        <v>1670</v>
      </c>
      <c r="O603" t="s">
        <v>1938</v>
      </c>
      <c r="P603" t="s">
        <v>1961</v>
      </c>
      <c r="R603" t="s">
        <v>50</v>
      </c>
      <c r="S603" t="s">
        <v>1670</v>
      </c>
      <c r="U603" t="s">
        <v>1972</v>
      </c>
      <c r="W603" t="s">
        <v>392</v>
      </c>
      <c r="X603">
        <v>1067.78</v>
      </c>
      <c r="Y603" t="s">
        <v>2006</v>
      </c>
      <c r="Z603" t="s">
        <v>2016</v>
      </c>
      <c r="AB603" t="s">
        <v>13499</v>
      </c>
      <c r="AD603" t="s">
        <v>16024</v>
      </c>
      <c r="AE603">
        <v>170</v>
      </c>
      <c r="AF603" t="s">
        <v>2902</v>
      </c>
      <c r="AG603" t="s">
        <v>1754</v>
      </c>
      <c r="AH603">
        <v>20</v>
      </c>
      <c r="AI603">
        <v>2</v>
      </c>
      <c r="AJ603">
        <v>0</v>
      </c>
      <c r="AK603">
        <v>372.56</v>
      </c>
      <c r="AN603" t="s">
        <v>2926</v>
      </c>
      <c r="AO603">
        <v>63000</v>
      </c>
      <c r="AU603" t="s">
        <v>13051</v>
      </c>
      <c r="AW603" t="s">
        <v>3045</v>
      </c>
      <c r="AX603" t="s">
        <v>18685</v>
      </c>
    </row>
    <row r="604" spans="1:50">
      <c r="A604" s="1" t="s">
        <v>57</v>
      </c>
      <c r="B604" t="s">
        <v>163</v>
      </c>
      <c r="C604" t="s">
        <v>3814</v>
      </c>
      <c r="D604" t="s">
        <v>190</v>
      </c>
      <c r="F604" t="s">
        <v>6944</v>
      </c>
      <c r="G604" t="s">
        <v>8145</v>
      </c>
      <c r="H604" t="s">
        <v>1112</v>
      </c>
      <c r="I604" t="s">
        <v>11083</v>
      </c>
      <c r="J604" t="s">
        <v>1641</v>
      </c>
      <c r="K604">
        <v>10453</v>
      </c>
      <c r="L604" t="s">
        <v>1670</v>
      </c>
      <c r="M604" t="s">
        <v>1670</v>
      </c>
      <c r="N604" t="s">
        <v>1677</v>
      </c>
      <c r="O604" t="s">
        <v>1939</v>
      </c>
      <c r="P604" t="s">
        <v>1960</v>
      </c>
      <c r="R604" t="s">
        <v>50</v>
      </c>
      <c r="S604" t="s">
        <v>1670</v>
      </c>
      <c r="U604" t="s">
        <v>1972</v>
      </c>
      <c r="W604" t="s">
        <v>283</v>
      </c>
      <c r="X604">
        <v>1067.78</v>
      </c>
      <c r="Y604" t="s">
        <v>2006</v>
      </c>
      <c r="Z604" t="s">
        <v>2016</v>
      </c>
      <c r="AB604" t="s">
        <v>13499</v>
      </c>
      <c r="AD604" t="s">
        <v>16024</v>
      </c>
      <c r="AE604">
        <v>170</v>
      </c>
      <c r="AF604" t="s">
        <v>2902</v>
      </c>
      <c r="AG604" t="s">
        <v>1754</v>
      </c>
      <c r="AH604">
        <v>20</v>
      </c>
      <c r="AI604">
        <v>2</v>
      </c>
      <c r="AJ604">
        <v>0</v>
      </c>
      <c r="AK604">
        <v>372.56</v>
      </c>
      <c r="AN604" t="s">
        <v>2926</v>
      </c>
      <c r="AO604">
        <v>63000</v>
      </c>
      <c r="AU604" t="s">
        <v>13051</v>
      </c>
      <c r="AW604" t="s">
        <v>3045</v>
      </c>
    </row>
    <row r="605" spans="1:50">
      <c r="A605" s="1" t="s">
        <v>135</v>
      </c>
      <c r="B605" t="s">
        <v>163</v>
      </c>
      <c r="C605" t="s">
        <v>3815</v>
      </c>
      <c r="D605" t="s">
        <v>173</v>
      </c>
      <c r="F605" t="s">
        <v>6796</v>
      </c>
      <c r="G605" t="s">
        <v>8170</v>
      </c>
      <c r="H605" t="s">
        <v>9425</v>
      </c>
      <c r="I605" t="s">
        <v>1618</v>
      </c>
      <c r="J605" t="s">
        <v>1644</v>
      </c>
      <c r="K605">
        <v>11216</v>
      </c>
      <c r="L605" t="s">
        <v>1670</v>
      </c>
      <c r="M605" t="s">
        <v>1670</v>
      </c>
      <c r="O605" t="s">
        <v>1675</v>
      </c>
      <c r="P605" t="s">
        <v>1962</v>
      </c>
      <c r="R605" t="s">
        <v>50</v>
      </c>
      <c r="U605" t="s">
        <v>1972</v>
      </c>
      <c r="W605" t="s">
        <v>225</v>
      </c>
      <c r="X605">
        <v>2450</v>
      </c>
      <c r="Y605" t="s">
        <v>2009</v>
      </c>
      <c r="Z605" t="s">
        <v>2016</v>
      </c>
      <c r="AB605" t="s">
        <v>2373</v>
      </c>
      <c r="AD605" t="s">
        <v>16025</v>
      </c>
      <c r="AE605">
        <v>82</v>
      </c>
      <c r="AF605" t="s">
        <v>2902</v>
      </c>
      <c r="AG605" t="s">
        <v>1754</v>
      </c>
      <c r="AH605">
        <v>1</v>
      </c>
      <c r="AI605">
        <v>1</v>
      </c>
      <c r="AJ605">
        <v>0</v>
      </c>
      <c r="AK605">
        <v>373.9</v>
      </c>
      <c r="AL605" t="s">
        <v>218</v>
      </c>
      <c r="AM605" t="s">
        <v>18031</v>
      </c>
      <c r="AN605" t="s">
        <v>2926</v>
      </c>
      <c r="AO605">
        <v>45392</v>
      </c>
      <c r="AP605" t="s">
        <v>18069</v>
      </c>
      <c r="AU605" t="s">
        <v>13051</v>
      </c>
      <c r="AW605" t="s">
        <v>3060</v>
      </c>
    </row>
    <row r="606" spans="1:50">
      <c r="A606" s="1" t="s">
        <v>135</v>
      </c>
      <c r="B606" t="s">
        <v>163</v>
      </c>
      <c r="C606" t="s">
        <v>3816</v>
      </c>
      <c r="D606" t="s">
        <v>173</v>
      </c>
      <c r="F606" t="s">
        <v>6796</v>
      </c>
      <c r="G606" t="s">
        <v>8170</v>
      </c>
      <c r="H606" t="s">
        <v>9425</v>
      </c>
      <c r="I606" t="s">
        <v>1618</v>
      </c>
      <c r="J606" t="s">
        <v>1644</v>
      </c>
      <c r="K606">
        <v>11216</v>
      </c>
      <c r="L606" t="s">
        <v>1670</v>
      </c>
      <c r="M606" t="s">
        <v>1672</v>
      </c>
      <c r="O606" t="s">
        <v>1952</v>
      </c>
      <c r="P606" t="s">
        <v>1960</v>
      </c>
      <c r="R606" t="s">
        <v>50</v>
      </c>
      <c r="S606" t="s">
        <v>1670</v>
      </c>
      <c r="U606" t="s">
        <v>1972</v>
      </c>
      <c r="W606" t="s">
        <v>225</v>
      </c>
      <c r="X606">
        <v>2450</v>
      </c>
      <c r="Y606" t="s">
        <v>2009</v>
      </c>
      <c r="Z606" t="s">
        <v>2016</v>
      </c>
      <c r="AB606" t="s">
        <v>2373</v>
      </c>
      <c r="AD606" t="s">
        <v>16025</v>
      </c>
      <c r="AE606">
        <v>82</v>
      </c>
      <c r="AF606" t="s">
        <v>2902</v>
      </c>
      <c r="AG606" t="s">
        <v>1754</v>
      </c>
      <c r="AH606">
        <v>1</v>
      </c>
      <c r="AI606">
        <v>1</v>
      </c>
      <c r="AJ606">
        <v>0</v>
      </c>
      <c r="AK606">
        <v>373.9</v>
      </c>
      <c r="AL606" t="s">
        <v>218</v>
      </c>
      <c r="AM606" t="s">
        <v>18031</v>
      </c>
      <c r="AN606" t="s">
        <v>2926</v>
      </c>
      <c r="AO606">
        <v>45392</v>
      </c>
      <c r="AU606" t="s">
        <v>13051</v>
      </c>
      <c r="AW606" t="s">
        <v>3060</v>
      </c>
    </row>
    <row r="607" spans="1:50">
      <c r="A607" s="1" t="s">
        <v>82</v>
      </c>
      <c r="B607" t="s">
        <v>163</v>
      </c>
      <c r="C607" t="s">
        <v>3817</v>
      </c>
      <c r="D607" t="s">
        <v>203</v>
      </c>
      <c r="F607" t="s">
        <v>7088</v>
      </c>
      <c r="G607" t="s">
        <v>8171</v>
      </c>
      <c r="H607" t="s">
        <v>1144</v>
      </c>
      <c r="I607" t="s">
        <v>11084</v>
      </c>
      <c r="J607" t="s">
        <v>1644</v>
      </c>
      <c r="K607">
        <v>11233</v>
      </c>
      <c r="L607" t="s">
        <v>1670</v>
      </c>
      <c r="M607" t="s">
        <v>1671</v>
      </c>
      <c r="P607" t="s">
        <v>1962</v>
      </c>
      <c r="R607" t="s">
        <v>50</v>
      </c>
      <c r="S607" t="s">
        <v>1670</v>
      </c>
      <c r="U607" t="s">
        <v>1972</v>
      </c>
      <c r="V607" t="s">
        <v>1984</v>
      </c>
      <c r="W607" t="s">
        <v>221</v>
      </c>
      <c r="X607">
        <v>1000</v>
      </c>
      <c r="Y607" t="s">
        <v>2009</v>
      </c>
      <c r="Z607" t="s">
        <v>2025</v>
      </c>
      <c r="AB607" t="s">
        <v>13500</v>
      </c>
      <c r="AE607">
        <v>359</v>
      </c>
      <c r="AF607" t="s">
        <v>2902</v>
      </c>
      <c r="AH607">
        <v>4</v>
      </c>
      <c r="AI607">
        <v>3</v>
      </c>
      <c r="AJ607">
        <v>0</v>
      </c>
      <c r="AK607">
        <v>375.06</v>
      </c>
      <c r="AN607" t="s">
        <v>2926</v>
      </c>
      <c r="AO607">
        <v>80000</v>
      </c>
      <c r="AP607" t="s">
        <v>18094</v>
      </c>
      <c r="AU607" t="s">
        <v>13051</v>
      </c>
      <c r="AW607" t="s">
        <v>3060</v>
      </c>
    </row>
    <row r="608" spans="1:50">
      <c r="A608" s="1" t="s">
        <v>82</v>
      </c>
      <c r="B608" t="s">
        <v>163</v>
      </c>
      <c r="C608" t="s">
        <v>3818</v>
      </c>
      <c r="D608" t="s">
        <v>203</v>
      </c>
      <c r="F608" t="s">
        <v>7088</v>
      </c>
      <c r="G608" t="s">
        <v>8171</v>
      </c>
      <c r="H608" t="s">
        <v>1144</v>
      </c>
      <c r="I608" t="s">
        <v>11084</v>
      </c>
      <c r="J608" t="s">
        <v>1644</v>
      </c>
      <c r="K608">
        <v>11233</v>
      </c>
      <c r="L608" t="s">
        <v>1670</v>
      </c>
      <c r="M608" t="s">
        <v>1671</v>
      </c>
      <c r="O608" t="s">
        <v>1938</v>
      </c>
      <c r="P608" t="s">
        <v>1961</v>
      </c>
      <c r="R608" t="s">
        <v>50</v>
      </c>
      <c r="S608" t="s">
        <v>1670</v>
      </c>
      <c r="U608" t="s">
        <v>1972</v>
      </c>
      <c r="V608" t="s">
        <v>1984</v>
      </c>
      <c r="W608" t="s">
        <v>248</v>
      </c>
      <c r="X608">
        <v>1000</v>
      </c>
      <c r="Y608" t="s">
        <v>2009</v>
      </c>
      <c r="Z608" t="s">
        <v>2025</v>
      </c>
      <c r="AB608" t="s">
        <v>13500</v>
      </c>
      <c r="AE608">
        <v>359</v>
      </c>
      <c r="AF608" t="s">
        <v>2902</v>
      </c>
      <c r="AH608">
        <v>4</v>
      </c>
      <c r="AI608">
        <v>3</v>
      </c>
      <c r="AJ608">
        <v>0</v>
      </c>
      <c r="AK608">
        <v>375.06</v>
      </c>
      <c r="AN608" t="s">
        <v>2926</v>
      </c>
      <c r="AO608">
        <v>80000</v>
      </c>
      <c r="AP608" t="s">
        <v>18169</v>
      </c>
      <c r="AU608" t="s">
        <v>13051</v>
      </c>
      <c r="AW608" t="s">
        <v>3060</v>
      </c>
    </row>
    <row r="609" spans="1:50">
      <c r="A609" s="1" t="s">
        <v>139</v>
      </c>
      <c r="B609" t="s">
        <v>163</v>
      </c>
      <c r="C609" t="s">
        <v>3819</v>
      </c>
      <c r="D609" t="s">
        <v>274</v>
      </c>
      <c r="F609" t="s">
        <v>7089</v>
      </c>
      <c r="G609" t="s">
        <v>1020</v>
      </c>
      <c r="H609" t="s">
        <v>9647</v>
      </c>
      <c r="I609" t="s">
        <v>11018</v>
      </c>
      <c r="J609" t="s">
        <v>1643</v>
      </c>
      <c r="K609">
        <v>10035</v>
      </c>
      <c r="L609" t="s">
        <v>1670</v>
      </c>
      <c r="M609" t="s">
        <v>1670</v>
      </c>
      <c r="N609" t="s">
        <v>11994</v>
      </c>
      <c r="O609" t="s">
        <v>1936</v>
      </c>
      <c r="P609" t="s">
        <v>1960</v>
      </c>
      <c r="R609" t="s">
        <v>50</v>
      </c>
      <c r="S609" t="s">
        <v>1671</v>
      </c>
      <c r="U609" t="s">
        <v>1972</v>
      </c>
      <c r="V609" t="s">
        <v>1983</v>
      </c>
      <c r="W609" t="s">
        <v>339</v>
      </c>
      <c r="X609">
        <v>1027</v>
      </c>
      <c r="Y609" t="s">
        <v>2008</v>
      </c>
      <c r="Z609" t="s">
        <v>2026</v>
      </c>
      <c r="AB609" t="s">
        <v>13501</v>
      </c>
      <c r="AD609" t="s">
        <v>16026</v>
      </c>
      <c r="AE609">
        <v>255</v>
      </c>
      <c r="AF609" t="s">
        <v>2909</v>
      </c>
      <c r="AG609" t="s">
        <v>2915</v>
      </c>
      <c r="AH609">
        <v>27</v>
      </c>
      <c r="AI609">
        <v>1</v>
      </c>
      <c r="AJ609">
        <v>0</v>
      </c>
      <c r="AK609">
        <v>376.12</v>
      </c>
      <c r="AL609" t="s">
        <v>390</v>
      </c>
      <c r="AM609" t="s">
        <v>18031</v>
      </c>
      <c r="AN609" t="s">
        <v>2926</v>
      </c>
      <c r="AO609">
        <v>46977</v>
      </c>
      <c r="AU609">
        <v>16.75</v>
      </c>
      <c r="AV609" t="s">
        <v>3030</v>
      </c>
      <c r="AW609" t="s">
        <v>3071</v>
      </c>
      <c r="AX609" t="s">
        <v>18685</v>
      </c>
    </row>
    <row r="610" spans="1:50">
      <c r="A610" s="1" t="s">
        <v>53</v>
      </c>
      <c r="B610" t="s">
        <v>164</v>
      </c>
      <c r="C610" t="s">
        <v>3820</v>
      </c>
      <c r="D610" t="s">
        <v>285</v>
      </c>
      <c r="E610" t="s">
        <v>277</v>
      </c>
      <c r="F610" t="s">
        <v>7090</v>
      </c>
      <c r="G610" t="s">
        <v>8172</v>
      </c>
      <c r="H610" t="s">
        <v>9648</v>
      </c>
      <c r="I610" t="s">
        <v>1549</v>
      </c>
      <c r="J610" t="s">
        <v>1657</v>
      </c>
      <c r="K610">
        <v>11422</v>
      </c>
      <c r="L610" t="s">
        <v>1670</v>
      </c>
      <c r="M610" t="s">
        <v>1670</v>
      </c>
      <c r="N610" t="s">
        <v>1754</v>
      </c>
      <c r="O610" t="s">
        <v>1675</v>
      </c>
      <c r="P610" t="s">
        <v>1958</v>
      </c>
      <c r="Q610" t="s">
        <v>1965</v>
      </c>
      <c r="R610" t="s">
        <v>51</v>
      </c>
      <c r="S610" t="s">
        <v>1671</v>
      </c>
      <c r="U610" t="s">
        <v>1972</v>
      </c>
      <c r="V610" t="s">
        <v>1984</v>
      </c>
      <c r="W610" t="s">
        <v>285</v>
      </c>
      <c r="X610">
        <v>1000</v>
      </c>
      <c r="Y610" t="s">
        <v>2007</v>
      </c>
      <c r="Z610" t="s">
        <v>2012</v>
      </c>
      <c r="AA610" t="s">
        <v>2029</v>
      </c>
      <c r="AB610" t="s">
        <v>13502</v>
      </c>
      <c r="AD610" t="s">
        <v>16027</v>
      </c>
      <c r="AE610">
        <v>2</v>
      </c>
      <c r="AF610" t="s">
        <v>2903</v>
      </c>
      <c r="AG610" t="s">
        <v>1754</v>
      </c>
      <c r="AH610">
        <v>-1</v>
      </c>
      <c r="AI610">
        <v>1</v>
      </c>
      <c r="AJ610">
        <v>0</v>
      </c>
      <c r="AK610">
        <v>376.3</v>
      </c>
      <c r="AL610" t="s">
        <v>2923</v>
      </c>
      <c r="AM610" t="s">
        <v>2924</v>
      </c>
      <c r="AN610" t="s">
        <v>2926</v>
      </c>
      <c r="AO610">
        <v>47000</v>
      </c>
      <c r="AU610">
        <v>0.9</v>
      </c>
      <c r="AV610" t="s">
        <v>299</v>
      </c>
      <c r="AW610" t="s">
        <v>53</v>
      </c>
    </row>
    <row r="611" spans="1:50">
      <c r="A611" s="1" t="s">
        <v>140</v>
      </c>
      <c r="B611" t="s">
        <v>163</v>
      </c>
      <c r="C611" t="s">
        <v>3821</v>
      </c>
      <c r="D611" t="s">
        <v>275</v>
      </c>
      <c r="F611" t="s">
        <v>508</v>
      </c>
      <c r="G611" t="s">
        <v>8173</v>
      </c>
      <c r="H611" t="s">
        <v>9649</v>
      </c>
      <c r="I611" t="s">
        <v>1509</v>
      </c>
      <c r="J611" t="s">
        <v>1656</v>
      </c>
      <c r="K611">
        <v>11101</v>
      </c>
      <c r="L611" t="s">
        <v>1670</v>
      </c>
      <c r="M611" t="s">
        <v>1670</v>
      </c>
      <c r="N611" t="s">
        <v>11995</v>
      </c>
      <c r="O611" t="s">
        <v>1936</v>
      </c>
      <c r="P611" t="s">
        <v>1960</v>
      </c>
      <c r="R611" t="s">
        <v>50</v>
      </c>
      <c r="S611" t="s">
        <v>1671</v>
      </c>
      <c r="U611" t="s">
        <v>1972</v>
      </c>
      <c r="V611" t="s">
        <v>1984</v>
      </c>
      <c r="W611" t="s">
        <v>275</v>
      </c>
      <c r="X611">
        <v>2400</v>
      </c>
      <c r="Y611" t="s">
        <v>2007</v>
      </c>
      <c r="Z611" t="s">
        <v>2028</v>
      </c>
      <c r="AB611" t="s">
        <v>13503</v>
      </c>
      <c r="AD611" t="s">
        <v>16028</v>
      </c>
      <c r="AE611">
        <v>6</v>
      </c>
      <c r="AF611" t="s">
        <v>2904</v>
      </c>
      <c r="AG611" t="s">
        <v>1754</v>
      </c>
      <c r="AH611">
        <v>3</v>
      </c>
      <c r="AI611">
        <v>2</v>
      </c>
      <c r="AJ611">
        <v>0</v>
      </c>
      <c r="AK611">
        <v>378.47</v>
      </c>
      <c r="AL611" t="s">
        <v>272</v>
      </c>
      <c r="AM611" t="s">
        <v>18031</v>
      </c>
      <c r="AN611" t="s">
        <v>2926</v>
      </c>
      <c r="AO611">
        <v>64000</v>
      </c>
      <c r="AU611">
        <v>4.35</v>
      </c>
      <c r="AV611" t="s">
        <v>337</v>
      </c>
      <c r="AW611" t="s">
        <v>3172</v>
      </c>
    </row>
    <row r="612" spans="1:50">
      <c r="A612" s="1" t="s">
        <v>135</v>
      </c>
      <c r="B612" t="s">
        <v>163</v>
      </c>
      <c r="C612" t="s">
        <v>3822</v>
      </c>
      <c r="D612" t="s">
        <v>284</v>
      </c>
      <c r="F612" t="s">
        <v>7091</v>
      </c>
      <c r="G612" t="s">
        <v>8174</v>
      </c>
      <c r="H612" t="s">
        <v>9425</v>
      </c>
      <c r="I612" t="s">
        <v>1489</v>
      </c>
      <c r="J612" t="s">
        <v>1644</v>
      </c>
      <c r="K612">
        <v>11216</v>
      </c>
      <c r="L612" t="s">
        <v>1670</v>
      </c>
      <c r="M612" t="s">
        <v>1670</v>
      </c>
      <c r="O612" t="s">
        <v>1675</v>
      </c>
      <c r="P612" t="s">
        <v>1962</v>
      </c>
      <c r="R612" t="s">
        <v>50</v>
      </c>
      <c r="S612" t="s">
        <v>1670</v>
      </c>
      <c r="U612" t="s">
        <v>1972</v>
      </c>
      <c r="W612" t="s">
        <v>225</v>
      </c>
      <c r="X612">
        <v>2350</v>
      </c>
      <c r="Y612" t="s">
        <v>2009</v>
      </c>
      <c r="Z612" t="s">
        <v>2016</v>
      </c>
      <c r="AB612" t="s">
        <v>13504</v>
      </c>
      <c r="AD612" t="s">
        <v>16029</v>
      </c>
      <c r="AE612">
        <v>82</v>
      </c>
      <c r="AF612" t="s">
        <v>2902</v>
      </c>
      <c r="AG612" t="s">
        <v>1754</v>
      </c>
      <c r="AH612">
        <v>4</v>
      </c>
      <c r="AI612">
        <v>2</v>
      </c>
      <c r="AJ612">
        <v>2</v>
      </c>
      <c r="AK612">
        <v>378.49</v>
      </c>
      <c r="AL612" t="s">
        <v>218</v>
      </c>
      <c r="AM612" t="s">
        <v>18031</v>
      </c>
      <c r="AN612" t="s">
        <v>2926</v>
      </c>
      <c r="AO612">
        <v>95000</v>
      </c>
      <c r="AP612" t="s">
        <v>2953</v>
      </c>
      <c r="AU612" t="s">
        <v>13051</v>
      </c>
      <c r="AW612" t="s">
        <v>3060</v>
      </c>
    </row>
    <row r="613" spans="1:50">
      <c r="A613" s="1" t="s">
        <v>135</v>
      </c>
      <c r="B613" t="s">
        <v>163</v>
      </c>
      <c r="C613" t="s">
        <v>3823</v>
      </c>
      <c r="D613" t="s">
        <v>284</v>
      </c>
      <c r="F613" t="s">
        <v>7091</v>
      </c>
      <c r="G613" t="s">
        <v>8174</v>
      </c>
      <c r="H613" t="s">
        <v>9425</v>
      </c>
      <c r="I613" t="s">
        <v>1489</v>
      </c>
      <c r="J613" t="s">
        <v>1644</v>
      </c>
      <c r="K613">
        <v>11216</v>
      </c>
      <c r="L613" t="s">
        <v>1670</v>
      </c>
      <c r="M613" t="s">
        <v>1670</v>
      </c>
      <c r="O613" t="s">
        <v>1952</v>
      </c>
      <c r="P613" t="s">
        <v>1960</v>
      </c>
      <c r="R613" t="s">
        <v>50</v>
      </c>
      <c r="S613" t="s">
        <v>1670</v>
      </c>
      <c r="U613" t="s">
        <v>1972</v>
      </c>
      <c r="W613" t="s">
        <v>225</v>
      </c>
      <c r="X613">
        <v>2350</v>
      </c>
      <c r="Y613" t="s">
        <v>2009</v>
      </c>
      <c r="Z613" t="s">
        <v>2016</v>
      </c>
      <c r="AB613" t="s">
        <v>13504</v>
      </c>
      <c r="AD613" t="s">
        <v>16029</v>
      </c>
      <c r="AE613">
        <v>82</v>
      </c>
      <c r="AF613" t="s">
        <v>2902</v>
      </c>
      <c r="AG613" t="s">
        <v>1754</v>
      </c>
      <c r="AH613">
        <v>4</v>
      </c>
      <c r="AI613">
        <v>2</v>
      </c>
      <c r="AJ613">
        <v>2</v>
      </c>
      <c r="AK613">
        <v>378.49</v>
      </c>
      <c r="AL613" t="s">
        <v>218</v>
      </c>
      <c r="AM613" t="s">
        <v>18031</v>
      </c>
      <c r="AN613" t="s">
        <v>2926</v>
      </c>
      <c r="AO613">
        <v>95000</v>
      </c>
      <c r="AP613" t="s">
        <v>18069</v>
      </c>
      <c r="AU613" t="s">
        <v>13051</v>
      </c>
      <c r="AW613" t="s">
        <v>3060</v>
      </c>
    </row>
    <row r="614" spans="1:50">
      <c r="A614" s="1" t="s">
        <v>160</v>
      </c>
      <c r="B614" t="s">
        <v>164</v>
      </c>
      <c r="C614" t="s">
        <v>3824</v>
      </c>
      <c r="D614" t="s">
        <v>257</v>
      </c>
      <c r="E614" t="s">
        <v>371</v>
      </c>
      <c r="F614" t="s">
        <v>7092</v>
      </c>
      <c r="G614" t="s">
        <v>8175</v>
      </c>
      <c r="H614" t="s">
        <v>9650</v>
      </c>
      <c r="I614" t="s">
        <v>1489</v>
      </c>
      <c r="J614" t="s">
        <v>1643</v>
      </c>
      <c r="K614">
        <v>10002</v>
      </c>
      <c r="L614" t="s">
        <v>1670</v>
      </c>
      <c r="M614" t="s">
        <v>1670</v>
      </c>
      <c r="N614" t="s">
        <v>11996</v>
      </c>
      <c r="O614" t="s">
        <v>1940</v>
      </c>
      <c r="P614" t="s">
        <v>1958</v>
      </c>
      <c r="Q614" t="s">
        <v>1965</v>
      </c>
      <c r="R614" t="s">
        <v>50</v>
      </c>
      <c r="U614" t="s">
        <v>1972</v>
      </c>
      <c r="V614" t="s">
        <v>1984</v>
      </c>
      <c r="W614" t="s">
        <v>250</v>
      </c>
      <c r="X614">
        <v>443.08</v>
      </c>
      <c r="Y614" t="s">
        <v>2008</v>
      </c>
      <c r="Z614" t="s">
        <v>2016</v>
      </c>
      <c r="AA614" t="s">
        <v>2029</v>
      </c>
      <c r="AB614" t="s">
        <v>13505</v>
      </c>
      <c r="AD614" t="s">
        <v>16030</v>
      </c>
      <c r="AE614" t="s">
        <v>13051</v>
      </c>
      <c r="AF614" t="s">
        <v>2902</v>
      </c>
      <c r="AG614" t="s">
        <v>1754</v>
      </c>
      <c r="AH614" t="s">
        <v>13051</v>
      </c>
      <c r="AI614">
        <v>1</v>
      </c>
      <c r="AJ614">
        <v>0</v>
      </c>
      <c r="AK614">
        <v>378.91</v>
      </c>
      <c r="AN614" t="s">
        <v>18038</v>
      </c>
      <c r="AO614">
        <v>46000</v>
      </c>
      <c r="AU614">
        <v>0.4</v>
      </c>
      <c r="AV614" t="s">
        <v>278</v>
      </c>
      <c r="AW614" t="s">
        <v>3048</v>
      </c>
    </row>
    <row r="615" spans="1:50">
      <c r="A615" s="1" t="s">
        <v>111</v>
      </c>
      <c r="B615" t="s">
        <v>163</v>
      </c>
      <c r="C615" t="s">
        <v>3825</v>
      </c>
      <c r="D615" t="s">
        <v>271</v>
      </c>
      <c r="F615" t="s">
        <v>7093</v>
      </c>
      <c r="G615" t="s">
        <v>966</v>
      </c>
      <c r="H615" t="s">
        <v>1260</v>
      </c>
      <c r="I615" t="s">
        <v>1510</v>
      </c>
      <c r="J615" t="s">
        <v>1641</v>
      </c>
      <c r="K615">
        <v>10453</v>
      </c>
      <c r="L615" t="s">
        <v>1670</v>
      </c>
      <c r="M615" t="s">
        <v>1670</v>
      </c>
      <c r="O615" t="s">
        <v>1675</v>
      </c>
      <c r="P615" t="s">
        <v>1959</v>
      </c>
      <c r="R615" t="s">
        <v>50</v>
      </c>
      <c r="S615" t="s">
        <v>1670</v>
      </c>
      <c r="U615" t="s">
        <v>1972</v>
      </c>
      <c r="W615" t="s">
        <v>283</v>
      </c>
      <c r="X615">
        <v>1270</v>
      </c>
      <c r="Y615" t="s">
        <v>2006</v>
      </c>
      <c r="Z615" t="s">
        <v>2015</v>
      </c>
      <c r="AE615">
        <v>44</v>
      </c>
      <c r="AF615" t="s">
        <v>2902</v>
      </c>
      <c r="AG615" t="s">
        <v>1754</v>
      </c>
      <c r="AH615">
        <v>3</v>
      </c>
      <c r="AI615">
        <v>2</v>
      </c>
      <c r="AJ615">
        <v>0</v>
      </c>
      <c r="AK615">
        <v>379.1</v>
      </c>
      <c r="AN615" t="s">
        <v>2926</v>
      </c>
      <c r="AO615">
        <v>62400</v>
      </c>
      <c r="AU615" t="s">
        <v>13051</v>
      </c>
      <c r="AW615" t="s">
        <v>3047</v>
      </c>
    </row>
    <row r="616" spans="1:50">
      <c r="A616" s="1" t="s">
        <v>111</v>
      </c>
      <c r="B616" t="s">
        <v>163</v>
      </c>
      <c r="C616" t="s">
        <v>3826</v>
      </c>
      <c r="D616" t="s">
        <v>271</v>
      </c>
      <c r="F616" t="s">
        <v>7093</v>
      </c>
      <c r="G616" t="s">
        <v>966</v>
      </c>
      <c r="H616" t="s">
        <v>1260</v>
      </c>
      <c r="I616" t="s">
        <v>1510</v>
      </c>
      <c r="J616" t="s">
        <v>1641</v>
      </c>
      <c r="K616">
        <v>10453</v>
      </c>
      <c r="L616" t="s">
        <v>1670</v>
      </c>
      <c r="M616" t="s">
        <v>1670</v>
      </c>
      <c r="O616" t="s">
        <v>1938</v>
      </c>
      <c r="P616" t="s">
        <v>1961</v>
      </c>
      <c r="R616" t="s">
        <v>50</v>
      </c>
      <c r="S616" t="s">
        <v>1670</v>
      </c>
      <c r="U616" t="s">
        <v>1972</v>
      </c>
      <c r="W616" t="s">
        <v>283</v>
      </c>
      <c r="X616">
        <v>1270</v>
      </c>
      <c r="Y616" t="s">
        <v>2006</v>
      </c>
      <c r="Z616" t="s">
        <v>2015</v>
      </c>
      <c r="AE616">
        <v>44</v>
      </c>
      <c r="AF616" t="s">
        <v>2902</v>
      </c>
      <c r="AG616" t="s">
        <v>1754</v>
      </c>
      <c r="AH616">
        <v>3</v>
      </c>
      <c r="AI616">
        <v>2</v>
      </c>
      <c r="AJ616">
        <v>0</v>
      </c>
      <c r="AK616">
        <v>379.1</v>
      </c>
      <c r="AN616" t="s">
        <v>2926</v>
      </c>
      <c r="AO616">
        <v>62400</v>
      </c>
      <c r="AU616" t="s">
        <v>13051</v>
      </c>
      <c r="AW616" t="s">
        <v>3047</v>
      </c>
    </row>
    <row r="617" spans="1:50">
      <c r="A617" s="1" t="s">
        <v>111</v>
      </c>
      <c r="B617" t="s">
        <v>163</v>
      </c>
      <c r="C617" t="s">
        <v>3827</v>
      </c>
      <c r="D617" t="s">
        <v>271</v>
      </c>
      <c r="F617" t="s">
        <v>7093</v>
      </c>
      <c r="G617" t="s">
        <v>966</v>
      </c>
      <c r="H617" t="s">
        <v>1260</v>
      </c>
      <c r="I617" t="s">
        <v>1510</v>
      </c>
      <c r="J617" t="s">
        <v>1641</v>
      </c>
      <c r="K617">
        <v>10453</v>
      </c>
      <c r="L617" t="s">
        <v>1670</v>
      </c>
      <c r="M617" t="s">
        <v>1670</v>
      </c>
      <c r="N617" t="s">
        <v>1778</v>
      </c>
      <c r="O617" t="s">
        <v>1939</v>
      </c>
      <c r="P617" t="s">
        <v>1960</v>
      </c>
      <c r="R617" t="s">
        <v>50</v>
      </c>
      <c r="S617" t="s">
        <v>1670</v>
      </c>
      <c r="U617" t="s">
        <v>1972</v>
      </c>
      <c r="W617" t="s">
        <v>283</v>
      </c>
      <c r="X617">
        <v>1270</v>
      </c>
      <c r="Y617" t="s">
        <v>2006</v>
      </c>
      <c r="Z617" t="s">
        <v>2015</v>
      </c>
      <c r="AE617">
        <v>44</v>
      </c>
      <c r="AF617" t="s">
        <v>2902</v>
      </c>
      <c r="AG617" t="s">
        <v>1754</v>
      </c>
      <c r="AH617">
        <v>3</v>
      </c>
      <c r="AI617">
        <v>2</v>
      </c>
      <c r="AJ617">
        <v>0</v>
      </c>
      <c r="AK617">
        <v>379.1</v>
      </c>
      <c r="AN617" t="s">
        <v>2926</v>
      </c>
      <c r="AO617">
        <v>62400</v>
      </c>
      <c r="AU617" t="s">
        <v>13051</v>
      </c>
      <c r="AW617" t="s">
        <v>3047</v>
      </c>
    </row>
    <row r="618" spans="1:50">
      <c r="A618" s="1" t="s">
        <v>3158</v>
      </c>
      <c r="B618" t="s">
        <v>164</v>
      </c>
      <c r="C618" t="s">
        <v>3828</v>
      </c>
      <c r="D618" t="s">
        <v>180</v>
      </c>
      <c r="E618" t="s">
        <v>207</v>
      </c>
      <c r="F618" t="s">
        <v>686</v>
      </c>
      <c r="G618" t="s">
        <v>969</v>
      </c>
      <c r="H618" t="s">
        <v>9651</v>
      </c>
      <c r="I618" t="s">
        <v>1508</v>
      </c>
      <c r="J618" t="s">
        <v>1643</v>
      </c>
      <c r="K618">
        <v>10033</v>
      </c>
      <c r="L618" t="s">
        <v>1670</v>
      </c>
      <c r="M618" t="s">
        <v>1670</v>
      </c>
      <c r="O618" t="s">
        <v>1938</v>
      </c>
      <c r="P618" t="s">
        <v>1958</v>
      </c>
      <c r="Q618" t="s">
        <v>1965</v>
      </c>
      <c r="R618" t="s">
        <v>50</v>
      </c>
      <c r="S618" t="s">
        <v>1671</v>
      </c>
      <c r="U618" t="s">
        <v>1972</v>
      </c>
      <c r="W618" t="s">
        <v>180</v>
      </c>
      <c r="X618">
        <v>848.26</v>
      </c>
      <c r="Y618" t="s">
        <v>2008</v>
      </c>
      <c r="Z618" t="s">
        <v>2013</v>
      </c>
      <c r="AA618" t="s">
        <v>2029</v>
      </c>
      <c r="AB618" t="s">
        <v>13506</v>
      </c>
      <c r="AD618" t="s">
        <v>16031</v>
      </c>
      <c r="AE618">
        <v>20</v>
      </c>
      <c r="AF618" t="s">
        <v>2908</v>
      </c>
      <c r="AG618" t="s">
        <v>1754</v>
      </c>
      <c r="AH618">
        <v>50</v>
      </c>
      <c r="AI618">
        <v>1</v>
      </c>
      <c r="AJ618">
        <v>0</v>
      </c>
      <c r="AK618">
        <v>380.56</v>
      </c>
      <c r="AL618" t="s">
        <v>340</v>
      </c>
      <c r="AM618" t="s">
        <v>18031</v>
      </c>
      <c r="AN618" t="s">
        <v>2926</v>
      </c>
      <c r="AO618">
        <v>46200</v>
      </c>
      <c r="AU618">
        <v>1.2</v>
      </c>
      <c r="AV618" t="s">
        <v>180</v>
      </c>
      <c r="AW618" t="s">
        <v>3042</v>
      </c>
    </row>
    <row r="619" spans="1:50">
      <c r="A619" s="1" t="s">
        <v>58</v>
      </c>
      <c r="B619" t="s">
        <v>163</v>
      </c>
      <c r="C619" t="s">
        <v>3829</v>
      </c>
      <c r="D619" t="s">
        <v>263</v>
      </c>
      <c r="F619" t="s">
        <v>6937</v>
      </c>
      <c r="G619" t="s">
        <v>8176</v>
      </c>
      <c r="H619" t="s">
        <v>9652</v>
      </c>
      <c r="I619" t="s">
        <v>1622</v>
      </c>
      <c r="J619" t="s">
        <v>1641</v>
      </c>
      <c r="K619">
        <v>10461</v>
      </c>
      <c r="L619" t="s">
        <v>1670</v>
      </c>
      <c r="M619" t="s">
        <v>1670</v>
      </c>
      <c r="O619" t="s">
        <v>1938</v>
      </c>
      <c r="P619" t="s">
        <v>1962</v>
      </c>
      <c r="R619" t="s">
        <v>50</v>
      </c>
      <c r="S619" t="s">
        <v>1670</v>
      </c>
      <c r="U619" t="s">
        <v>1972</v>
      </c>
      <c r="W619" t="s">
        <v>293</v>
      </c>
      <c r="X619">
        <v>1350</v>
      </c>
      <c r="Y619" t="s">
        <v>2006</v>
      </c>
      <c r="Z619" t="s">
        <v>2015</v>
      </c>
      <c r="AB619" t="s">
        <v>13507</v>
      </c>
      <c r="AD619" t="s">
        <v>16032</v>
      </c>
      <c r="AE619">
        <v>125</v>
      </c>
      <c r="AF619" t="s">
        <v>2902</v>
      </c>
      <c r="AG619" t="s">
        <v>1754</v>
      </c>
      <c r="AH619">
        <v>1</v>
      </c>
      <c r="AI619">
        <v>2</v>
      </c>
      <c r="AJ619">
        <v>0</v>
      </c>
      <c r="AK619">
        <v>382.61</v>
      </c>
      <c r="AN619" t="s">
        <v>2926</v>
      </c>
      <c r="AO619">
        <v>64700</v>
      </c>
      <c r="AU619" t="s">
        <v>13051</v>
      </c>
      <c r="AW619" t="s">
        <v>3046</v>
      </c>
    </row>
    <row r="620" spans="1:50">
      <c r="A620" s="1" t="s">
        <v>52</v>
      </c>
      <c r="B620" t="s">
        <v>163</v>
      </c>
      <c r="C620" t="s">
        <v>3830</v>
      </c>
      <c r="D620" t="s">
        <v>187</v>
      </c>
      <c r="F620" t="s">
        <v>733</v>
      </c>
      <c r="G620" t="s">
        <v>769</v>
      </c>
      <c r="H620" t="s">
        <v>1136</v>
      </c>
      <c r="I620" t="s">
        <v>11085</v>
      </c>
      <c r="J620" t="s">
        <v>1641</v>
      </c>
      <c r="K620">
        <v>10457</v>
      </c>
      <c r="L620" t="s">
        <v>1670</v>
      </c>
      <c r="M620" t="s">
        <v>1670</v>
      </c>
      <c r="N620" t="s">
        <v>1695</v>
      </c>
      <c r="O620" t="s">
        <v>1938</v>
      </c>
      <c r="P620" t="s">
        <v>1961</v>
      </c>
      <c r="R620" t="s">
        <v>50</v>
      </c>
      <c r="S620" t="s">
        <v>1670</v>
      </c>
      <c r="U620" t="s">
        <v>1972</v>
      </c>
      <c r="W620" t="s">
        <v>359</v>
      </c>
      <c r="X620">
        <v>810</v>
      </c>
      <c r="Y620" t="s">
        <v>2006</v>
      </c>
      <c r="Z620" t="s">
        <v>2015</v>
      </c>
      <c r="AB620" t="s">
        <v>13508</v>
      </c>
      <c r="AD620" t="s">
        <v>16033</v>
      </c>
      <c r="AE620">
        <v>47</v>
      </c>
      <c r="AF620" t="s">
        <v>2902</v>
      </c>
      <c r="AG620" t="s">
        <v>1754</v>
      </c>
      <c r="AH620">
        <v>39</v>
      </c>
      <c r="AI620">
        <v>2</v>
      </c>
      <c r="AJ620">
        <v>0</v>
      </c>
      <c r="AK620">
        <v>382.75</v>
      </c>
      <c r="AN620" t="s">
        <v>2926</v>
      </c>
      <c r="AO620">
        <v>63000</v>
      </c>
      <c r="AU620">
        <v>0.1</v>
      </c>
      <c r="AV620" t="s">
        <v>409</v>
      </c>
      <c r="AW620" t="s">
        <v>3046</v>
      </c>
    </row>
    <row r="621" spans="1:50">
      <c r="A621" s="1" t="s">
        <v>57</v>
      </c>
      <c r="B621" t="s">
        <v>163</v>
      </c>
      <c r="C621" t="s">
        <v>3831</v>
      </c>
      <c r="D621" t="s">
        <v>2002</v>
      </c>
      <c r="F621" t="s">
        <v>7087</v>
      </c>
      <c r="G621" t="s">
        <v>7216</v>
      </c>
      <c r="H621" t="s">
        <v>1193</v>
      </c>
      <c r="I621" t="s">
        <v>1475</v>
      </c>
      <c r="J621" t="s">
        <v>1641</v>
      </c>
      <c r="K621">
        <v>10456</v>
      </c>
      <c r="L621" t="s">
        <v>1670</v>
      </c>
      <c r="M621" t="s">
        <v>1670</v>
      </c>
      <c r="N621" t="s">
        <v>1789</v>
      </c>
      <c r="O621" t="s">
        <v>1938</v>
      </c>
      <c r="P621" t="s">
        <v>1961</v>
      </c>
      <c r="R621" t="s">
        <v>50</v>
      </c>
      <c r="S621" t="s">
        <v>1670</v>
      </c>
      <c r="U621" t="s">
        <v>1972</v>
      </c>
      <c r="W621" t="s">
        <v>1992</v>
      </c>
      <c r="X621">
        <v>1098</v>
      </c>
      <c r="Y621" t="s">
        <v>2006</v>
      </c>
      <c r="Z621" t="s">
        <v>2015</v>
      </c>
      <c r="AB621" t="s">
        <v>13498</v>
      </c>
      <c r="AD621" t="s">
        <v>16023</v>
      </c>
      <c r="AE621">
        <v>61</v>
      </c>
      <c r="AF621" t="s">
        <v>2902</v>
      </c>
      <c r="AG621" t="s">
        <v>1754</v>
      </c>
      <c r="AH621">
        <v>1</v>
      </c>
      <c r="AI621">
        <v>2</v>
      </c>
      <c r="AJ621">
        <v>0</v>
      </c>
      <c r="AK621">
        <v>382.75</v>
      </c>
      <c r="AN621" t="s">
        <v>2927</v>
      </c>
      <c r="AO621">
        <v>63000</v>
      </c>
      <c r="AU621" t="s">
        <v>13051</v>
      </c>
      <c r="AW621" t="s">
        <v>3047</v>
      </c>
    </row>
    <row r="622" spans="1:50">
      <c r="A622" s="1" t="s">
        <v>52</v>
      </c>
      <c r="B622" t="s">
        <v>163</v>
      </c>
      <c r="C622" t="s">
        <v>3832</v>
      </c>
      <c r="D622" t="s">
        <v>187</v>
      </c>
      <c r="F622" t="s">
        <v>733</v>
      </c>
      <c r="G622" t="s">
        <v>769</v>
      </c>
      <c r="H622" t="s">
        <v>1136</v>
      </c>
      <c r="I622" t="s">
        <v>11085</v>
      </c>
      <c r="J622" t="s">
        <v>1641</v>
      </c>
      <c r="K622">
        <v>10457</v>
      </c>
      <c r="L622" t="s">
        <v>1670</v>
      </c>
      <c r="M622" t="s">
        <v>1670</v>
      </c>
      <c r="N622" t="s">
        <v>1696</v>
      </c>
      <c r="O622" t="s">
        <v>1939</v>
      </c>
      <c r="P622" t="s">
        <v>1960</v>
      </c>
      <c r="R622" t="s">
        <v>50</v>
      </c>
      <c r="S622" t="s">
        <v>1670</v>
      </c>
      <c r="U622" t="s">
        <v>1972</v>
      </c>
      <c r="W622" t="s">
        <v>359</v>
      </c>
      <c r="X622">
        <v>810</v>
      </c>
      <c r="Y622" t="s">
        <v>2006</v>
      </c>
      <c r="Z622" t="s">
        <v>2015</v>
      </c>
      <c r="AB622" t="s">
        <v>13508</v>
      </c>
      <c r="AD622" t="s">
        <v>16033</v>
      </c>
      <c r="AE622">
        <v>47</v>
      </c>
      <c r="AF622" t="s">
        <v>2902</v>
      </c>
      <c r="AG622" t="s">
        <v>1754</v>
      </c>
      <c r="AH622">
        <v>39</v>
      </c>
      <c r="AI622">
        <v>2</v>
      </c>
      <c r="AJ622">
        <v>0</v>
      </c>
      <c r="AK622">
        <v>382.75</v>
      </c>
      <c r="AN622" t="s">
        <v>2926</v>
      </c>
      <c r="AO622">
        <v>63000</v>
      </c>
      <c r="AU622">
        <v>0.1</v>
      </c>
      <c r="AV622" t="s">
        <v>409</v>
      </c>
      <c r="AW622" t="s">
        <v>3046</v>
      </c>
    </row>
    <row r="623" spans="1:50">
      <c r="A623" s="1" t="s">
        <v>82</v>
      </c>
      <c r="B623" t="s">
        <v>163</v>
      </c>
      <c r="C623" t="s">
        <v>3833</v>
      </c>
      <c r="D623" t="s">
        <v>294</v>
      </c>
      <c r="F623" t="s">
        <v>502</v>
      </c>
      <c r="G623" t="s">
        <v>8177</v>
      </c>
      <c r="H623" t="s">
        <v>9420</v>
      </c>
      <c r="I623" t="s">
        <v>11086</v>
      </c>
      <c r="J623" t="s">
        <v>1644</v>
      </c>
      <c r="K623">
        <v>11233</v>
      </c>
      <c r="L623" t="s">
        <v>1670</v>
      </c>
      <c r="M623" t="s">
        <v>1671</v>
      </c>
      <c r="N623" t="s">
        <v>1691</v>
      </c>
      <c r="O623" t="s">
        <v>1937</v>
      </c>
      <c r="P623" t="s">
        <v>1962</v>
      </c>
      <c r="R623" t="s">
        <v>50</v>
      </c>
      <c r="S623" t="s">
        <v>1670</v>
      </c>
      <c r="U623" t="s">
        <v>1972</v>
      </c>
      <c r="V623" t="s">
        <v>1984</v>
      </c>
      <c r="W623" t="s">
        <v>221</v>
      </c>
      <c r="X623">
        <v>1157</v>
      </c>
      <c r="Y623" t="s">
        <v>2009</v>
      </c>
      <c r="AB623" t="s">
        <v>2223</v>
      </c>
      <c r="AE623">
        <v>359</v>
      </c>
      <c r="AF623" t="s">
        <v>2902</v>
      </c>
      <c r="AH623">
        <v>39</v>
      </c>
      <c r="AI623">
        <v>6</v>
      </c>
      <c r="AJ623">
        <v>0</v>
      </c>
      <c r="AK623">
        <v>383.06</v>
      </c>
      <c r="AL623" t="s">
        <v>365</v>
      </c>
      <c r="AN623" t="s">
        <v>2926</v>
      </c>
      <c r="AO623">
        <v>132500</v>
      </c>
      <c r="AP623" t="s">
        <v>18170</v>
      </c>
      <c r="AU623" t="s">
        <v>13051</v>
      </c>
      <c r="AW623" t="s">
        <v>3060</v>
      </c>
    </row>
    <row r="624" spans="1:50">
      <c r="A624" s="1" t="s">
        <v>82</v>
      </c>
      <c r="B624" t="s">
        <v>163</v>
      </c>
      <c r="C624" t="s">
        <v>3834</v>
      </c>
      <c r="D624" t="s">
        <v>294</v>
      </c>
      <c r="F624" t="s">
        <v>502</v>
      </c>
      <c r="G624" t="s">
        <v>8177</v>
      </c>
      <c r="H624" t="s">
        <v>9420</v>
      </c>
      <c r="I624" t="s">
        <v>11086</v>
      </c>
      <c r="J624" t="s">
        <v>1644</v>
      </c>
      <c r="K624">
        <v>11233</v>
      </c>
      <c r="L624" t="s">
        <v>1670</v>
      </c>
      <c r="M624" t="s">
        <v>1671</v>
      </c>
      <c r="N624" t="s">
        <v>1691</v>
      </c>
      <c r="O624" t="s">
        <v>1938</v>
      </c>
      <c r="P624" t="s">
        <v>1961</v>
      </c>
      <c r="R624" t="s">
        <v>50</v>
      </c>
      <c r="S624" t="s">
        <v>1670</v>
      </c>
      <c r="U624" t="s">
        <v>1972</v>
      </c>
      <c r="V624" t="s">
        <v>1984</v>
      </c>
      <c r="W624" t="s">
        <v>248</v>
      </c>
      <c r="X624">
        <v>1157</v>
      </c>
      <c r="Y624" t="s">
        <v>2009</v>
      </c>
      <c r="AB624" t="s">
        <v>2223</v>
      </c>
      <c r="AC624" t="s">
        <v>1754</v>
      </c>
      <c r="AE624">
        <v>359</v>
      </c>
      <c r="AF624" t="s">
        <v>2902</v>
      </c>
      <c r="AG624" t="s">
        <v>1754</v>
      </c>
      <c r="AH624">
        <v>39</v>
      </c>
      <c r="AI624">
        <v>6</v>
      </c>
      <c r="AJ624">
        <v>0</v>
      </c>
      <c r="AK624">
        <v>383.06</v>
      </c>
      <c r="AN624" t="s">
        <v>2926</v>
      </c>
      <c r="AO624">
        <v>132500</v>
      </c>
      <c r="AP624" t="s">
        <v>18171</v>
      </c>
      <c r="AU624" t="s">
        <v>13051</v>
      </c>
      <c r="AW624" t="s">
        <v>3060</v>
      </c>
      <c r="AX624" t="s">
        <v>1754</v>
      </c>
    </row>
    <row r="625" spans="1:50">
      <c r="A625" s="1" t="s">
        <v>133</v>
      </c>
      <c r="B625" t="s">
        <v>163</v>
      </c>
      <c r="C625" t="s">
        <v>3835</v>
      </c>
      <c r="D625" t="s">
        <v>328</v>
      </c>
      <c r="F625" t="s">
        <v>473</v>
      </c>
      <c r="G625" t="s">
        <v>8178</v>
      </c>
      <c r="H625" t="s">
        <v>9614</v>
      </c>
      <c r="I625" t="s">
        <v>11087</v>
      </c>
      <c r="J625" t="s">
        <v>1644</v>
      </c>
      <c r="K625">
        <v>11213</v>
      </c>
      <c r="L625" t="s">
        <v>1670</v>
      </c>
      <c r="M625" t="s">
        <v>1672</v>
      </c>
      <c r="N625" t="s">
        <v>1675</v>
      </c>
      <c r="O625" t="s">
        <v>1675</v>
      </c>
      <c r="P625" t="s">
        <v>1959</v>
      </c>
      <c r="R625" t="s">
        <v>50</v>
      </c>
      <c r="S625" t="s">
        <v>1670</v>
      </c>
      <c r="U625" t="s">
        <v>1972</v>
      </c>
      <c r="V625" t="s">
        <v>1984</v>
      </c>
      <c r="W625" t="s">
        <v>213</v>
      </c>
      <c r="X625">
        <v>1205</v>
      </c>
      <c r="Y625" t="s">
        <v>2009</v>
      </c>
      <c r="Z625" t="s">
        <v>2015</v>
      </c>
      <c r="AB625" t="s">
        <v>13509</v>
      </c>
      <c r="AC625" t="s">
        <v>1754</v>
      </c>
      <c r="AE625">
        <v>34</v>
      </c>
      <c r="AF625" t="s">
        <v>2902</v>
      </c>
      <c r="AG625" t="s">
        <v>1754</v>
      </c>
      <c r="AH625">
        <v>34</v>
      </c>
      <c r="AI625">
        <v>3</v>
      </c>
      <c r="AJ625">
        <v>0</v>
      </c>
      <c r="AK625">
        <v>383.7</v>
      </c>
      <c r="AN625" t="s">
        <v>2926</v>
      </c>
      <c r="AO625">
        <v>81843</v>
      </c>
      <c r="AP625" t="s">
        <v>18172</v>
      </c>
      <c r="AU625" t="s">
        <v>13051</v>
      </c>
      <c r="AW625" t="s">
        <v>3060</v>
      </c>
      <c r="AX625" t="s">
        <v>18685</v>
      </c>
    </row>
    <row r="626" spans="1:50">
      <c r="A626" s="1" t="s">
        <v>98</v>
      </c>
      <c r="B626" t="s">
        <v>164</v>
      </c>
      <c r="C626" t="s">
        <v>3836</v>
      </c>
      <c r="D626" t="s">
        <v>294</v>
      </c>
      <c r="E626" t="s">
        <v>254</v>
      </c>
      <c r="F626" t="s">
        <v>7094</v>
      </c>
      <c r="G626" t="s">
        <v>8020</v>
      </c>
      <c r="H626" t="s">
        <v>9653</v>
      </c>
      <c r="I626" t="s">
        <v>1541</v>
      </c>
      <c r="J626" t="s">
        <v>1641</v>
      </c>
      <c r="K626">
        <v>10468</v>
      </c>
      <c r="L626" t="s">
        <v>1670</v>
      </c>
      <c r="M626" t="s">
        <v>1670</v>
      </c>
      <c r="O626" t="s">
        <v>1675</v>
      </c>
      <c r="P626" t="s">
        <v>1958</v>
      </c>
      <c r="Q626" t="s">
        <v>1965</v>
      </c>
      <c r="R626" t="s">
        <v>50</v>
      </c>
      <c r="S626" t="s">
        <v>1671</v>
      </c>
      <c r="U626" t="s">
        <v>1972</v>
      </c>
      <c r="W626" t="s">
        <v>294</v>
      </c>
      <c r="X626">
        <v>917</v>
      </c>
      <c r="Y626" t="s">
        <v>2006</v>
      </c>
      <c r="Z626" t="s">
        <v>2015</v>
      </c>
      <c r="AA626" t="s">
        <v>2029</v>
      </c>
      <c r="AB626" t="s">
        <v>13510</v>
      </c>
      <c r="AD626" t="s">
        <v>16034</v>
      </c>
      <c r="AE626">
        <v>65</v>
      </c>
      <c r="AF626" t="s">
        <v>2902</v>
      </c>
      <c r="AG626" t="s">
        <v>1754</v>
      </c>
      <c r="AH626">
        <v>5</v>
      </c>
      <c r="AI626">
        <v>1</v>
      </c>
      <c r="AJ626">
        <v>0</v>
      </c>
      <c r="AK626">
        <v>384.31</v>
      </c>
      <c r="AN626" t="s">
        <v>2926</v>
      </c>
      <c r="AO626">
        <v>48000</v>
      </c>
      <c r="AU626">
        <v>2.2</v>
      </c>
      <c r="AV626" t="s">
        <v>254</v>
      </c>
      <c r="AW626" t="s">
        <v>98</v>
      </c>
    </row>
    <row r="627" spans="1:50">
      <c r="A627" s="1" t="s">
        <v>132</v>
      </c>
      <c r="B627" t="s">
        <v>163</v>
      </c>
      <c r="C627" t="s">
        <v>3837</v>
      </c>
      <c r="D627" t="s">
        <v>399</v>
      </c>
      <c r="F627" t="s">
        <v>687</v>
      </c>
      <c r="G627" t="s">
        <v>8179</v>
      </c>
      <c r="H627" t="s">
        <v>1290</v>
      </c>
      <c r="I627" t="s">
        <v>1508</v>
      </c>
      <c r="J627" t="s">
        <v>1644</v>
      </c>
      <c r="K627">
        <v>11221</v>
      </c>
      <c r="L627" t="s">
        <v>1670</v>
      </c>
      <c r="M627" t="s">
        <v>1672</v>
      </c>
      <c r="N627" t="s">
        <v>1675</v>
      </c>
      <c r="O627" t="s">
        <v>1937</v>
      </c>
      <c r="P627" t="s">
        <v>1962</v>
      </c>
      <c r="R627" t="s">
        <v>50</v>
      </c>
      <c r="S627" t="s">
        <v>1670</v>
      </c>
      <c r="U627" t="s">
        <v>1977</v>
      </c>
      <c r="V627" t="s">
        <v>1984</v>
      </c>
      <c r="W627" t="s">
        <v>266</v>
      </c>
      <c r="X627">
        <v>780</v>
      </c>
      <c r="Y627" t="s">
        <v>2009</v>
      </c>
      <c r="Z627" t="s">
        <v>2015</v>
      </c>
      <c r="AB627" t="s">
        <v>13511</v>
      </c>
      <c r="AC627" t="s">
        <v>1754</v>
      </c>
      <c r="AD627" t="s">
        <v>16035</v>
      </c>
      <c r="AE627">
        <v>12</v>
      </c>
      <c r="AF627" t="s">
        <v>2902</v>
      </c>
      <c r="AG627" t="s">
        <v>1754</v>
      </c>
      <c r="AH627">
        <v>15</v>
      </c>
      <c r="AI627">
        <v>1</v>
      </c>
      <c r="AJ627">
        <v>0</v>
      </c>
      <c r="AK627">
        <v>384.31</v>
      </c>
      <c r="AN627" t="s">
        <v>2926</v>
      </c>
      <c r="AO627">
        <v>48000</v>
      </c>
      <c r="AU627" t="s">
        <v>13051</v>
      </c>
      <c r="AW627" t="s">
        <v>3060</v>
      </c>
      <c r="AX627" t="s">
        <v>1754</v>
      </c>
    </row>
    <row r="628" spans="1:50">
      <c r="A628" s="1" t="s">
        <v>143</v>
      </c>
      <c r="B628" t="s">
        <v>163</v>
      </c>
      <c r="C628" t="s">
        <v>3838</v>
      </c>
      <c r="D628" t="s">
        <v>326</v>
      </c>
      <c r="F628" t="s">
        <v>687</v>
      </c>
      <c r="G628" t="s">
        <v>8179</v>
      </c>
      <c r="H628" t="s">
        <v>1290</v>
      </c>
      <c r="I628" t="s">
        <v>1508</v>
      </c>
      <c r="J628" t="s">
        <v>1644</v>
      </c>
      <c r="K628">
        <v>11221</v>
      </c>
      <c r="L628" t="s">
        <v>1670</v>
      </c>
      <c r="M628" t="s">
        <v>1670</v>
      </c>
      <c r="O628" t="s">
        <v>1946</v>
      </c>
      <c r="P628" t="s">
        <v>1964</v>
      </c>
      <c r="R628" t="s">
        <v>50</v>
      </c>
      <c r="S628" t="s">
        <v>1670</v>
      </c>
      <c r="U628" t="s">
        <v>1978</v>
      </c>
      <c r="W628" t="s">
        <v>326</v>
      </c>
      <c r="X628">
        <v>780</v>
      </c>
      <c r="Y628" t="s">
        <v>2009</v>
      </c>
      <c r="Z628" t="s">
        <v>2015</v>
      </c>
      <c r="AB628" t="s">
        <v>13511</v>
      </c>
      <c r="AD628" t="s">
        <v>16035</v>
      </c>
      <c r="AE628">
        <v>12</v>
      </c>
      <c r="AF628" t="s">
        <v>2902</v>
      </c>
      <c r="AG628" t="s">
        <v>1754</v>
      </c>
      <c r="AH628">
        <v>15</v>
      </c>
      <c r="AI628">
        <v>1</v>
      </c>
      <c r="AJ628">
        <v>0</v>
      </c>
      <c r="AK628">
        <v>384.31</v>
      </c>
      <c r="AN628" t="s">
        <v>2926</v>
      </c>
      <c r="AO628">
        <v>48000</v>
      </c>
      <c r="AP628" t="s">
        <v>18173</v>
      </c>
      <c r="AU628" t="s">
        <v>13051</v>
      </c>
      <c r="AW628" t="s">
        <v>3060</v>
      </c>
      <c r="AX628" t="s">
        <v>1754</v>
      </c>
    </row>
    <row r="629" spans="1:50">
      <c r="A629" s="1" t="s">
        <v>66</v>
      </c>
      <c r="B629" t="s">
        <v>164</v>
      </c>
      <c r="C629" t="s">
        <v>3839</v>
      </c>
      <c r="D629" t="s">
        <v>263</v>
      </c>
      <c r="E629" t="s">
        <v>361</v>
      </c>
      <c r="F629" t="s">
        <v>7095</v>
      </c>
      <c r="G629" t="s">
        <v>8180</v>
      </c>
      <c r="H629" t="s">
        <v>9654</v>
      </c>
      <c r="I629" t="s">
        <v>11088</v>
      </c>
      <c r="J629" t="s">
        <v>1644</v>
      </c>
      <c r="K629">
        <v>11239</v>
      </c>
      <c r="L629" t="s">
        <v>1670</v>
      </c>
      <c r="M629" t="s">
        <v>1671</v>
      </c>
      <c r="N629" t="s">
        <v>11997</v>
      </c>
      <c r="O629" t="s">
        <v>1936</v>
      </c>
      <c r="P629" t="s">
        <v>1960</v>
      </c>
      <c r="Q629" t="s">
        <v>1969</v>
      </c>
      <c r="R629" t="s">
        <v>50</v>
      </c>
      <c r="S629" t="s">
        <v>1671</v>
      </c>
      <c r="U629" t="s">
        <v>1972</v>
      </c>
      <c r="V629" t="s">
        <v>1987</v>
      </c>
      <c r="W629" t="s">
        <v>256</v>
      </c>
      <c r="X629">
        <v>1191</v>
      </c>
      <c r="Y629" t="s">
        <v>2009</v>
      </c>
      <c r="AA629" t="s">
        <v>2029</v>
      </c>
      <c r="AB629" t="s">
        <v>13512</v>
      </c>
      <c r="AD629" t="s">
        <v>16036</v>
      </c>
      <c r="AE629">
        <v>1168</v>
      </c>
      <c r="AF629" t="s">
        <v>2902</v>
      </c>
      <c r="AG629" t="s">
        <v>2017</v>
      </c>
      <c r="AH629">
        <v>2</v>
      </c>
      <c r="AI629">
        <v>1</v>
      </c>
      <c r="AJ629">
        <v>0</v>
      </c>
      <c r="AK629">
        <v>384.31</v>
      </c>
      <c r="AN629" t="s">
        <v>2926</v>
      </c>
      <c r="AO629">
        <v>48000</v>
      </c>
      <c r="AU629">
        <v>41.15</v>
      </c>
      <c r="AV629" t="s">
        <v>361</v>
      </c>
      <c r="AW629" t="s">
        <v>3060</v>
      </c>
      <c r="AX629" t="s">
        <v>18685</v>
      </c>
    </row>
    <row r="630" spans="1:50">
      <c r="A630" s="1" t="s">
        <v>82</v>
      </c>
      <c r="B630" t="s">
        <v>163</v>
      </c>
      <c r="C630" t="s">
        <v>3840</v>
      </c>
      <c r="D630" t="s">
        <v>181</v>
      </c>
      <c r="F630" t="s">
        <v>7096</v>
      </c>
      <c r="G630" t="s">
        <v>8181</v>
      </c>
      <c r="H630" t="s">
        <v>9420</v>
      </c>
      <c r="I630" t="s">
        <v>11089</v>
      </c>
      <c r="J630" t="s">
        <v>1644</v>
      </c>
      <c r="K630">
        <v>11233</v>
      </c>
      <c r="L630" t="s">
        <v>1670</v>
      </c>
      <c r="M630" t="s">
        <v>1671</v>
      </c>
      <c r="O630" t="s">
        <v>1937</v>
      </c>
      <c r="P630" t="s">
        <v>1962</v>
      </c>
      <c r="R630" t="s">
        <v>50</v>
      </c>
      <c r="S630" t="s">
        <v>1670</v>
      </c>
      <c r="U630" t="s">
        <v>1972</v>
      </c>
      <c r="V630" t="s">
        <v>1984</v>
      </c>
      <c r="W630" t="s">
        <v>221</v>
      </c>
      <c r="X630">
        <v>1534.37</v>
      </c>
      <c r="Y630" t="s">
        <v>2009</v>
      </c>
      <c r="Z630" t="s">
        <v>2017</v>
      </c>
      <c r="AB630" t="s">
        <v>13513</v>
      </c>
      <c r="AE630">
        <v>359</v>
      </c>
      <c r="AF630" t="s">
        <v>2902</v>
      </c>
      <c r="AG630" t="s">
        <v>1754</v>
      </c>
      <c r="AH630">
        <v>3</v>
      </c>
      <c r="AI630">
        <v>2</v>
      </c>
      <c r="AJ630">
        <v>0</v>
      </c>
      <c r="AK630">
        <v>384.39</v>
      </c>
      <c r="AL630" t="s">
        <v>365</v>
      </c>
      <c r="AM630" t="s">
        <v>18031</v>
      </c>
      <c r="AN630" t="s">
        <v>2926</v>
      </c>
      <c r="AO630">
        <v>65000</v>
      </c>
      <c r="AP630" t="s">
        <v>18174</v>
      </c>
      <c r="AU630" t="s">
        <v>13051</v>
      </c>
      <c r="AW630" t="s">
        <v>3059</v>
      </c>
    </row>
    <row r="631" spans="1:50">
      <c r="A631" s="1" t="s">
        <v>82</v>
      </c>
      <c r="B631" t="s">
        <v>163</v>
      </c>
      <c r="C631" t="s">
        <v>3841</v>
      </c>
      <c r="D631" t="s">
        <v>190</v>
      </c>
      <c r="F631" t="s">
        <v>7097</v>
      </c>
      <c r="G631" t="s">
        <v>892</v>
      </c>
      <c r="H631" t="s">
        <v>9420</v>
      </c>
      <c r="I631" t="s">
        <v>1562</v>
      </c>
      <c r="J631" t="s">
        <v>1644</v>
      </c>
      <c r="K631">
        <v>11233</v>
      </c>
      <c r="L631" t="s">
        <v>1670</v>
      </c>
      <c r="M631" t="s">
        <v>1671</v>
      </c>
      <c r="O631" t="s">
        <v>1937</v>
      </c>
      <c r="P631" t="s">
        <v>1962</v>
      </c>
      <c r="R631" t="s">
        <v>50</v>
      </c>
      <c r="S631" t="s">
        <v>1670</v>
      </c>
      <c r="U631" t="s">
        <v>1972</v>
      </c>
      <c r="V631" t="s">
        <v>1984</v>
      </c>
      <c r="W631" t="s">
        <v>221</v>
      </c>
      <c r="X631">
        <v>1489</v>
      </c>
      <c r="Y631" t="s">
        <v>2009</v>
      </c>
      <c r="Z631" t="s">
        <v>2017</v>
      </c>
      <c r="AB631" t="s">
        <v>13281</v>
      </c>
      <c r="AE631">
        <v>359</v>
      </c>
      <c r="AF631" t="s">
        <v>2902</v>
      </c>
      <c r="AG631" t="s">
        <v>1754</v>
      </c>
      <c r="AH631">
        <v>4</v>
      </c>
      <c r="AI631">
        <v>2</v>
      </c>
      <c r="AJ631">
        <v>0</v>
      </c>
      <c r="AK631">
        <v>384.39</v>
      </c>
      <c r="AL631" t="s">
        <v>365</v>
      </c>
      <c r="AM631" t="s">
        <v>18031</v>
      </c>
      <c r="AN631" t="s">
        <v>2926</v>
      </c>
      <c r="AO631">
        <v>65000</v>
      </c>
      <c r="AP631" t="s">
        <v>18175</v>
      </c>
      <c r="AU631" t="s">
        <v>13051</v>
      </c>
      <c r="AW631" t="s">
        <v>3059</v>
      </c>
    </row>
    <row r="632" spans="1:50">
      <c r="A632" s="1" t="s">
        <v>82</v>
      </c>
      <c r="B632" t="s">
        <v>163</v>
      </c>
      <c r="C632" t="s">
        <v>3842</v>
      </c>
      <c r="D632" t="s">
        <v>203</v>
      </c>
      <c r="F632" t="s">
        <v>6912</v>
      </c>
      <c r="G632" t="s">
        <v>8182</v>
      </c>
      <c r="H632" t="s">
        <v>9420</v>
      </c>
      <c r="I632" t="s">
        <v>11090</v>
      </c>
      <c r="J632" t="s">
        <v>1644</v>
      </c>
      <c r="K632">
        <v>11233</v>
      </c>
      <c r="L632" t="s">
        <v>1670</v>
      </c>
      <c r="M632" t="s">
        <v>1671</v>
      </c>
      <c r="O632" t="s">
        <v>1937</v>
      </c>
      <c r="P632" t="s">
        <v>1962</v>
      </c>
      <c r="R632" t="s">
        <v>50</v>
      </c>
      <c r="S632" t="s">
        <v>1670</v>
      </c>
      <c r="U632" t="s">
        <v>1972</v>
      </c>
      <c r="V632" t="s">
        <v>1984</v>
      </c>
      <c r="W632" t="s">
        <v>221</v>
      </c>
      <c r="X632">
        <v>1000</v>
      </c>
      <c r="Y632" t="s">
        <v>2009</v>
      </c>
      <c r="Z632" t="s">
        <v>2025</v>
      </c>
      <c r="AB632" t="s">
        <v>13514</v>
      </c>
      <c r="AE632">
        <v>359</v>
      </c>
      <c r="AF632" t="s">
        <v>2902</v>
      </c>
      <c r="AH632">
        <v>50</v>
      </c>
      <c r="AI632">
        <v>2</v>
      </c>
      <c r="AJ632">
        <v>0</v>
      </c>
      <c r="AK632">
        <v>384.39</v>
      </c>
      <c r="AN632" t="s">
        <v>2926</v>
      </c>
      <c r="AO632">
        <v>65000</v>
      </c>
      <c r="AP632" t="s">
        <v>18176</v>
      </c>
      <c r="AU632" t="s">
        <v>13051</v>
      </c>
      <c r="AW632" t="s">
        <v>3060</v>
      </c>
    </row>
    <row r="633" spans="1:50">
      <c r="A633" s="1" t="s">
        <v>82</v>
      </c>
      <c r="B633" t="s">
        <v>163</v>
      </c>
      <c r="C633" t="s">
        <v>3843</v>
      </c>
      <c r="D633" t="s">
        <v>210</v>
      </c>
      <c r="F633" t="s">
        <v>7096</v>
      </c>
      <c r="G633" t="s">
        <v>8181</v>
      </c>
      <c r="H633" t="s">
        <v>9420</v>
      </c>
      <c r="I633" t="s">
        <v>11089</v>
      </c>
      <c r="J633" t="s">
        <v>1644</v>
      </c>
      <c r="K633">
        <v>11233</v>
      </c>
      <c r="L633" t="s">
        <v>1670</v>
      </c>
      <c r="M633" t="s">
        <v>1671</v>
      </c>
      <c r="O633" t="s">
        <v>1938</v>
      </c>
      <c r="P633" t="s">
        <v>1961</v>
      </c>
      <c r="R633" t="s">
        <v>50</v>
      </c>
      <c r="S633" t="s">
        <v>1670</v>
      </c>
      <c r="U633" t="s">
        <v>1972</v>
      </c>
      <c r="V633" t="s">
        <v>1984</v>
      </c>
      <c r="W633" t="s">
        <v>248</v>
      </c>
      <c r="X633">
        <v>1534.37</v>
      </c>
      <c r="Y633" t="s">
        <v>2009</v>
      </c>
      <c r="Z633" t="s">
        <v>2017</v>
      </c>
      <c r="AB633" t="s">
        <v>13513</v>
      </c>
      <c r="AE633">
        <v>359</v>
      </c>
      <c r="AF633" t="s">
        <v>2902</v>
      </c>
      <c r="AG633" t="s">
        <v>1754</v>
      </c>
      <c r="AH633">
        <v>3</v>
      </c>
      <c r="AI633">
        <v>2</v>
      </c>
      <c r="AJ633">
        <v>0</v>
      </c>
      <c r="AK633">
        <v>384.39</v>
      </c>
      <c r="AL633" t="s">
        <v>365</v>
      </c>
      <c r="AM633" t="s">
        <v>18031</v>
      </c>
      <c r="AN633" t="s">
        <v>2926</v>
      </c>
      <c r="AO633">
        <v>65000</v>
      </c>
      <c r="AP633" t="s">
        <v>18068</v>
      </c>
      <c r="AU633" t="s">
        <v>13051</v>
      </c>
      <c r="AW633" t="s">
        <v>3059</v>
      </c>
    </row>
    <row r="634" spans="1:50">
      <c r="A634" s="1" t="s">
        <v>82</v>
      </c>
      <c r="B634" t="s">
        <v>163</v>
      </c>
      <c r="C634" t="s">
        <v>3844</v>
      </c>
      <c r="D634" t="s">
        <v>190</v>
      </c>
      <c r="F634" t="s">
        <v>7097</v>
      </c>
      <c r="G634" t="s">
        <v>892</v>
      </c>
      <c r="H634" t="s">
        <v>9420</v>
      </c>
      <c r="I634" t="s">
        <v>1562</v>
      </c>
      <c r="J634" t="s">
        <v>1644</v>
      </c>
      <c r="K634">
        <v>11233</v>
      </c>
      <c r="L634" t="s">
        <v>1670</v>
      </c>
      <c r="M634" t="s">
        <v>1671</v>
      </c>
      <c r="O634" t="s">
        <v>1938</v>
      </c>
      <c r="P634" t="s">
        <v>1961</v>
      </c>
      <c r="R634" t="s">
        <v>50</v>
      </c>
      <c r="S634" t="s">
        <v>1670</v>
      </c>
      <c r="U634" t="s">
        <v>1972</v>
      </c>
      <c r="V634" t="s">
        <v>1984</v>
      </c>
      <c r="W634" t="s">
        <v>248</v>
      </c>
      <c r="X634">
        <v>1489</v>
      </c>
      <c r="Y634" t="s">
        <v>2009</v>
      </c>
      <c r="Z634" t="s">
        <v>2017</v>
      </c>
      <c r="AB634" t="s">
        <v>13281</v>
      </c>
      <c r="AE634">
        <v>359</v>
      </c>
      <c r="AF634" t="s">
        <v>2902</v>
      </c>
      <c r="AG634" t="s">
        <v>1754</v>
      </c>
      <c r="AH634">
        <v>4</v>
      </c>
      <c r="AI634">
        <v>2</v>
      </c>
      <c r="AJ634">
        <v>0</v>
      </c>
      <c r="AK634">
        <v>384.39</v>
      </c>
      <c r="AL634" t="s">
        <v>365</v>
      </c>
      <c r="AM634" t="s">
        <v>18031</v>
      </c>
      <c r="AN634" t="s">
        <v>2926</v>
      </c>
      <c r="AO634">
        <v>65000</v>
      </c>
      <c r="AP634" t="s">
        <v>18068</v>
      </c>
      <c r="AU634" t="s">
        <v>13051</v>
      </c>
      <c r="AW634" t="s">
        <v>3059</v>
      </c>
    </row>
    <row r="635" spans="1:50">
      <c r="A635" s="1" t="s">
        <v>82</v>
      </c>
      <c r="B635" t="s">
        <v>163</v>
      </c>
      <c r="C635" t="s">
        <v>3845</v>
      </c>
      <c r="D635" t="s">
        <v>203</v>
      </c>
      <c r="F635" t="s">
        <v>6912</v>
      </c>
      <c r="G635" t="s">
        <v>8182</v>
      </c>
      <c r="H635" t="s">
        <v>9420</v>
      </c>
      <c r="I635" t="s">
        <v>11090</v>
      </c>
      <c r="J635" t="s">
        <v>1644</v>
      </c>
      <c r="K635">
        <v>11233</v>
      </c>
      <c r="L635" t="s">
        <v>1670</v>
      </c>
      <c r="M635" t="s">
        <v>1671</v>
      </c>
      <c r="O635" t="s">
        <v>1938</v>
      </c>
      <c r="P635" t="s">
        <v>1961</v>
      </c>
      <c r="R635" t="s">
        <v>50</v>
      </c>
      <c r="U635" t="s">
        <v>1972</v>
      </c>
      <c r="V635" t="s">
        <v>1984</v>
      </c>
      <c r="W635" t="s">
        <v>248</v>
      </c>
      <c r="X635">
        <v>100</v>
      </c>
      <c r="Y635" t="s">
        <v>2009</v>
      </c>
      <c r="Z635" t="s">
        <v>2025</v>
      </c>
      <c r="AB635" t="s">
        <v>13514</v>
      </c>
      <c r="AE635">
        <v>359</v>
      </c>
      <c r="AF635" t="s">
        <v>2902</v>
      </c>
      <c r="AH635">
        <v>50</v>
      </c>
      <c r="AI635">
        <v>2</v>
      </c>
      <c r="AJ635">
        <v>0</v>
      </c>
      <c r="AK635">
        <v>384.39</v>
      </c>
      <c r="AN635" t="s">
        <v>2926</v>
      </c>
      <c r="AO635">
        <v>65000</v>
      </c>
      <c r="AP635" t="s">
        <v>18094</v>
      </c>
      <c r="AU635" t="s">
        <v>13051</v>
      </c>
      <c r="AW635" t="s">
        <v>3060</v>
      </c>
    </row>
    <row r="636" spans="1:50">
      <c r="A636" s="1" t="s">
        <v>57</v>
      </c>
      <c r="B636" t="s">
        <v>163</v>
      </c>
      <c r="C636" t="s">
        <v>3846</v>
      </c>
      <c r="D636" t="s">
        <v>285</v>
      </c>
      <c r="F636" t="s">
        <v>7098</v>
      </c>
      <c r="G636" t="s">
        <v>8183</v>
      </c>
      <c r="H636" t="s">
        <v>9655</v>
      </c>
      <c r="I636" t="s">
        <v>1487</v>
      </c>
      <c r="J636" t="s">
        <v>1641</v>
      </c>
      <c r="K636">
        <v>10457</v>
      </c>
      <c r="L636" t="s">
        <v>1670</v>
      </c>
      <c r="M636" t="s">
        <v>1670</v>
      </c>
      <c r="N636" t="s">
        <v>11998</v>
      </c>
      <c r="O636" t="s">
        <v>1952</v>
      </c>
      <c r="P636" t="s">
        <v>1960</v>
      </c>
      <c r="R636" t="s">
        <v>50</v>
      </c>
      <c r="S636" t="s">
        <v>1670</v>
      </c>
      <c r="U636" t="s">
        <v>1972</v>
      </c>
      <c r="W636" t="s">
        <v>353</v>
      </c>
      <c r="X636">
        <v>1172</v>
      </c>
      <c r="Y636" t="s">
        <v>2006</v>
      </c>
      <c r="Z636" t="s">
        <v>2013</v>
      </c>
      <c r="AB636" t="s">
        <v>13515</v>
      </c>
      <c r="AD636" t="s">
        <v>16037</v>
      </c>
      <c r="AE636">
        <v>100</v>
      </c>
      <c r="AF636" t="s">
        <v>2902</v>
      </c>
      <c r="AG636" t="s">
        <v>1754</v>
      </c>
      <c r="AH636">
        <v>39</v>
      </c>
      <c r="AI636">
        <v>2</v>
      </c>
      <c r="AJ636">
        <v>0</v>
      </c>
      <c r="AK636">
        <v>384.39</v>
      </c>
      <c r="AN636" t="s">
        <v>2926</v>
      </c>
      <c r="AO636">
        <v>65000</v>
      </c>
      <c r="AU636">
        <v>0.9</v>
      </c>
      <c r="AV636" t="s">
        <v>285</v>
      </c>
      <c r="AW636" t="s">
        <v>98</v>
      </c>
      <c r="AX636" t="s">
        <v>18685</v>
      </c>
    </row>
    <row r="637" spans="1:50">
      <c r="A637" s="1" t="s">
        <v>97</v>
      </c>
      <c r="B637" t="s">
        <v>163</v>
      </c>
      <c r="C637" t="s">
        <v>3847</v>
      </c>
      <c r="D637" t="s">
        <v>201</v>
      </c>
      <c r="F637" t="s">
        <v>1002</v>
      </c>
      <c r="G637" t="s">
        <v>8184</v>
      </c>
      <c r="H637" t="s">
        <v>1216</v>
      </c>
      <c r="I637" t="s">
        <v>1600</v>
      </c>
      <c r="J637" t="s">
        <v>1643</v>
      </c>
      <c r="K637">
        <v>10034</v>
      </c>
      <c r="L637" t="s">
        <v>1670</v>
      </c>
      <c r="M637" t="s">
        <v>1670</v>
      </c>
      <c r="N637" t="s">
        <v>11864</v>
      </c>
      <c r="O637" t="s">
        <v>1939</v>
      </c>
      <c r="P637" t="s">
        <v>1960</v>
      </c>
      <c r="R637" t="s">
        <v>50</v>
      </c>
      <c r="S637" t="s">
        <v>1670</v>
      </c>
      <c r="U637" t="s">
        <v>1972</v>
      </c>
      <c r="W637" t="s">
        <v>201</v>
      </c>
      <c r="X637">
        <v>2300</v>
      </c>
      <c r="Y637" t="s">
        <v>2008</v>
      </c>
      <c r="Z637" t="s">
        <v>2013</v>
      </c>
      <c r="AE637">
        <v>67</v>
      </c>
      <c r="AF637" t="s">
        <v>2902</v>
      </c>
      <c r="AG637" t="s">
        <v>1754</v>
      </c>
      <c r="AH637">
        <v>4</v>
      </c>
      <c r="AI637">
        <v>1</v>
      </c>
      <c r="AJ637">
        <v>0</v>
      </c>
      <c r="AK637">
        <v>387.15</v>
      </c>
      <c r="AN637" t="s">
        <v>2926</v>
      </c>
      <c r="AO637">
        <v>47000</v>
      </c>
      <c r="AU637">
        <v>1.3</v>
      </c>
      <c r="AV637" t="s">
        <v>167</v>
      </c>
      <c r="AW637" t="s">
        <v>3042</v>
      </c>
      <c r="AX637" t="s">
        <v>18685</v>
      </c>
    </row>
    <row r="638" spans="1:50">
      <c r="A638" s="1" t="s">
        <v>57</v>
      </c>
      <c r="B638" t="s">
        <v>163</v>
      </c>
      <c r="C638" t="s">
        <v>3848</v>
      </c>
      <c r="D638" t="s">
        <v>245</v>
      </c>
      <c r="F638" t="s">
        <v>492</v>
      </c>
      <c r="G638" t="s">
        <v>8185</v>
      </c>
      <c r="H638" t="s">
        <v>1193</v>
      </c>
      <c r="I638" t="s">
        <v>1581</v>
      </c>
      <c r="J638" t="s">
        <v>1641</v>
      </c>
      <c r="K638">
        <v>10456</v>
      </c>
      <c r="L638" t="s">
        <v>1670</v>
      </c>
      <c r="M638" t="s">
        <v>1670</v>
      </c>
      <c r="N638" t="s">
        <v>1736</v>
      </c>
      <c r="O638" t="s">
        <v>1938</v>
      </c>
      <c r="P638" t="s">
        <v>1961</v>
      </c>
      <c r="R638" t="s">
        <v>50</v>
      </c>
      <c r="S638" t="s">
        <v>1670</v>
      </c>
      <c r="U638" t="s">
        <v>1972</v>
      </c>
      <c r="W638" t="s">
        <v>359</v>
      </c>
      <c r="X638">
        <v>1200</v>
      </c>
      <c r="Y638" t="s">
        <v>2006</v>
      </c>
      <c r="AB638" t="s">
        <v>13516</v>
      </c>
      <c r="AD638" t="s">
        <v>16038</v>
      </c>
      <c r="AE638">
        <v>61</v>
      </c>
      <c r="AF638" t="s">
        <v>2902</v>
      </c>
      <c r="AG638" t="s">
        <v>1754</v>
      </c>
      <c r="AH638">
        <v>25</v>
      </c>
      <c r="AI638">
        <v>2</v>
      </c>
      <c r="AJ638">
        <v>0</v>
      </c>
      <c r="AK638">
        <v>387.61</v>
      </c>
      <c r="AN638" t="s">
        <v>2926</v>
      </c>
      <c r="AO638">
        <v>63800</v>
      </c>
      <c r="AU638" t="s">
        <v>13051</v>
      </c>
      <c r="AW638" t="s">
        <v>3046</v>
      </c>
    </row>
    <row r="639" spans="1:50">
      <c r="A639" s="1" t="s">
        <v>61</v>
      </c>
      <c r="B639" t="s">
        <v>163</v>
      </c>
      <c r="C639" t="s">
        <v>3849</v>
      </c>
      <c r="D639" t="s">
        <v>364</v>
      </c>
      <c r="F639" t="s">
        <v>689</v>
      </c>
      <c r="G639" t="s">
        <v>8186</v>
      </c>
      <c r="H639" t="s">
        <v>9387</v>
      </c>
      <c r="I639" t="s">
        <v>1519</v>
      </c>
      <c r="J639" t="s">
        <v>1644</v>
      </c>
      <c r="K639">
        <v>11226</v>
      </c>
      <c r="L639" t="s">
        <v>1670</v>
      </c>
      <c r="M639" t="s">
        <v>1672</v>
      </c>
      <c r="N639" t="s">
        <v>11999</v>
      </c>
      <c r="O639" t="s">
        <v>1939</v>
      </c>
      <c r="P639" t="s">
        <v>1960</v>
      </c>
      <c r="R639" t="s">
        <v>50</v>
      </c>
      <c r="S639" t="s">
        <v>1670</v>
      </c>
      <c r="U639" t="s">
        <v>1972</v>
      </c>
      <c r="V639" t="s">
        <v>1984</v>
      </c>
      <c r="W639" t="s">
        <v>364</v>
      </c>
      <c r="X639">
        <v>2125</v>
      </c>
      <c r="Y639" t="s">
        <v>2009</v>
      </c>
      <c r="Z639" t="s">
        <v>2016</v>
      </c>
      <c r="AB639" t="s">
        <v>13517</v>
      </c>
      <c r="AE639">
        <v>36</v>
      </c>
      <c r="AF639" t="s">
        <v>2902</v>
      </c>
      <c r="AH639">
        <v>-1</v>
      </c>
      <c r="AI639">
        <v>3</v>
      </c>
      <c r="AJ639">
        <v>1</v>
      </c>
      <c r="AK639">
        <v>388.35</v>
      </c>
      <c r="AN639" t="s">
        <v>2926</v>
      </c>
      <c r="AO639">
        <v>100000</v>
      </c>
      <c r="AU639">
        <v>0.2</v>
      </c>
      <c r="AV639" t="s">
        <v>364</v>
      </c>
      <c r="AW639" t="s">
        <v>69</v>
      </c>
      <c r="AX639" t="s">
        <v>18685</v>
      </c>
    </row>
    <row r="640" spans="1:50">
      <c r="A640" s="1" t="s">
        <v>62</v>
      </c>
      <c r="B640" t="s">
        <v>163</v>
      </c>
      <c r="C640" t="s">
        <v>3850</v>
      </c>
      <c r="D640" t="s">
        <v>6156</v>
      </c>
      <c r="F640" t="s">
        <v>7099</v>
      </c>
      <c r="G640" t="s">
        <v>8187</v>
      </c>
      <c r="H640" t="s">
        <v>9451</v>
      </c>
      <c r="I640" t="s">
        <v>11091</v>
      </c>
      <c r="J640" t="s">
        <v>1644</v>
      </c>
      <c r="K640">
        <v>11225</v>
      </c>
      <c r="L640" t="s">
        <v>1672</v>
      </c>
      <c r="M640" t="s">
        <v>1672</v>
      </c>
      <c r="N640" t="s">
        <v>12000</v>
      </c>
      <c r="O640" t="s">
        <v>1939</v>
      </c>
      <c r="P640" t="s">
        <v>1960</v>
      </c>
      <c r="R640" t="s">
        <v>50</v>
      </c>
      <c r="S640" t="s">
        <v>1670</v>
      </c>
      <c r="T640" t="s">
        <v>13026</v>
      </c>
      <c r="U640" t="s">
        <v>1972</v>
      </c>
      <c r="W640" t="s">
        <v>13036</v>
      </c>
      <c r="X640">
        <v>1918</v>
      </c>
      <c r="Y640" t="s">
        <v>2009</v>
      </c>
      <c r="Z640" t="s">
        <v>2015</v>
      </c>
      <c r="AB640" t="s">
        <v>13518</v>
      </c>
      <c r="AE640">
        <v>51</v>
      </c>
      <c r="AF640" t="s">
        <v>2902</v>
      </c>
      <c r="AH640">
        <v>6</v>
      </c>
      <c r="AI640">
        <v>2</v>
      </c>
      <c r="AJ640">
        <v>0</v>
      </c>
      <c r="AK640">
        <v>388.82</v>
      </c>
      <c r="AN640" t="s">
        <v>2926</v>
      </c>
      <c r="AO640">
        <v>64000</v>
      </c>
      <c r="AU640" t="s">
        <v>13051</v>
      </c>
      <c r="AW640" t="s">
        <v>3079</v>
      </c>
    </row>
    <row r="641" spans="1:50">
      <c r="A641" s="1" t="s">
        <v>96</v>
      </c>
      <c r="B641" t="s">
        <v>163</v>
      </c>
      <c r="C641" t="s">
        <v>3851</v>
      </c>
      <c r="D641" t="s">
        <v>171</v>
      </c>
      <c r="F641" t="s">
        <v>7100</v>
      </c>
      <c r="G641" t="s">
        <v>8188</v>
      </c>
      <c r="H641" t="s">
        <v>9656</v>
      </c>
      <c r="I641" t="s">
        <v>1614</v>
      </c>
      <c r="J641" t="s">
        <v>1644</v>
      </c>
      <c r="K641">
        <v>11226</v>
      </c>
      <c r="L641" t="s">
        <v>1670</v>
      </c>
      <c r="M641" t="s">
        <v>1672</v>
      </c>
      <c r="O641" t="s">
        <v>1937</v>
      </c>
      <c r="P641" t="s">
        <v>1959</v>
      </c>
      <c r="R641" t="s">
        <v>50</v>
      </c>
      <c r="S641" t="s">
        <v>1670</v>
      </c>
      <c r="U641" t="s">
        <v>1972</v>
      </c>
      <c r="V641" t="s">
        <v>1984</v>
      </c>
      <c r="W641" t="s">
        <v>171</v>
      </c>
      <c r="X641" t="s">
        <v>13051</v>
      </c>
      <c r="Y641" t="s">
        <v>2009</v>
      </c>
      <c r="Z641" t="s">
        <v>2020</v>
      </c>
      <c r="AB641" t="s">
        <v>2392</v>
      </c>
      <c r="AD641" t="s">
        <v>16039</v>
      </c>
      <c r="AE641">
        <v>32</v>
      </c>
      <c r="AF641" t="s">
        <v>2902</v>
      </c>
      <c r="AH641" t="s">
        <v>13051</v>
      </c>
      <c r="AI641">
        <v>2</v>
      </c>
      <c r="AJ641">
        <v>0</v>
      </c>
      <c r="AK641">
        <v>390.3</v>
      </c>
      <c r="AL641" t="s">
        <v>399</v>
      </c>
      <c r="AM641" t="s">
        <v>18031</v>
      </c>
      <c r="AN641" t="s">
        <v>2926</v>
      </c>
      <c r="AO641">
        <v>66000</v>
      </c>
      <c r="AU641">
        <v>10.5</v>
      </c>
      <c r="AV641" t="s">
        <v>396</v>
      </c>
      <c r="AW641" t="s">
        <v>158</v>
      </c>
      <c r="AX641" t="s">
        <v>18685</v>
      </c>
    </row>
    <row r="642" spans="1:50">
      <c r="A642" s="1" t="s">
        <v>96</v>
      </c>
      <c r="B642" t="s">
        <v>163</v>
      </c>
      <c r="C642" t="s">
        <v>3852</v>
      </c>
      <c r="D642" t="s">
        <v>295</v>
      </c>
      <c r="F642" t="s">
        <v>7100</v>
      </c>
      <c r="G642" t="s">
        <v>8188</v>
      </c>
      <c r="H642" t="s">
        <v>9656</v>
      </c>
      <c r="I642" t="s">
        <v>1614</v>
      </c>
      <c r="J642" t="s">
        <v>1644</v>
      </c>
      <c r="K642">
        <v>11226</v>
      </c>
      <c r="L642" t="s">
        <v>1670</v>
      </c>
      <c r="M642" t="s">
        <v>1670</v>
      </c>
      <c r="N642" t="s">
        <v>12001</v>
      </c>
      <c r="O642" t="s">
        <v>1936</v>
      </c>
      <c r="P642" t="s">
        <v>1960</v>
      </c>
      <c r="R642" t="s">
        <v>50</v>
      </c>
      <c r="S642" t="s">
        <v>1671</v>
      </c>
      <c r="U642" t="s">
        <v>1972</v>
      </c>
      <c r="V642" t="s">
        <v>1985</v>
      </c>
      <c r="W642" t="s">
        <v>326</v>
      </c>
      <c r="X642" t="s">
        <v>13051</v>
      </c>
      <c r="Y642" t="s">
        <v>2009</v>
      </c>
      <c r="Z642" t="s">
        <v>2020</v>
      </c>
      <c r="AB642" t="s">
        <v>2392</v>
      </c>
      <c r="AD642" t="s">
        <v>16039</v>
      </c>
      <c r="AE642">
        <v>32</v>
      </c>
      <c r="AF642" t="s">
        <v>2902</v>
      </c>
      <c r="AH642" t="s">
        <v>13051</v>
      </c>
      <c r="AI642">
        <v>2</v>
      </c>
      <c r="AJ642">
        <v>0</v>
      </c>
      <c r="AK642">
        <v>390.3</v>
      </c>
      <c r="AL642" t="s">
        <v>399</v>
      </c>
      <c r="AM642" t="s">
        <v>18031</v>
      </c>
      <c r="AN642" t="s">
        <v>2926</v>
      </c>
      <c r="AO642">
        <v>66000</v>
      </c>
      <c r="AQ642" t="s">
        <v>2978</v>
      </c>
      <c r="AR642" t="s">
        <v>2988</v>
      </c>
      <c r="AS642" t="s">
        <v>2992</v>
      </c>
      <c r="AT642" t="s">
        <v>18500</v>
      </c>
      <c r="AU642">
        <v>7.95</v>
      </c>
      <c r="AV642" t="s">
        <v>239</v>
      </c>
      <c r="AW642" t="s">
        <v>158</v>
      </c>
      <c r="AX642" t="s">
        <v>18685</v>
      </c>
    </row>
    <row r="643" spans="1:50">
      <c r="A643" s="1" t="s">
        <v>135</v>
      </c>
      <c r="B643" t="s">
        <v>163</v>
      </c>
      <c r="C643" t="s">
        <v>3853</v>
      </c>
      <c r="D643" t="s">
        <v>220</v>
      </c>
      <c r="F643" t="s">
        <v>7101</v>
      </c>
      <c r="G643" t="s">
        <v>8189</v>
      </c>
      <c r="H643" t="s">
        <v>9425</v>
      </c>
      <c r="I643" t="s">
        <v>1636</v>
      </c>
      <c r="J643" t="s">
        <v>1644</v>
      </c>
      <c r="K643">
        <v>11216</v>
      </c>
      <c r="L643" t="s">
        <v>1670</v>
      </c>
      <c r="M643" t="s">
        <v>1670</v>
      </c>
      <c r="O643" t="s">
        <v>1937</v>
      </c>
      <c r="P643" t="s">
        <v>1962</v>
      </c>
      <c r="R643" t="s">
        <v>50</v>
      </c>
      <c r="S643" t="s">
        <v>1670</v>
      </c>
      <c r="U643" t="s">
        <v>1972</v>
      </c>
      <c r="V643" t="s">
        <v>1984</v>
      </c>
      <c r="W643" t="s">
        <v>239</v>
      </c>
      <c r="X643">
        <v>2200</v>
      </c>
      <c r="Y643" t="s">
        <v>2009</v>
      </c>
      <c r="Z643" t="s">
        <v>2016</v>
      </c>
      <c r="AB643" t="s">
        <v>13519</v>
      </c>
      <c r="AD643" t="s">
        <v>16040</v>
      </c>
      <c r="AE643">
        <v>82</v>
      </c>
      <c r="AF643" t="s">
        <v>2902</v>
      </c>
      <c r="AG643" t="s">
        <v>1754</v>
      </c>
      <c r="AH643" t="s">
        <v>13051</v>
      </c>
      <c r="AI643">
        <v>1</v>
      </c>
      <c r="AJ643">
        <v>0</v>
      </c>
      <c r="AK643">
        <v>391.71</v>
      </c>
      <c r="AN643" t="s">
        <v>2926</v>
      </c>
      <c r="AO643">
        <v>48925</v>
      </c>
      <c r="AP643" t="s">
        <v>18177</v>
      </c>
      <c r="AU643" t="s">
        <v>13051</v>
      </c>
      <c r="AW643" t="s">
        <v>3060</v>
      </c>
    </row>
    <row r="644" spans="1:50">
      <c r="A644" s="1" t="s">
        <v>135</v>
      </c>
      <c r="B644" t="s">
        <v>163</v>
      </c>
      <c r="C644" t="s">
        <v>3854</v>
      </c>
      <c r="D644" t="s">
        <v>220</v>
      </c>
      <c r="F644" t="s">
        <v>7101</v>
      </c>
      <c r="G644" t="s">
        <v>8189</v>
      </c>
      <c r="H644" t="s">
        <v>9425</v>
      </c>
      <c r="I644" t="s">
        <v>1636</v>
      </c>
      <c r="J644" t="s">
        <v>1644</v>
      </c>
      <c r="K644">
        <v>11216</v>
      </c>
      <c r="L644" t="s">
        <v>1670</v>
      </c>
      <c r="M644" t="s">
        <v>1670</v>
      </c>
      <c r="N644" t="s">
        <v>11975</v>
      </c>
      <c r="O644" t="s">
        <v>1952</v>
      </c>
      <c r="P644" t="s">
        <v>1960</v>
      </c>
      <c r="R644" t="s">
        <v>50</v>
      </c>
      <c r="S644" t="s">
        <v>1670</v>
      </c>
      <c r="U644" t="s">
        <v>1972</v>
      </c>
      <c r="V644" t="s">
        <v>1984</v>
      </c>
      <c r="W644" t="s">
        <v>239</v>
      </c>
      <c r="X644">
        <v>2200</v>
      </c>
      <c r="Y644" t="s">
        <v>2009</v>
      </c>
      <c r="Z644" t="s">
        <v>2016</v>
      </c>
      <c r="AB644" t="s">
        <v>13519</v>
      </c>
      <c r="AD644" t="s">
        <v>16040</v>
      </c>
      <c r="AE644">
        <v>82</v>
      </c>
      <c r="AF644" t="s">
        <v>2902</v>
      </c>
      <c r="AG644" t="s">
        <v>1754</v>
      </c>
      <c r="AH644" t="s">
        <v>13051</v>
      </c>
      <c r="AI644">
        <v>1</v>
      </c>
      <c r="AJ644">
        <v>0</v>
      </c>
      <c r="AK644">
        <v>391.71</v>
      </c>
      <c r="AN644" t="s">
        <v>2926</v>
      </c>
      <c r="AO644">
        <v>48925</v>
      </c>
      <c r="AP644" t="s">
        <v>18178</v>
      </c>
      <c r="AU644" t="s">
        <v>13051</v>
      </c>
      <c r="AW644" t="s">
        <v>3060</v>
      </c>
    </row>
    <row r="645" spans="1:50">
      <c r="A645" s="1" t="s">
        <v>82</v>
      </c>
      <c r="B645" t="s">
        <v>163</v>
      </c>
      <c r="C645" t="s">
        <v>3855</v>
      </c>
      <c r="D645" t="s">
        <v>293</v>
      </c>
      <c r="F645" t="s">
        <v>7102</v>
      </c>
      <c r="G645" t="s">
        <v>8190</v>
      </c>
      <c r="H645" t="s">
        <v>9442</v>
      </c>
      <c r="I645" t="s">
        <v>11092</v>
      </c>
      <c r="J645" t="s">
        <v>1644</v>
      </c>
      <c r="K645">
        <v>11233</v>
      </c>
      <c r="L645" t="s">
        <v>1670</v>
      </c>
      <c r="M645" t="s">
        <v>1671</v>
      </c>
      <c r="O645" t="s">
        <v>1937</v>
      </c>
      <c r="P645" t="s">
        <v>1962</v>
      </c>
      <c r="R645" t="s">
        <v>50</v>
      </c>
      <c r="S645" t="s">
        <v>1670</v>
      </c>
      <c r="U645" t="s">
        <v>1972</v>
      </c>
      <c r="V645" t="s">
        <v>1984</v>
      </c>
      <c r="W645" t="s">
        <v>221</v>
      </c>
      <c r="X645">
        <v>629.15</v>
      </c>
      <c r="Y645" t="s">
        <v>2009</v>
      </c>
      <c r="Z645" t="s">
        <v>2017</v>
      </c>
      <c r="AB645" t="s">
        <v>13520</v>
      </c>
      <c r="AE645">
        <v>359</v>
      </c>
      <c r="AF645" t="s">
        <v>2902</v>
      </c>
      <c r="AH645">
        <v>8</v>
      </c>
      <c r="AI645">
        <v>1</v>
      </c>
      <c r="AJ645">
        <v>0</v>
      </c>
      <c r="AK645">
        <v>392.31</v>
      </c>
      <c r="AN645" t="s">
        <v>2926</v>
      </c>
      <c r="AO645">
        <v>49000</v>
      </c>
      <c r="AP645" t="s">
        <v>18179</v>
      </c>
      <c r="AU645" t="s">
        <v>13051</v>
      </c>
      <c r="AW645" t="s">
        <v>3059</v>
      </c>
    </row>
    <row r="646" spans="1:50">
      <c r="A646" s="1" t="s">
        <v>82</v>
      </c>
      <c r="B646" t="s">
        <v>163</v>
      </c>
      <c r="C646" t="s">
        <v>3856</v>
      </c>
      <c r="D646" t="s">
        <v>293</v>
      </c>
      <c r="F646" t="s">
        <v>7102</v>
      </c>
      <c r="G646" t="s">
        <v>8190</v>
      </c>
      <c r="H646" t="s">
        <v>9442</v>
      </c>
      <c r="I646" t="s">
        <v>11092</v>
      </c>
      <c r="J646" t="s">
        <v>1644</v>
      </c>
      <c r="K646">
        <v>11233</v>
      </c>
      <c r="L646" t="s">
        <v>1670</v>
      </c>
      <c r="M646" t="s">
        <v>1671</v>
      </c>
      <c r="O646" t="s">
        <v>1938</v>
      </c>
      <c r="P646" t="s">
        <v>1961</v>
      </c>
      <c r="R646" t="s">
        <v>50</v>
      </c>
      <c r="S646" t="s">
        <v>1670</v>
      </c>
      <c r="U646" t="s">
        <v>1972</v>
      </c>
      <c r="V646" t="s">
        <v>1984</v>
      </c>
      <c r="W646" t="s">
        <v>248</v>
      </c>
      <c r="X646">
        <v>629.15</v>
      </c>
      <c r="Y646" t="s">
        <v>2009</v>
      </c>
      <c r="Z646" t="s">
        <v>2017</v>
      </c>
      <c r="AB646" t="s">
        <v>13520</v>
      </c>
      <c r="AE646">
        <v>359</v>
      </c>
      <c r="AF646" t="s">
        <v>2902</v>
      </c>
      <c r="AH646">
        <v>8</v>
      </c>
      <c r="AI646">
        <v>1</v>
      </c>
      <c r="AJ646">
        <v>0</v>
      </c>
      <c r="AK646">
        <v>392.31</v>
      </c>
      <c r="AN646" t="s">
        <v>2926</v>
      </c>
      <c r="AO646">
        <v>49000</v>
      </c>
      <c r="AP646" t="s">
        <v>18071</v>
      </c>
      <c r="AU646" t="s">
        <v>13051</v>
      </c>
      <c r="AW646" t="s">
        <v>3059</v>
      </c>
    </row>
    <row r="647" spans="1:50">
      <c r="A647" s="1" t="s">
        <v>129</v>
      </c>
      <c r="B647" t="s">
        <v>163</v>
      </c>
      <c r="C647" t="s">
        <v>3857</v>
      </c>
      <c r="D647" t="s">
        <v>2005</v>
      </c>
      <c r="F647" t="s">
        <v>473</v>
      </c>
      <c r="G647" t="s">
        <v>8178</v>
      </c>
      <c r="H647" t="s">
        <v>9614</v>
      </c>
      <c r="I647" t="s">
        <v>11087</v>
      </c>
      <c r="J647" t="s">
        <v>1644</v>
      </c>
      <c r="K647">
        <v>11213</v>
      </c>
      <c r="L647" t="s">
        <v>1670</v>
      </c>
      <c r="M647" t="s">
        <v>1670</v>
      </c>
      <c r="N647" t="s">
        <v>1865</v>
      </c>
      <c r="O647" t="s">
        <v>1939</v>
      </c>
      <c r="P647" t="s">
        <v>1960</v>
      </c>
      <c r="R647" t="s">
        <v>50</v>
      </c>
      <c r="S647" t="s">
        <v>1670</v>
      </c>
      <c r="U647" t="s">
        <v>1972</v>
      </c>
      <c r="V647" t="s">
        <v>1984</v>
      </c>
      <c r="W647" t="s">
        <v>6770</v>
      </c>
      <c r="X647">
        <v>1205</v>
      </c>
      <c r="Y647" t="s">
        <v>2009</v>
      </c>
      <c r="Z647" t="s">
        <v>2015</v>
      </c>
      <c r="AB647" t="s">
        <v>13509</v>
      </c>
      <c r="AC647" t="s">
        <v>1754</v>
      </c>
      <c r="AE647">
        <v>34</v>
      </c>
      <c r="AF647" t="s">
        <v>2902</v>
      </c>
      <c r="AG647" t="s">
        <v>1754</v>
      </c>
      <c r="AH647">
        <v>34</v>
      </c>
      <c r="AI647">
        <v>3</v>
      </c>
      <c r="AJ647">
        <v>0</v>
      </c>
      <c r="AK647">
        <v>393.85</v>
      </c>
      <c r="AN647" t="s">
        <v>2926</v>
      </c>
      <c r="AO647">
        <v>81843</v>
      </c>
      <c r="AP647" t="s">
        <v>18180</v>
      </c>
      <c r="AU647">
        <v>0.1</v>
      </c>
      <c r="AV647" t="s">
        <v>165</v>
      </c>
      <c r="AW647" t="s">
        <v>3060</v>
      </c>
    </row>
    <row r="648" spans="1:50">
      <c r="A648" s="1" t="s">
        <v>98</v>
      </c>
      <c r="B648" t="s">
        <v>164</v>
      </c>
      <c r="C648" t="s">
        <v>3858</v>
      </c>
      <c r="D648" t="s">
        <v>1993</v>
      </c>
      <c r="E648" t="s">
        <v>254</v>
      </c>
      <c r="F648" t="s">
        <v>7103</v>
      </c>
      <c r="G648" t="s">
        <v>8191</v>
      </c>
      <c r="H648" t="s">
        <v>1118</v>
      </c>
      <c r="I648" t="s">
        <v>11093</v>
      </c>
      <c r="J648" t="s">
        <v>1641</v>
      </c>
      <c r="K648">
        <v>10452</v>
      </c>
      <c r="L648" t="s">
        <v>1670</v>
      </c>
      <c r="M648" t="s">
        <v>1670</v>
      </c>
      <c r="O648" t="s">
        <v>1675</v>
      </c>
      <c r="P648" t="s">
        <v>1958</v>
      </c>
      <c r="Q648" t="s">
        <v>1965</v>
      </c>
      <c r="R648" t="s">
        <v>50</v>
      </c>
      <c r="S648" t="s">
        <v>1671</v>
      </c>
      <c r="U648" t="s">
        <v>1972</v>
      </c>
      <c r="W648" t="s">
        <v>1993</v>
      </c>
      <c r="X648">
        <v>1066</v>
      </c>
      <c r="Y648" t="s">
        <v>2006</v>
      </c>
      <c r="Z648" t="s">
        <v>2015</v>
      </c>
      <c r="AA648" t="s">
        <v>2029</v>
      </c>
      <c r="AB648" t="s">
        <v>13521</v>
      </c>
      <c r="AE648">
        <v>59</v>
      </c>
      <c r="AF648" t="s">
        <v>2902</v>
      </c>
      <c r="AG648" t="s">
        <v>1754</v>
      </c>
      <c r="AH648">
        <v>20</v>
      </c>
      <c r="AI648">
        <v>1</v>
      </c>
      <c r="AJ648">
        <v>0</v>
      </c>
      <c r="AK648">
        <v>395.39</v>
      </c>
      <c r="AN648" t="s">
        <v>2926</v>
      </c>
      <c r="AO648">
        <v>48000</v>
      </c>
      <c r="AU648">
        <v>2.2</v>
      </c>
      <c r="AV648" t="s">
        <v>254</v>
      </c>
      <c r="AW648" t="s">
        <v>98</v>
      </c>
    </row>
    <row r="649" spans="1:50">
      <c r="A649" s="1" t="s">
        <v>132</v>
      </c>
      <c r="B649" t="s">
        <v>164</v>
      </c>
      <c r="C649" t="s">
        <v>3859</v>
      </c>
      <c r="D649" t="s">
        <v>343</v>
      </c>
      <c r="E649" t="s">
        <v>394</v>
      </c>
      <c r="F649" t="s">
        <v>687</v>
      </c>
      <c r="G649" t="s">
        <v>8179</v>
      </c>
      <c r="H649" t="s">
        <v>1290</v>
      </c>
      <c r="I649" t="s">
        <v>1508</v>
      </c>
      <c r="J649" t="s">
        <v>1644</v>
      </c>
      <c r="K649">
        <v>11221</v>
      </c>
      <c r="L649" t="s">
        <v>1670</v>
      </c>
      <c r="M649" t="s">
        <v>1670</v>
      </c>
      <c r="O649" t="s">
        <v>1937</v>
      </c>
      <c r="P649" t="s">
        <v>1962</v>
      </c>
      <c r="Q649" t="s">
        <v>1968</v>
      </c>
      <c r="R649" t="s">
        <v>50</v>
      </c>
      <c r="S649" t="s">
        <v>1670</v>
      </c>
      <c r="U649" t="s">
        <v>1972</v>
      </c>
      <c r="W649" t="s">
        <v>225</v>
      </c>
      <c r="X649">
        <v>780</v>
      </c>
      <c r="Y649" t="s">
        <v>2009</v>
      </c>
      <c r="Z649" t="s">
        <v>2015</v>
      </c>
      <c r="AA649" t="s">
        <v>2031</v>
      </c>
      <c r="AB649" t="s">
        <v>13511</v>
      </c>
      <c r="AD649" t="s">
        <v>16035</v>
      </c>
      <c r="AE649">
        <v>12</v>
      </c>
      <c r="AF649" t="s">
        <v>2902</v>
      </c>
      <c r="AG649" t="s">
        <v>1754</v>
      </c>
      <c r="AH649">
        <v>15</v>
      </c>
      <c r="AI649">
        <v>1</v>
      </c>
      <c r="AJ649">
        <v>0</v>
      </c>
      <c r="AK649">
        <v>395.39</v>
      </c>
      <c r="AN649" t="s">
        <v>2926</v>
      </c>
      <c r="AO649">
        <v>48000</v>
      </c>
      <c r="AP649" t="s">
        <v>2963</v>
      </c>
      <c r="AU649">
        <v>0.08</v>
      </c>
      <c r="AV649" t="s">
        <v>367</v>
      </c>
      <c r="AW649" t="s">
        <v>3060</v>
      </c>
    </row>
    <row r="650" spans="1:50">
      <c r="A650" s="1" t="s">
        <v>132</v>
      </c>
      <c r="B650" t="s">
        <v>163</v>
      </c>
      <c r="C650" t="s">
        <v>3860</v>
      </c>
      <c r="D650" t="s">
        <v>343</v>
      </c>
      <c r="F650" t="s">
        <v>687</v>
      </c>
      <c r="G650" t="s">
        <v>8179</v>
      </c>
      <c r="H650" t="s">
        <v>1290</v>
      </c>
      <c r="I650" t="s">
        <v>1508</v>
      </c>
      <c r="J650" t="s">
        <v>1644</v>
      </c>
      <c r="K650">
        <v>11221</v>
      </c>
      <c r="L650" t="s">
        <v>1670</v>
      </c>
      <c r="M650" t="s">
        <v>1670</v>
      </c>
      <c r="O650" t="s">
        <v>1938</v>
      </c>
      <c r="P650" t="s">
        <v>1961</v>
      </c>
      <c r="R650" t="s">
        <v>50</v>
      </c>
      <c r="S650" t="s">
        <v>1670</v>
      </c>
      <c r="U650" t="s">
        <v>1972</v>
      </c>
      <c r="W650" t="s">
        <v>225</v>
      </c>
      <c r="X650">
        <v>780</v>
      </c>
      <c r="Y650" t="s">
        <v>2009</v>
      </c>
      <c r="Z650" t="s">
        <v>2015</v>
      </c>
      <c r="AB650" t="s">
        <v>13511</v>
      </c>
      <c r="AD650" t="s">
        <v>16035</v>
      </c>
      <c r="AE650">
        <v>12</v>
      </c>
      <c r="AF650" t="s">
        <v>2902</v>
      </c>
      <c r="AG650" t="s">
        <v>1754</v>
      </c>
      <c r="AH650">
        <v>15</v>
      </c>
      <c r="AI650">
        <v>1</v>
      </c>
      <c r="AJ650">
        <v>0</v>
      </c>
      <c r="AK650">
        <v>395.39</v>
      </c>
      <c r="AN650" t="s">
        <v>2926</v>
      </c>
      <c r="AO650">
        <v>48000</v>
      </c>
      <c r="AP650" t="s">
        <v>18181</v>
      </c>
      <c r="AU650">
        <v>0.2</v>
      </c>
      <c r="AV650" t="s">
        <v>188</v>
      </c>
      <c r="AW650" t="s">
        <v>3060</v>
      </c>
    </row>
    <row r="651" spans="1:50">
      <c r="A651" s="1" t="s">
        <v>129</v>
      </c>
      <c r="B651" t="s">
        <v>163</v>
      </c>
      <c r="C651" t="s">
        <v>3861</v>
      </c>
      <c r="D651" t="s">
        <v>351</v>
      </c>
      <c r="F651" t="s">
        <v>843</v>
      </c>
      <c r="G651" t="s">
        <v>8169</v>
      </c>
      <c r="H651" t="s">
        <v>9401</v>
      </c>
      <c r="I651">
        <v>28</v>
      </c>
      <c r="J651" t="s">
        <v>1644</v>
      </c>
      <c r="K651">
        <v>11213</v>
      </c>
      <c r="L651" t="s">
        <v>1670</v>
      </c>
      <c r="M651" t="s">
        <v>1670</v>
      </c>
      <c r="N651" t="s">
        <v>1865</v>
      </c>
      <c r="O651" t="s">
        <v>1939</v>
      </c>
      <c r="P651" t="s">
        <v>1960</v>
      </c>
      <c r="R651" t="s">
        <v>50</v>
      </c>
      <c r="S651" t="s">
        <v>1670</v>
      </c>
      <c r="T651" t="s">
        <v>50</v>
      </c>
      <c r="U651" t="s">
        <v>1972</v>
      </c>
      <c r="W651" t="s">
        <v>351</v>
      </c>
      <c r="X651">
        <v>1326</v>
      </c>
      <c r="Y651" t="s">
        <v>2009</v>
      </c>
      <c r="Z651" t="s">
        <v>2015</v>
      </c>
      <c r="AB651" t="s">
        <v>13497</v>
      </c>
      <c r="AC651" t="s">
        <v>15088</v>
      </c>
      <c r="AD651" t="s">
        <v>16022</v>
      </c>
      <c r="AE651">
        <v>34</v>
      </c>
      <c r="AF651" t="s">
        <v>2902</v>
      </c>
      <c r="AG651" t="s">
        <v>1754</v>
      </c>
      <c r="AH651">
        <v>2</v>
      </c>
      <c r="AI651">
        <v>2</v>
      </c>
      <c r="AJ651">
        <v>0</v>
      </c>
      <c r="AK651">
        <v>395.94</v>
      </c>
      <c r="AN651" t="s">
        <v>2926</v>
      </c>
      <c r="AO651">
        <v>65172</v>
      </c>
      <c r="AU651">
        <v>32</v>
      </c>
      <c r="AV651" t="s">
        <v>254</v>
      </c>
      <c r="AW651" t="s">
        <v>129</v>
      </c>
      <c r="AX651" t="s">
        <v>18685</v>
      </c>
    </row>
    <row r="652" spans="1:50">
      <c r="A652" s="1" t="s">
        <v>74</v>
      </c>
      <c r="B652" t="s">
        <v>163</v>
      </c>
      <c r="C652" t="s">
        <v>3862</v>
      </c>
      <c r="D652" t="s">
        <v>281</v>
      </c>
      <c r="F652" t="s">
        <v>714</v>
      </c>
      <c r="G652" t="s">
        <v>931</v>
      </c>
      <c r="H652" t="s">
        <v>1131</v>
      </c>
      <c r="I652" t="s">
        <v>11051</v>
      </c>
      <c r="J652" t="s">
        <v>1641</v>
      </c>
      <c r="K652">
        <v>10460</v>
      </c>
      <c r="L652" t="s">
        <v>1670</v>
      </c>
      <c r="M652" t="s">
        <v>1670</v>
      </c>
      <c r="N652" t="s">
        <v>1692</v>
      </c>
      <c r="O652" t="s">
        <v>1939</v>
      </c>
      <c r="P652" t="s">
        <v>1960</v>
      </c>
      <c r="R652" t="s">
        <v>50</v>
      </c>
      <c r="S652" t="s">
        <v>1670</v>
      </c>
      <c r="U652" t="s">
        <v>1972</v>
      </c>
      <c r="W652" t="s">
        <v>283</v>
      </c>
      <c r="X652">
        <v>378</v>
      </c>
      <c r="Y652" t="s">
        <v>2006</v>
      </c>
      <c r="Z652" t="s">
        <v>2015</v>
      </c>
      <c r="AB652" t="s">
        <v>13399</v>
      </c>
      <c r="AE652">
        <v>168</v>
      </c>
      <c r="AF652" t="s">
        <v>2909</v>
      </c>
      <c r="AG652" t="s">
        <v>2915</v>
      </c>
      <c r="AH652">
        <v>14</v>
      </c>
      <c r="AI652">
        <v>2</v>
      </c>
      <c r="AJ652">
        <v>0</v>
      </c>
      <c r="AK652">
        <v>396.72</v>
      </c>
      <c r="AN652" t="s">
        <v>2926</v>
      </c>
      <c r="AO652">
        <v>65300</v>
      </c>
      <c r="AU652" t="s">
        <v>13051</v>
      </c>
      <c r="AW652" t="s">
        <v>76</v>
      </c>
      <c r="AX652" t="s">
        <v>18685</v>
      </c>
    </row>
    <row r="653" spans="1:50">
      <c r="A653" s="1" t="s">
        <v>3162</v>
      </c>
      <c r="B653" t="s">
        <v>164</v>
      </c>
      <c r="C653" t="s">
        <v>3863</v>
      </c>
      <c r="D653" t="s">
        <v>6157</v>
      </c>
      <c r="E653" t="s">
        <v>6138</v>
      </c>
      <c r="F653" t="s">
        <v>568</v>
      </c>
      <c r="G653" t="s">
        <v>8192</v>
      </c>
      <c r="H653" t="s">
        <v>9657</v>
      </c>
      <c r="I653" t="s">
        <v>1528</v>
      </c>
      <c r="J653" t="s">
        <v>1644</v>
      </c>
      <c r="K653">
        <v>11208</v>
      </c>
      <c r="L653" t="s">
        <v>1670</v>
      </c>
      <c r="M653" t="s">
        <v>1670</v>
      </c>
      <c r="N653" t="s">
        <v>12002</v>
      </c>
      <c r="O653" t="s">
        <v>1936</v>
      </c>
      <c r="P653" t="s">
        <v>1958</v>
      </c>
      <c r="Q653" t="s">
        <v>1965</v>
      </c>
      <c r="R653" t="s">
        <v>50</v>
      </c>
      <c r="U653" t="s">
        <v>1972</v>
      </c>
      <c r="W653" t="s">
        <v>378</v>
      </c>
      <c r="X653">
        <v>1440</v>
      </c>
      <c r="Y653" t="s">
        <v>2009</v>
      </c>
      <c r="Z653" t="s">
        <v>2020</v>
      </c>
      <c r="AA653" t="s">
        <v>2029</v>
      </c>
      <c r="AB653" t="s">
        <v>13522</v>
      </c>
      <c r="AD653" t="s">
        <v>16041</v>
      </c>
      <c r="AE653" t="s">
        <v>13051</v>
      </c>
      <c r="AF653" t="s">
        <v>2906</v>
      </c>
      <c r="AG653" t="s">
        <v>1754</v>
      </c>
      <c r="AH653">
        <v>6</v>
      </c>
      <c r="AI653">
        <v>2</v>
      </c>
      <c r="AJ653">
        <v>0</v>
      </c>
      <c r="AK653">
        <v>397.31</v>
      </c>
      <c r="AL653" t="s">
        <v>172</v>
      </c>
      <c r="AM653" t="s">
        <v>18031</v>
      </c>
      <c r="AN653" t="s">
        <v>2926</v>
      </c>
      <c r="AO653">
        <v>65397.84</v>
      </c>
      <c r="AU653">
        <v>2.4</v>
      </c>
      <c r="AV653" t="s">
        <v>6138</v>
      </c>
      <c r="AW653" t="s">
        <v>3084</v>
      </c>
    </row>
    <row r="654" spans="1:50">
      <c r="A654" s="1" t="s">
        <v>64</v>
      </c>
      <c r="B654" t="s">
        <v>163</v>
      </c>
      <c r="C654" t="s">
        <v>3864</v>
      </c>
      <c r="D654" t="s">
        <v>232</v>
      </c>
      <c r="F654" t="s">
        <v>7104</v>
      </c>
      <c r="G654" t="s">
        <v>1083</v>
      </c>
      <c r="H654" t="s">
        <v>1243</v>
      </c>
      <c r="I654" t="s">
        <v>11094</v>
      </c>
      <c r="J654" t="s">
        <v>1643</v>
      </c>
      <c r="K654">
        <v>10033</v>
      </c>
      <c r="L654" t="s">
        <v>1670</v>
      </c>
      <c r="M654" t="s">
        <v>1670</v>
      </c>
      <c r="O654" t="s">
        <v>1939</v>
      </c>
      <c r="P654" t="s">
        <v>1962</v>
      </c>
      <c r="R654" t="s">
        <v>50</v>
      </c>
      <c r="S654" t="s">
        <v>1670</v>
      </c>
      <c r="U654" t="s">
        <v>1972</v>
      </c>
      <c r="W654" t="s">
        <v>232</v>
      </c>
      <c r="X654">
        <v>1546.93</v>
      </c>
      <c r="Y654" t="s">
        <v>2008</v>
      </c>
      <c r="Z654" t="s">
        <v>2013</v>
      </c>
      <c r="AB654" t="s">
        <v>13523</v>
      </c>
      <c r="AD654" t="s">
        <v>16042</v>
      </c>
      <c r="AE654">
        <v>232</v>
      </c>
      <c r="AF654" t="s">
        <v>2902</v>
      </c>
      <c r="AG654" t="s">
        <v>1754</v>
      </c>
      <c r="AH654">
        <v>14</v>
      </c>
      <c r="AI654">
        <v>1</v>
      </c>
      <c r="AJ654">
        <v>0</v>
      </c>
      <c r="AK654">
        <v>397.5</v>
      </c>
      <c r="AN654" t="s">
        <v>2926</v>
      </c>
      <c r="AO654">
        <v>48257</v>
      </c>
      <c r="AU654">
        <v>10</v>
      </c>
      <c r="AV654" t="s">
        <v>268</v>
      </c>
      <c r="AW654" t="s">
        <v>3042</v>
      </c>
    </row>
    <row r="655" spans="1:50">
      <c r="A655" s="1" t="s">
        <v>100</v>
      </c>
      <c r="B655" t="s">
        <v>163</v>
      </c>
      <c r="C655" t="s">
        <v>3865</v>
      </c>
      <c r="D655" t="s">
        <v>249</v>
      </c>
      <c r="F655" t="s">
        <v>7105</v>
      </c>
      <c r="G655" t="s">
        <v>918</v>
      </c>
      <c r="H655" t="s">
        <v>9658</v>
      </c>
      <c r="I655">
        <v>68</v>
      </c>
      <c r="J655" t="s">
        <v>1643</v>
      </c>
      <c r="K655">
        <v>10033</v>
      </c>
      <c r="L655" t="s">
        <v>1670</v>
      </c>
      <c r="M655" t="s">
        <v>1672</v>
      </c>
      <c r="O655" t="s">
        <v>1941</v>
      </c>
      <c r="P655" t="s">
        <v>1963</v>
      </c>
      <c r="R655" t="s">
        <v>50</v>
      </c>
      <c r="S655" t="s">
        <v>1671</v>
      </c>
      <c r="U655" t="s">
        <v>1972</v>
      </c>
      <c r="W655" t="s">
        <v>249</v>
      </c>
      <c r="X655">
        <v>3400</v>
      </c>
      <c r="Y655" t="s">
        <v>2008</v>
      </c>
      <c r="Z655" t="s">
        <v>2013</v>
      </c>
      <c r="AB655" t="s">
        <v>13524</v>
      </c>
      <c r="AE655">
        <v>67</v>
      </c>
      <c r="AF655" t="s">
        <v>2902</v>
      </c>
      <c r="AG655" t="s">
        <v>1754</v>
      </c>
      <c r="AH655">
        <v>4</v>
      </c>
      <c r="AI655">
        <v>2</v>
      </c>
      <c r="AJ655">
        <v>3</v>
      </c>
      <c r="AK655">
        <v>397.75</v>
      </c>
      <c r="AN655" t="s">
        <v>2926</v>
      </c>
      <c r="AO655">
        <v>120000</v>
      </c>
      <c r="AU655" t="s">
        <v>13051</v>
      </c>
      <c r="AW655" t="s">
        <v>3042</v>
      </c>
      <c r="AX655" t="s">
        <v>18685</v>
      </c>
    </row>
    <row r="656" spans="1:50">
      <c r="A656" s="1" t="s">
        <v>132</v>
      </c>
      <c r="B656" t="s">
        <v>163</v>
      </c>
      <c r="C656" t="s">
        <v>3866</v>
      </c>
      <c r="D656" t="s">
        <v>399</v>
      </c>
      <c r="F656" t="s">
        <v>7106</v>
      </c>
      <c r="G656" t="s">
        <v>8193</v>
      </c>
      <c r="H656" t="s">
        <v>1290</v>
      </c>
      <c r="I656" t="s">
        <v>1477</v>
      </c>
      <c r="J656" t="s">
        <v>1644</v>
      </c>
      <c r="K656">
        <v>11221</v>
      </c>
      <c r="L656" t="s">
        <v>1671</v>
      </c>
      <c r="M656" t="s">
        <v>1672</v>
      </c>
      <c r="N656" t="s">
        <v>1687</v>
      </c>
      <c r="O656" t="s">
        <v>1937</v>
      </c>
      <c r="P656" t="s">
        <v>1962</v>
      </c>
      <c r="R656" t="s">
        <v>50</v>
      </c>
      <c r="S656" t="s">
        <v>1670</v>
      </c>
      <c r="U656" t="s">
        <v>1977</v>
      </c>
      <c r="V656" t="s">
        <v>1984</v>
      </c>
      <c r="W656" t="s">
        <v>266</v>
      </c>
      <c r="X656">
        <v>632.48</v>
      </c>
      <c r="Y656" t="s">
        <v>2009</v>
      </c>
      <c r="Z656" t="s">
        <v>2015</v>
      </c>
      <c r="AB656" t="s">
        <v>13525</v>
      </c>
      <c r="AC656" t="s">
        <v>1754</v>
      </c>
      <c r="AD656" t="s">
        <v>16043</v>
      </c>
      <c r="AE656">
        <v>12</v>
      </c>
      <c r="AF656" t="s">
        <v>2902</v>
      </c>
      <c r="AG656" t="s">
        <v>1754</v>
      </c>
      <c r="AH656">
        <v>18</v>
      </c>
      <c r="AI656">
        <v>3</v>
      </c>
      <c r="AJ656">
        <v>0</v>
      </c>
      <c r="AK656">
        <v>398.5</v>
      </c>
      <c r="AN656" t="s">
        <v>2926</v>
      </c>
      <c r="AO656">
        <v>85000</v>
      </c>
      <c r="AU656" t="s">
        <v>13051</v>
      </c>
      <c r="AW656" t="s">
        <v>3060</v>
      </c>
      <c r="AX656" t="s">
        <v>1754</v>
      </c>
    </row>
    <row r="657" spans="1:50">
      <c r="A657" s="1" t="s">
        <v>82</v>
      </c>
      <c r="B657" t="s">
        <v>163</v>
      </c>
      <c r="C657" t="s">
        <v>3867</v>
      </c>
      <c r="D657" t="s">
        <v>326</v>
      </c>
      <c r="F657" t="s">
        <v>7106</v>
      </c>
      <c r="G657" t="s">
        <v>8193</v>
      </c>
      <c r="H657" t="s">
        <v>1290</v>
      </c>
      <c r="I657" t="s">
        <v>1477</v>
      </c>
      <c r="J657" t="s">
        <v>1644</v>
      </c>
      <c r="K657">
        <v>11221</v>
      </c>
      <c r="L657" t="s">
        <v>1671</v>
      </c>
      <c r="M657" t="s">
        <v>1671</v>
      </c>
      <c r="O657" t="s">
        <v>1946</v>
      </c>
      <c r="P657" t="s">
        <v>1964</v>
      </c>
      <c r="R657" t="s">
        <v>50</v>
      </c>
      <c r="S657" t="s">
        <v>1670</v>
      </c>
      <c r="U657" t="s">
        <v>1978</v>
      </c>
      <c r="W657" t="s">
        <v>326</v>
      </c>
      <c r="X657">
        <v>632.48</v>
      </c>
      <c r="Y657" t="s">
        <v>2009</v>
      </c>
      <c r="Z657" t="s">
        <v>2015</v>
      </c>
      <c r="AB657" t="s">
        <v>13525</v>
      </c>
      <c r="AC657" t="s">
        <v>1754</v>
      </c>
      <c r="AD657" t="s">
        <v>16043</v>
      </c>
      <c r="AE657">
        <v>12</v>
      </c>
      <c r="AF657" t="s">
        <v>2902</v>
      </c>
      <c r="AG657" t="s">
        <v>1754</v>
      </c>
      <c r="AH657">
        <v>18</v>
      </c>
      <c r="AI657">
        <v>3</v>
      </c>
      <c r="AJ657">
        <v>0</v>
      </c>
      <c r="AK657">
        <v>398.5</v>
      </c>
      <c r="AN657" t="s">
        <v>2926</v>
      </c>
      <c r="AO657">
        <v>85000</v>
      </c>
      <c r="AU657" t="s">
        <v>13051</v>
      </c>
      <c r="AW657" t="s">
        <v>3060</v>
      </c>
      <c r="AX657" t="s">
        <v>1754</v>
      </c>
    </row>
    <row r="658" spans="1:50">
      <c r="A658" s="1" t="s">
        <v>82</v>
      </c>
      <c r="B658" t="s">
        <v>163</v>
      </c>
      <c r="C658" t="s">
        <v>3868</v>
      </c>
      <c r="D658" t="s">
        <v>219</v>
      </c>
      <c r="F658" t="s">
        <v>7107</v>
      </c>
      <c r="G658" t="s">
        <v>8194</v>
      </c>
      <c r="H658" t="s">
        <v>1144</v>
      </c>
      <c r="I658" t="s">
        <v>11095</v>
      </c>
      <c r="J658" t="s">
        <v>1644</v>
      </c>
      <c r="K658">
        <v>11233</v>
      </c>
      <c r="L658" t="s">
        <v>1670</v>
      </c>
      <c r="M658" t="s">
        <v>1671</v>
      </c>
      <c r="O658" t="s">
        <v>1937</v>
      </c>
      <c r="P658" t="s">
        <v>1962</v>
      </c>
      <c r="R658" t="s">
        <v>50</v>
      </c>
      <c r="S658" t="s">
        <v>1670</v>
      </c>
      <c r="U658" t="s">
        <v>1972</v>
      </c>
      <c r="V658" t="s">
        <v>1984</v>
      </c>
      <c r="W658" t="s">
        <v>221</v>
      </c>
      <c r="X658">
        <v>829.45</v>
      </c>
      <c r="Y658" t="s">
        <v>2009</v>
      </c>
      <c r="Z658" t="s">
        <v>2025</v>
      </c>
      <c r="AB658" t="s">
        <v>13526</v>
      </c>
      <c r="AE658">
        <v>359</v>
      </c>
      <c r="AF658" t="s">
        <v>2902</v>
      </c>
      <c r="AH658">
        <v>8</v>
      </c>
      <c r="AI658">
        <v>1</v>
      </c>
      <c r="AJ658">
        <v>0</v>
      </c>
      <c r="AK658">
        <v>398.72</v>
      </c>
      <c r="AN658" t="s">
        <v>2926</v>
      </c>
      <c r="AO658">
        <v>49800</v>
      </c>
      <c r="AP658" t="s">
        <v>18182</v>
      </c>
      <c r="AU658" t="s">
        <v>13051</v>
      </c>
      <c r="AW658" t="s">
        <v>3060</v>
      </c>
    </row>
    <row r="659" spans="1:50">
      <c r="A659" s="1" t="s">
        <v>82</v>
      </c>
      <c r="B659" t="s">
        <v>163</v>
      </c>
      <c r="C659" t="s">
        <v>3869</v>
      </c>
      <c r="D659" t="s">
        <v>219</v>
      </c>
      <c r="F659" t="s">
        <v>7107</v>
      </c>
      <c r="G659" t="s">
        <v>8194</v>
      </c>
      <c r="H659" t="s">
        <v>1144</v>
      </c>
      <c r="I659" t="s">
        <v>11095</v>
      </c>
      <c r="J659" t="s">
        <v>1644</v>
      </c>
      <c r="K659">
        <v>11233</v>
      </c>
      <c r="L659" t="s">
        <v>1670</v>
      </c>
      <c r="M659" t="s">
        <v>1671</v>
      </c>
      <c r="O659" t="s">
        <v>1938</v>
      </c>
      <c r="P659" t="s">
        <v>1961</v>
      </c>
      <c r="R659" t="s">
        <v>50</v>
      </c>
      <c r="S659" t="s">
        <v>1670</v>
      </c>
      <c r="U659" t="s">
        <v>1972</v>
      </c>
      <c r="V659" t="s">
        <v>1984</v>
      </c>
      <c r="W659" t="s">
        <v>248</v>
      </c>
      <c r="X659">
        <v>824.45</v>
      </c>
      <c r="Y659" t="s">
        <v>2009</v>
      </c>
      <c r="Z659" t="s">
        <v>2025</v>
      </c>
      <c r="AB659" t="s">
        <v>13526</v>
      </c>
      <c r="AE659">
        <v>359</v>
      </c>
      <c r="AF659" t="s">
        <v>2902</v>
      </c>
      <c r="AH659">
        <v>8</v>
      </c>
      <c r="AI659">
        <v>1</v>
      </c>
      <c r="AJ659">
        <v>0</v>
      </c>
      <c r="AK659">
        <v>398.72</v>
      </c>
      <c r="AN659" t="s">
        <v>2926</v>
      </c>
      <c r="AO659">
        <v>49800</v>
      </c>
      <c r="AP659" t="s">
        <v>18094</v>
      </c>
      <c r="AU659" t="s">
        <v>13051</v>
      </c>
      <c r="AW659" t="s">
        <v>3060</v>
      </c>
    </row>
    <row r="660" spans="1:50">
      <c r="A660" s="1" t="s">
        <v>57</v>
      </c>
      <c r="B660" t="s">
        <v>163</v>
      </c>
      <c r="C660" t="s">
        <v>3870</v>
      </c>
      <c r="D660" t="s">
        <v>253</v>
      </c>
      <c r="F660" t="s">
        <v>7108</v>
      </c>
      <c r="G660" t="s">
        <v>8195</v>
      </c>
      <c r="H660" t="s">
        <v>1112</v>
      </c>
      <c r="I660" t="s">
        <v>11002</v>
      </c>
      <c r="J660" t="s">
        <v>1641</v>
      </c>
      <c r="K660">
        <v>10453</v>
      </c>
      <c r="L660" t="s">
        <v>1670</v>
      </c>
      <c r="M660" t="s">
        <v>1670</v>
      </c>
      <c r="N660" t="s">
        <v>1677</v>
      </c>
      <c r="O660" t="s">
        <v>1939</v>
      </c>
      <c r="P660" t="s">
        <v>1960</v>
      </c>
      <c r="R660" t="s">
        <v>50</v>
      </c>
      <c r="S660" t="s">
        <v>1670</v>
      </c>
      <c r="U660" t="s">
        <v>1972</v>
      </c>
      <c r="W660" t="s">
        <v>283</v>
      </c>
      <c r="X660">
        <v>1044</v>
      </c>
      <c r="Y660" t="s">
        <v>2006</v>
      </c>
      <c r="Z660" t="s">
        <v>2016</v>
      </c>
      <c r="AB660" t="s">
        <v>13527</v>
      </c>
      <c r="AD660" t="s">
        <v>16044</v>
      </c>
      <c r="AE660">
        <v>170</v>
      </c>
      <c r="AF660" t="s">
        <v>2902</v>
      </c>
      <c r="AG660" t="s">
        <v>1754</v>
      </c>
      <c r="AH660">
        <v>25</v>
      </c>
      <c r="AI660">
        <v>2</v>
      </c>
      <c r="AJ660">
        <v>0</v>
      </c>
      <c r="AK660">
        <v>399.76</v>
      </c>
      <c r="AN660" t="s">
        <v>2926</v>
      </c>
      <c r="AO660">
        <v>67600</v>
      </c>
      <c r="AU660" t="s">
        <v>13051</v>
      </c>
      <c r="AW660" t="s">
        <v>3054</v>
      </c>
    </row>
    <row r="661" spans="1:50">
      <c r="A661" s="1" t="s">
        <v>123</v>
      </c>
      <c r="B661" t="s">
        <v>163</v>
      </c>
      <c r="C661" t="s">
        <v>3871</v>
      </c>
      <c r="D661" t="s">
        <v>203</v>
      </c>
      <c r="F661" t="s">
        <v>7109</v>
      </c>
      <c r="G661" t="s">
        <v>8196</v>
      </c>
      <c r="H661" t="s">
        <v>9659</v>
      </c>
      <c r="I661">
        <v>25</v>
      </c>
      <c r="J661" t="s">
        <v>1641</v>
      </c>
      <c r="K661">
        <v>10452</v>
      </c>
      <c r="L661" t="s">
        <v>1670</v>
      </c>
      <c r="M661" t="s">
        <v>1672</v>
      </c>
      <c r="P661" t="s">
        <v>1962</v>
      </c>
      <c r="R661" t="s">
        <v>50</v>
      </c>
      <c r="U661" t="s">
        <v>13033</v>
      </c>
      <c r="W661" t="s">
        <v>379</v>
      </c>
      <c r="X661" t="s">
        <v>13051</v>
      </c>
      <c r="Y661" t="s">
        <v>2006</v>
      </c>
      <c r="AB661" t="s">
        <v>13528</v>
      </c>
      <c r="AD661" t="s">
        <v>16045</v>
      </c>
      <c r="AE661" t="s">
        <v>13051</v>
      </c>
      <c r="AH661" t="s">
        <v>13051</v>
      </c>
      <c r="AI661">
        <v>3</v>
      </c>
      <c r="AJ661">
        <v>0</v>
      </c>
      <c r="AK661">
        <v>400.09</v>
      </c>
      <c r="AN661" t="s">
        <v>2926</v>
      </c>
      <c r="AO661">
        <v>85340</v>
      </c>
      <c r="AU661">
        <v>1.2</v>
      </c>
      <c r="AV661" t="s">
        <v>219</v>
      </c>
      <c r="AW661" t="s">
        <v>123</v>
      </c>
      <c r="AX661" t="s">
        <v>18685</v>
      </c>
    </row>
    <row r="662" spans="1:50">
      <c r="A662" s="1" t="s">
        <v>89</v>
      </c>
      <c r="B662" t="s">
        <v>164</v>
      </c>
      <c r="C662" t="s">
        <v>3872</v>
      </c>
      <c r="D662" t="s">
        <v>171</v>
      </c>
      <c r="E662" t="s">
        <v>3031</v>
      </c>
      <c r="F662" t="s">
        <v>7110</v>
      </c>
      <c r="G662" t="s">
        <v>8197</v>
      </c>
      <c r="H662" t="s">
        <v>9660</v>
      </c>
      <c r="I662" t="s">
        <v>11096</v>
      </c>
      <c r="J662" t="s">
        <v>1660</v>
      </c>
      <c r="K662">
        <v>11377</v>
      </c>
      <c r="L662" t="s">
        <v>1670</v>
      </c>
      <c r="M662" t="s">
        <v>1672</v>
      </c>
      <c r="N662" t="s">
        <v>12003</v>
      </c>
      <c r="O662" t="s">
        <v>1940</v>
      </c>
      <c r="P662" t="s">
        <v>1962</v>
      </c>
      <c r="Q662" t="s">
        <v>1968</v>
      </c>
      <c r="R662" t="s">
        <v>51</v>
      </c>
      <c r="S662" t="s">
        <v>1671</v>
      </c>
      <c r="U662" t="s">
        <v>1972</v>
      </c>
      <c r="W662" t="s">
        <v>171</v>
      </c>
      <c r="X662">
        <v>300</v>
      </c>
      <c r="Y662" t="s">
        <v>2007</v>
      </c>
      <c r="Z662" t="s">
        <v>2012</v>
      </c>
      <c r="AA662" t="s">
        <v>2029</v>
      </c>
      <c r="AB662" t="s">
        <v>13529</v>
      </c>
      <c r="AD662" t="s">
        <v>16046</v>
      </c>
      <c r="AE662">
        <v>4</v>
      </c>
      <c r="AG662" t="s">
        <v>1754</v>
      </c>
      <c r="AH662">
        <v>1</v>
      </c>
      <c r="AI662">
        <v>1</v>
      </c>
      <c r="AJ662">
        <v>0</v>
      </c>
      <c r="AK662">
        <v>400.32</v>
      </c>
      <c r="AL662" t="s">
        <v>2923</v>
      </c>
      <c r="AM662" t="s">
        <v>2924</v>
      </c>
      <c r="AO662">
        <v>50000</v>
      </c>
      <c r="AU662">
        <v>2.5</v>
      </c>
      <c r="AV662" t="s">
        <v>409</v>
      </c>
      <c r="AW662" t="s">
        <v>89</v>
      </c>
      <c r="AX662" t="s">
        <v>18685</v>
      </c>
    </row>
    <row r="663" spans="1:50">
      <c r="A663" s="1" t="s">
        <v>65</v>
      </c>
      <c r="B663" t="s">
        <v>164</v>
      </c>
      <c r="C663" t="s">
        <v>3873</v>
      </c>
      <c r="D663" t="s">
        <v>354</v>
      </c>
      <c r="E663" t="s">
        <v>325</v>
      </c>
      <c r="F663" t="s">
        <v>7111</v>
      </c>
      <c r="G663" t="s">
        <v>8198</v>
      </c>
      <c r="H663" t="s">
        <v>9661</v>
      </c>
      <c r="I663">
        <v>2</v>
      </c>
      <c r="J663" t="s">
        <v>1644</v>
      </c>
      <c r="K663">
        <v>11215</v>
      </c>
      <c r="L663" t="s">
        <v>1670</v>
      </c>
      <c r="M663" t="s">
        <v>1672</v>
      </c>
      <c r="P663" t="s">
        <v>1962</v>
      </c>
      <c r="Q663" t="s">
        <v>1965</v>
      </c>
      <c r="R663" t="s">
        <v>50</v>
      </c>
      <c r="S663" t="s">
        <v>1671</v>
      </c>
      <c r="U663" t="s">
        <v>1972</v>
      </c>
      <c r="W663" t="s">
        <v>354</v>
      </c>
      <c r="X663" t="s">
        <v>13051</v>
      </c>
      <c r="Y663" t="s">
        <v>2009</v>
      </c>
      <c r="AA663" t="s">
        <v>2029</v>
      </c>
      <c r="AB663" t="s">
        <v>13530</v>
      </c>
      <c r="AE663" t="s">
        <v>13051</v>
      </c>
      <c r="AH663" t="s">
        <v>13051</v>
      </c>
      <c r="AI663">
        <v>1</v>
      </c>
      <c r="AJ663">
        <v>0</v>
      </c>
      <c r="AK663">
        <v>400.32</v>
      </c>
      <c r="AN663" t="s">
        <v>2926</v>
      </c>
      <c r="AO663">
        <v>50000</v>
      </c>
      <c r="AS663" t="s">
        <v>2992</v>
      </c>
      <c r="AT663" t="s">
        <v>18516</v>
      </c>
      <c r="AU663">
        <v>0.2</v>
      </c>
      <c r="AV663" t="s">
        <v>325</v>
      </c>
      <c r="AW663" t="s">
        <v>158</v>
      </c>
      <c r="AX663" t="s">
        <v>18685</v>
      </c>
    </row>
    <row r="664" spans="1:50">
      <c r="A664" s="1" t="s">
        <v>58</v>
      </c>
      <c r="B664" t="s">
        <v>163</v>
      </c>
      <c r="C664" t="s">
        <v>3874</v>
      </c>
      <c r="D664" t="s">
        <v>263</v>
      </c>
      <c r="F664" t="s">
        <v>7112</v>
      </c>
      <c r="G664" t="s">
        <v>7951</v>
      </c>
      <c r="H664" t="s">
        <v>9604</v>
      </c>
      <c r="I664" t="s">
        <v>1498</v>
      </c>
      <c r="J664" t="s">
        <v>1641</v>
      </c>
      <c r="K664">
        <v>10461</v>
      </c>
      <c r="L664" t="s">
        <v>1670</v>
      </c>
      <c r="M664" t="s">
        <v>1670</v>
      </c>
      <c r="O664" t="s">
        <v>1938</v>
      </c>
      <c r="P664" t="s">
        <v>1962</v>
      </c>
      <c r="R664" t="s">
        <v>50</v>
      </c>
      <c r="S664" t="s">
        <v>1670</v>
      </c>
      <c r="U664" t="s">
        <v>1972</v>
      </c>
      <c r="W664" t="s">
        <v>220</v>
      </c>
      <c r="X664">
        <v>1503</v>
      </c>
      <c r="Y664" t="s">
        <v>2006</v>
      </c>
      <c r="Z664" t="s">
        <v>2015</v>
      </c>
      <c r="AB664" t="s">
        <v>13531</v>
      </c>
      <c r="AD664" t="s">
        <v>16047</v>
      </c>
      <c r="AE664">
        <v>125</v>
      </c>
      <c r="AF664" t="s">
        <v>2902</v>
      </c>
      <c r="AG664" t="s">
        <v>1754</v>
      </c>
      <c r="AH664">
        <v>1</v>
      </c>
      <c r="AI664">
        <v>1</v>
      </c>
      <c r="AJ664">
        <v>0</v>
      </c>
      <c r="AK664">
        <v>400.32</v>
      </c>
      <c r="AN664" t="s">
        <v>2926</v>
      </c>
      <c r="AO664">
        <v>50000</v>
      </c>
      <c r="AU664" t="s">
        <v>13051</v>
      </c>
      <c r="AW664" t="s">
        <v>3046</v>
      </c>
    </row>
    <row r="665" spans="1:50">
      <c r="A665" s="1" t="s">
        <v>58</v>
      </c>
      <c r="B665" t="s">
        <v>163</v>
      </c>
      <c r="C665" t="s">
        <v>3875</v>
      </c>
      <c r="D665" t="s">
        <v>171</v>
      </c>
      <c r="F665" t="s">
        <v>6954</v>
      </c>
      <c r="G665" t="s">
        <v>946</v>
      </c>
      <c r="H665" t="s">
        <v>9662</v>
      </c>
      <c r="I665" t="s">
        <v>1569</v>
      </c>
      <c r="J665" t="s">
        <v>1641</v>
      </c>
      <c r="K665">
        <v>10452</v>
      </c>
      <c r="L665" t="s">
        <v>1670</v>
      </c>
      <c r="M665" t="s">
        <v>1672</v>
      </c>
      <c r="O665" t="s">
        <v>1938</v>
      </c>
      <c r="P665" t="s">
        <v>1962</v>
      </c>
      <c r="R665" t="s">
        <v>50</v>
      </c>
      <c r="S665" t="s">
        <v>1671</v>
      </c>
      <c r="U665" t="s">
        <v>1972</v>
      </c>
      <c r="W665" t="s">
        <v>293</v>
      </c>
      <c r="X665">
        <v>1164.24</v>
      </c>
      <c r="Y665" t="s">
        <v>2006</v>
      </c>
      <c r="Z665" t="s">
        <v>2015</v>
      </c>
      <c r="AB665" t="s">
        <v>13532</v>
      </c>
      <c r="AD665" t="s">
        <v>16048</v>
      </c>
      <c r="AE665">
        <v>41</v>
      </c>
      <c r="AF665" t="s">
        <v>18014</v>
      </c>
      <c r="AG665" t="s">
        <v>1754</v>
      </c>
      <c r="AH665">
        <v>6</v>
      </c>
      <c r="AI665">
        <v>1</v>
      </c>
      <c r="AJ665">
        <v>0</v>
      </c>
      <c r="AK665">
        <v>400.32</v>
      </c>
      <c r="AN665" t="s">
        <v>2926</v>
      </c>
      <c r="AO665">
        <v>50000</v>
      </c>
      <c r="AU665" t="s">
        <v>13051</v>
      </c>
      <c r="AW665" t="s">
        <v>3046</v>
      </c>
      <c r="AX665" t="s">
        <v>18685</v>
      </c>
    </row>
    <row r="666" spans="1:50">
      <c r="A666" s="1" t="s">
        <v>74</v>
      </c>
      <c r="B666" t="s">
        <v>163</v>
      </c>
      <c r="C666" t="s">
        <v>3876</v>
      </c>
      <c r="D666" t="s">
        <v>328</v>
      </c>
      <c r="F666" t="s">
        <v>7113</v>
      </c>
      <c r="G666" t="s">
        <v>6804</v>
      </c>
      <c r="H666" t="s">
        <v>1131</v>
      </c>
      <c r="I666" t="s">
        <v>1550</v>
      </c>
      <c r="J666" t="s">
        <v>1641</v>
      </c>
      <c r="K666">
        <v>10460</v>
      </c>
      <c r="L666" t="s">
        <v>1670</v>
      </c>
      <c r="M666" t="s">
        <v>1672</v>
      </c>
      <c r="O666" t="s">
        <v>1675</v>
      </c>
      <c r="P666" t="s">
        <v>1959</v>
      </c>
      <c r="R666" t="s">
        <v>50</v>
      </c>
      <c r="S666" t="s">
        <v>1670</v>
      </c>
      <c r="U666" t="s">
        <v>1972</v>
      </c>
      <c r="W666" t="s">
        <v>1991</v>
      </c>
      <c r="X666">
        <v>1169</v>
      </c>
      <c r="Y666" t="s">
        <v>2006</v>
      </c>
      <c r="Z666" t="s">
        <v>2015</v>
      </c>
      <c r="AB666" t="s">
        <v>13533</v>
      </c>
      <c r="AE666">
        <v>168</v>
      </c>
      <c r="AF666" t="s">
        <v>2908</v>
      </c>
      <c r="AG666" t="s">
        <v>2017</v>
      </c>
      <c r="AH666">
        <v>11</v>
      </c>
      <c r="AI666">
        <v>1</v>
      </c>
      <c r="AJ666">
        <v>0</v>
      </c>
      <c r="AK666">
        <v>400.32</v>
      </c>
      <c r="AN666" t="s">
        <v>2926</v>
      </c>
      <c r="AO666">
        <v>50000</v>
      </c>
      <c r="AU666" t="s">
        <v>13051</v>
      </c>
      <c r="AW666" t="s">
        <v>3046</v>
      </c>
      <c r="AX666" t="s">
        <v>18685</v>
      </c>
    </row>
    <row r="667" spans="1:50">
      <c r="A667" s="1" t="s">
        <v>62</v>
      </c>
      <c r="B667" t="s">
        <v>163</v>
      </c>
      <c r="C667" t="s">
        <v>3877</v>
      </c>
      <c r="D667" t="s">
        <v>6158</v>
      </c>
      <c r="F667" t="s">
        <v>7114</v>
      </c>
      <c r="G667" t="s">
        <v>8199</v>
      </c>
      <c r="H667" t="s">
        <v>9576</v>
      </c>
      <c r="I667" t="s">
        <v>11097</v>
      </c>
      <c r="J667" t="s">
        <v>1644</v>
      </c>
      <c r="K667">
        <v>11226</v>
      </c>
      <c r="L667" t="s">
        <v>1670</v>
      </c>
      <c r="M667" t="s">
        <v>1670</v>
      </c>
      <c r="N667" t="s">
        <v>12004</v>
      </c>
      <c r="O667" t="s">
        <v>1936</v>
      </c>
      <c r="P667" t="s">
        <v>1960</v>
      </c>
      <c r="R667" t="s">
        <v>50</v>
      </c>
      <c r="S667" t="s">
        <v>1670</v>
      </c>
      <c r="T667" t="s">
        <v>13026</v>
      </c>
      <c r="U667" t="s">
        <v>1972</v>
      </c>
      <c r="W667" t="s">
        <v>238</v>
      </c>
      <c r="X667">
        <v>1119.66</v>
      </c>
      <c r="Y667" t="s">
        <v>2009</v>
      </c>
      <c r="Z667" t="s">
        <v>2025</v>
      </c>
      <c r="AB667" t="s">
        <v>13534</v>
      </c>
      <c r="AE667">
        <v>6</v>
      </c>
      <c r="AF667" t="s">
        <v>2902</v>
      </c>
      <c r="AG667" t="s">
        <v>1754</v>
      </c>
      <c r="AH667">
        <v>8</v>
      </c>
      <c r="AI667">
        <v>1</v>
      </c>
      <c r="AJ667">
        <v>0</v>
      </c>
      <c r="AK667">
        <v>403.62</v>
      </c>
      <c r="AN667" t="s">
        <v>2926</v>
      </c>
      <c r="AO667">
        <v>49000</v>
      </c>
      <c r="AU667">
        <v>4</v>
      </c>
      <c r="AV667" t="s">
        <v>272</v>
      </c>
      <c r="AW667" t="s">
        <v>3079</v>
      </c>
    </row>
    <row r="668" spans="1:50">
      <c r="A668" s="1" t="s">
        <v>124</v>
      </c>
      <c r="B668" t="s">
        <v>163</v>
      </c>
      <c r="C668" t="s">
        <v>3878</v>
      </c>
      <c r="D668" t="s">
        <v>239</v>
      </c>
      <c r="F668" t="s">
        <v>7062</v>
      </c>
      <c r="G668" t="s">
        <v>8008</v>
      </c>
      <c r="H668" t="s">
        <v>1230</v>
      </c>
      <c r="J668" t="s">
        <v>1644</v>
      </c>
      <c r="K668">
        <v>11226</v>
      </c>
      <c r="L668" t="s">
        <v>1670</v>
      </c>
      <c r="M668" t="s">
        <v>1670</v>
      </c>
      <c r="O668" t="s">
        <v>1939</v>
      </c>
      <c r="P668" t="s">
        <v>1960</v>
      </c>
      <c r="R668" t="s">
        <v>50</v>
      </c>
      <c r="S668" t="s">
        <v>1670</v>
      </c>
      <c r="U668" t="s">
        <v>1972</v>
      </c>
      <c r="W668" t="s">
        <v>203</v>
      </c>
      <c r="X668">
        <v>1230</v>
      </c>
      <c r="Y668" t="s">
        <v>2009</v>
      </c>
      <c r="AB668" t="s">
        <v>13535</v>
      </c>
      <c r="AE668" t="s">
        <v>13051</v>
      </c>
      <c r="AH668">
        <v>7</v>
      </c>
      <c r="AI668">
        <v>2</v>
      </c>
      <c r="AJ668">
        <v>0</v>
      </c>
      <c r="AK668">
        <v>407.45</v>
      </c>
      <c r="AN668" t="s">
        <v>2926</v>
      </c>
      <c r="AO668">
        <v>68900</v>
      </c>
      <c r="AU668">
        <v>2.5</v>
      </c>
      <c r="AV668" t="s">
        <v>268</v>
      </c>
      <c r="AW668" t="s">
        <v>158</v>
      </c>
    </row>
    <row r="669" spans="1:50">
      <c r="A669" s="1" t="s">
        <v>124</v>
      </c>
      <c r="B669" t="s">
        <v>163</v>
      </c>
      <c r="C669" t="s">
        <v>3879</v>
      </c>
      <c r="D669" t="s">
        <v>272</v>
      </c>
      <c r="F669" t="s">
        <v>7062</v>
      </c>
      <c r="G669" t="s">
        <v>8008</v>
      </c>
      <c r="H669" t="s">
        <v>1230</v>
      </c>
      <c r="I669">
        <v>10</v>
      </c>
      <c r="J669" t="s">
        <v>1644</v>
      </c>
      <c r="K669">
        <v>11226</v>
      </c>
      <c r="L669" t="s">
        <v>1670</v>
      </c>
      <c r="M669" t="s">
        <v>1672</v>
      </c>
      <c r="P669" t="s">
        <v>1960</v>
      </c>
      <c r="R669" t="s">
        <v>50</v>
      </c>
      <c r="S669" t="s">
        <v>1670</v>
      </c>
      <c r="U669" t="s">
        <v>1972</v>
      </c>
      <c r="W669" t="s">
        <v>272</v>
      </c>
      <c r="X669">
        <v>1230</v>
      </c>
      <c r="Y669" t="s">
        <v>2009</v>
      </c>
      <c r="AB669" t="s">
        <v>13535</v>
      </c>
      <c r="AE669" t="s">
        <v>13051</v>
      </c>
      <c r="AH669">
        <v>7</v>
      </c>
      <c r="AI669">
        <v>2</v>
      </c>
      <c r="AJ669">
        <v>0</v>
      </c>
      <c r="AK669">
        <v>407.45</v>
      </c>
      <c r="AN669" t="s">
        <v>2926</v>
      </c>
      <c r="AO669">
        <v>68900</v>
      </c>
      <c r="AU669" t="s">
        <v>13051</v>
      </c>
      <c r="AW669" t="s">
        <v>158</v>
      </c>
    </row>
    <row r="670" spans="1:50">
      <c r="A670" s="1" t="s">
        <v>82</v>
      </c>
      <c r="B670" t="s">
        <v>163</v>
      </c>
      <c r="C670" t="s">
        <v>3880</v>
      </c>
      <c r="D670" t="s">
        <v>294</v>
      </c>
      <c r="F670" t="s">
        <v>7115</v>
      </c>
      <c r="G670" t="s">
        <v>8187</v>
      </c>
      <c r="H670" t="s">
        <v>1144</v>
      </c>
      <c r="I670" t="s">
        <v>1584</v>
      </c>
      <c r="J670" t="s">
        <v>1644</v>
      </c>
      <c r="K670">
        <v>11233</v>
      </c>
      <c r="L670" t="s">
        <v>1670</v>
      </c>
      <c r="M670" t="s">
        <v>1671</v>
      </c>
      <c r="O670" t="s">
        <v>1937</v>
      </c>
      <c r="P670" t="s">
        <v>1962</v>
      </c>
      <c r="R670" t="s">
        <v>50</v>
      </c>
      <c r="S670" t="s">
        <v>1670</v>
      </c>
      <c r="U670" t="s">
        <v>1972</v>
      </c>
      <c r="V670" t="s">
        <v>1984</v>
      </c>
      <c r="W670" t="s">
        <v>221</v>
      </c>
      <c r="X670">
        <v>1089.12</v>
      </c>
      <c r="Y670" t="s">
        <v>2009</v>
      </c>
      <c r="AB670" t="s">
        <v>13536</v>
      </c>
      <c r="AE670">
        <v>359</v>
      </c>
      <c r="AF670" t="s">
        <v>2902</v>
      </c>
      <c r="AH670">
        <v>20</v>
      </c>
      <c r="AI670">
        <v>2</v>
      </c>
      <c r="AJ670">
        <v>0</v>
      </c>
      <c r="AK670">
        <v>408.04</v>
      </c>
      <c r="AN670" t="s">
        <v>2926</v>
      </c>
      <c r="AO670">
        <v>69000</v>
      </c>
      <c r="AP670" t="s">
        <v>18183</v>
      </c>
      <c r="AU670" t="s">
        <v>13051</v>
      </c>
      <c r="AW670" t="s">
        <v>3060</v>
      </c>
    </row>
    <row r="671" spans="1:50">
      <c r="A671" s="1" t="s">
        <v>82</v>
      </c>
      <c r="B671" t="s">
        <v>163</v>
      </c>
      <c r="C671" t="s">
        <v>3881</v>
      </c>
      <c r="D671" t="s">
        <v>294</v>
      </c>
      <c r="F671" t="s">
        <v>7115</v>
      </c>
      <c r="G671" t="s">
        <v>8187</v>
      </c>
      <c r="H671" t="s">
        <v>1144</v>
      </c>
      <c r="I671" t="s">
        <v>1584</v>
      </c>
      <c r="J671" t="s">
        <v>1644</v>
      </c>
      <c r="K671">
        <v>11233</v>
      </c>
      <c r="L671" t="s">
        <v>1670</v>
      </c>
      <c r="M671" t="s">
        <v>1671</v>
      </c>
      <c r="N671" t="s">
        <v>1691</v>
      </c>
      <c r="O671" t="s">
        <v>1938</v>
      </c>
      <c r="P671" t="s">
        <v>1961</v>
      </c>
      <c r="R671" t="s">
        <v>50</v>
      </c>
      <c r="S671" t="s">
        <v>1670</v>
      </c>
      <c r="U671" t="s">
        <v>1972</v>
      </c>
      <c r="V671" t="s">
        <v>1984</v>
      </c>
      <c r="W671" t="s">
        <v>248</v>
      </c>
      <c r="X671">
        <v>1089.12</v>
      </c>
      <c r="Y671" t="s">
        <v>2009</v>
      </c>
      <c r="AB671" t="s">
        <v>13536</v>
      </c>
      <c r="AE671">
        <v>359</v>
      </c>
      <c r="AF671" t="s">
        <v>2902</v>
      </c>
      <c r="AH671">
        <v>20</v>
      </c>
      <c r="AI671">
        <v>2</v>
      </c>
      <c r="AJ671">
        <v>0</v>
      </c>
      <c r="AK671">
        <v>408.04</v>
      </c>
      <c r="AN671" t="s">
        <v>2926</v>
      </c>
      <c r="AO671">
        <v>69000</v>
      </c>
      <c r="AP671" t="s">
        <v>18076</v>
      </c>
      <c r="AU671" t="s">
        <v>13051</v>
      </c>
      <c r="AW671" t="s">
        <v>3060</v>
      </c>
    </row>
    <row r="672" spans="1:50">
      <c r="A672" s="1" t="s">
        <v>73</v>
      </c>
      <c r="B672" t="s">
        <v>163</v>
      </c>
      <c r="C672" t="s">
        <v>3882</v>
      </c>
      <c r="D672" t="s">
        <v>212</v>
      </c>
      <c r="F672" t="s">
        <v>544</v>
      </c>
      <c r="G672" t="s">
        <v>1020</v>
      </c>
      <c r="H672" t="s">
        <v>1293</v>
      </c>
      <c r="I672" t="s">
        <v>11098</v>
      </c>
      <c r="J672" t="s">
        <v>1645</v>
      </c>
      <c r="K672">
        <v>11691</v>
      </c>
      <c r="L672" t="s">
        <v>1670</v>
      </c>
      <c r="M672" t="s">
        <v>1670</v>
      </c>
      <c r="O672" t="s">
        <v>1938</v>
      </c>
      <c r="P672" t="s">
        <v>1962</v>
      </c>
      <c r="R672" t="s">
        <v>50</v>
      </c>
      <c r="S672" t="s">
        <v>1670</v>
      </c>
      <c r="U672" t="s">
        <v>1972</v>
      </c>
      <c r="W672" t="s">
        <v>212</v>
      </c>
      <c r="X672">
        <v>819</v>
      </c>
      <c r="Y672" t="s">
        <v>2007</v>
      </c>
      <c r="Z672" t="s">
        <v>2014</v>
      </c>
      <c r="AB672" t="s">
        <v>13537</v>
      </c>
      <c r="AD672" t="s">
        <v>16049</v>
      </c>
      <c r="AE672">
        <v>43</v>
      </c>
      <c r="AH672">
        <v>15</v>
      </c>
      <c r="AI672">
        <v>1</v>
      </c>
      <c r="AJ672">
        <v>0</v>
      </c>
      <c r="AK672">
        <v>408.33</v>
      </c>
      <c r="AN672" t="s">
        <v>2927</v>
      </c>
      <c r="AO672">
        <v>51000</v>
      </c>
      <c r="AU672">
        <v>0.1</v>
      </c>
      <c r="AV672" t="s">
        <v>346</v>
      </c>
      <c r="AW672" t="s">
        <v>3073</v>
      </c>
    </row>
    <row r="673" spans="1:50">
      <c r="A673" s="1" t="s">
        <v>73</v>
      </c>
      <c r="B673" t="s">
        <v>163</v>
      </c>
      <c r="C673" t="s">
        <v>3883</v>
      </c>
      <c r="D673" t="s">
        <v>212</v>
      </c>
      <c r="F673" t="s">
        <v>544</v>
      </c>
      <c r="G673" t="s">
        <v>1020</v>
      </c>
      <c r="H673" t="s">
        <v>1293</v>
      </c>
      <c r="I673" t="s">
        <v>11098</v>
      </c>
      <c r="J673" t="s">
        <v>1645</v>
      </c>
      <c r="K673">
        <v>11691</v>
      </c>
      <c r="L673" t="s">
        <v>1670</v>
      </c>
      <c r="M673" t="s">
        <v>1670</v>
      </c>
      <c r="O673" t="s">
        <v>1941</v>
      </c>
      <c r="P673" t="s">
        <v>1962</v>
      </c>
      <c r="R673" t="s">
        <v>50</v>
      </c>
      <c r="U673" t="s">
        <v>1972</v>
      </c>
      <c r="W673" t="s">
        <v>212</v>
      </c>
      <c r="X673">
        <v>819</v>
      </c>
      <c r="Y673" t="s">
        <v>2007</v>
      </c>
      <c r="Z673" t="s">
        <v>2014</v>
      </c>
      <c r="AB673" t="s">
        <v>13537</v>
      </c>
      <c r="AD673" t="s">
        <v>16049</v>
      </c>
      <c r="AE673">
        <v>43</v>
      </c>
      <c r="AH673">
        <v>15</v>
      </c>
      <c r="AI673">
        <v>1</v>
      </c>
      <c r="AJ673">
        <v>0</v>
      </c>
      <c r="AK673">
        <v>408.33</v>
      </c>
      <c r="AN673" t="s">
        <v>2927</v>
      </c>
      <c r="AO673">
        <v>51000</v>
      </c>
      <c r="AU673">
        <v>0.05</v>
      </c>
      <c r="AV673" t="s">
        <v>346</v>
      </c>
      <c r="AW673" t="s">
        <v>3073</v>
      </c>
    </row>
    <row r="674" spans="1:50">
      <c r="A674" s="1" t="s">
        <v>82</v>
      </c>
      <c r="B674" t="s">
        <v>163</v>
      </c>
      <c r="C674" t="s">
        <v>3884</v>
      </c>
      <c r="D674" t="s">
        <v>286</v>
      </c>
      <c r="F674" t="s">
        <v>7116</v>
      </c>
      <c r="G674" t="s">
        <v>8200</v>
      </c>
      <c r="H674" t="s">
        <v>9442</v>
      </c>
      <c r="I674" t="s">
        <v>1544</v>
      </c>
      <c r="J674" t="s">
        <v>1644</v>
      </c>
      <c r="K674">
        <v>11233</v>
      </c>
      <c r="L674" t="s">
        <v>1670</v>
      </c>
      <c r="M674" t="s">
        <v>1671</v>
      </c>
      <c r="O674" t="s">
        <v>1937</v>
      </c>
      <c r="P674" t="s">
        <v>1962</v>
      </c>
      <c r="R674" t="s">
        <v>50</v>
      </c>
      <c r="S674" t="s">
        <v>1670</v>
      </c>
      <c r="U674" t="s">
        <v>1972</v>
      </c>
      <c r="V674" t="s">
        <v>1984</v>
      </c>
      <c r="W674" t="s">
        <v>221</v>
      </c>
      <c r="X674">
        <v>621.34</v>
      </c>
      <c r="Y674" t="s">
        <v>2009</v>
      </c>
      <c r="Z674" t="s">
        <v>2017</v>
      </c>
      <c r="AB674" t="s">
        <v>13538</v>
      </c>
      <c r="AE674">
        <v>359</v>
      </c>
      <c r="AF674" t="s">
        <v>2902</v>
      </c>
      <c r="AH674">
        <v>18</v>
      </c>
      <c r="AI674">
        <v>1</v>
      </c>
      <c r="AJ674">
        <v>0</v>
      </c>
      <c r="AK674">
        <v>408.33</v>
      </c>
      <c r="AN674" t="s">
        <v>2926</v>
      </c>
      <c r="AO674">
        <v>51000</v>
      </c>
      <c r="AP674" t="s">
        <v>18184</v>
      </c>
      <c r="AU674" t="s">
        <v>13051</v>
      </c>
      <c r="AW674" t="s">
        <v>3059</v>
      </c>
    </row>
    <row r="675" spans="1:50">
      <c r="A675" s="1" t="s">
        <v>82</v>
      </c>
      <c r="B675" t="s">
        <v>163</v>
      </c>
      <c r="C675" t="s">
        <v>3885</v>
      </c>
      <c r="D675" t="s">
        <v>286</v>
      </c>
      <c r="F675" t="s">
        <v>7116</v>
      </c>
      <c r="G675" t="s">
        <v>8200</v>
      </c>
      <c r="H675" t="s">
        <v>9442</v>
      </c>
      <c r="I675" t="s">
        <v>1544</v>
      </c>
      <c r="J675" t="s">
        <v>1644</v>
      </c>
      <c r="K675">
        <v>11233</v>
      </c>
      <c r="L675" t="s">
        <v>1670</v>
      </c>
      <c r="M675" t="s">
        <v>1671</v>
      </c>
      <c r="O675" t="s">
        <v>1938</v>
      </c>
      <c r="P675" t="s">
        <v>1961</v>
      </c>
      <c r="R675" t="s">
        <v>50</v>
      </c>
      <c r="S675" t="s">
        <v>1670</v>
      </c>
      <c r="U675" t="s">
        <v>1972</v>
      </c>
      <c r="V675" t="s">
        <v>1984</v>
      </c>
      <c r="W675" t="s">
        <v>248</v>
      </c>
      <c r="X675">
        <v>621.34</v>
      </c>
      <c r="Y675" t="s">
        <v>2009</v>
      </c>
      <c r="Z675" t="s">
        <v>2017</v>
      </c>
      <c r="AB675" t="s">
        <v>13538</v>
      </c>
      <c r="AE675">
        <v>359</v>
      </c>
      <c r="AF675" t="s">
        <v>2902</v>
      </c>
      <c r="AH675">
        <v>18</v>
      </c>
      <c r="AI675">
        <v>1</v>
      </c>
      <c r="AJ675">
        <v>0</v>
      </c>
      <c r="AK675">
        <v>408.33</v>
      </c>
      <c r="AN675" t="s">
        <v>2926</v>
      </c>
      <c r="AO675">
        <v>51000</v>
      </c>
      <c r="AP675" t="s">
        <v>18139</v>
      </c>
      <c r="AU675" t="s">
        <v>13051</v>
      </c>
      <c r="AW675" t="s">
        <v>3059</v>
      </c>
    </row>
    <row r="676" spans="1:50">
      <c r="A676" s="1" t="s">
        <v>132</v>
      </c>
      <c r="B676" t="s">
        <v>164</v>
      </c>
      <c r="C676" t="s">
        <v>3886</v>
      </c>
      <c r="D676" t="s">
        <v>348</v>
      </c>
      <c r="E676" t="s">
        <v>394</v>
      </c>
      <c r="F676" t="s">
        <v>7106</v>
      </c>
      <c r="G676" t="s">
        <v>8193</v>
      </c>
      <c r="H676" t="s">
        <v>1290</v>
      </c>
      <c r="I676" t="s">
        <v>1477</v>
      </c>
      <c r="J676" t="s">
        <v>1644</v>
      </c>
      <c r="K676">
        <v>11221</v>
      </c>
      <c r="L676" t="s">
        <v>1670</v>
      </c>
      <c r="M676" t="s">
        <v>1670</v>
      </c>
      <c r="O676" t="s">
        <v>1937</v>
      </c>
      <c r="P676" t="s">
        <v>1962</v>
      </c>
      <c r="Q676" t="s">
        <v>1968</v>
      </c>
      <c r="R676" t="s">
        <v>50</v>
      </c>
      <c r="S676" t="s">
        <v>1670</v>
      </c>
      <c r="U676" t="s">
        <v>1972</v>
      </c>
      <c r="W676" t="s">
        <v>184</v>
      </c>
      <c r="X676">
        <v>632.48</v>
      </c>
      <c r="Y676" t="s">
        <v>2009</v>
      </c>
      <c r="Z676" t="s">
        <v>2015</v>
      </c>
      <c r="AA676" t="s">
        <v>2031</v>
      </c>
      <c r="AB676" t="s">
        <v>13525</v>
      </c>
      <c r="AD676" t="s">
        <v>16043</v>
      </c>
      <c r="AE676">
        <v>12</v>
      </c>
      <c r="AF676" t="s">
        <v>2902</v>
      </c>
      <c r="AG676" t="s">
        <v>1754</v>
      </c>
      <c r="AH676">
        <v>18</v>
      </c>
      <c r="AI676">
        <v>3</v>
      </c>
      <c r="AJ676">
        <v>0</v>
      </c>
      <c r="AK676">
        <v>409.05</v>
      </c>
      <c r="AN676" t="s">
        <v>2926</v>
      </c>
      <c r="AO676">
        <v>85000</v>
      </c>
      <c r="AU676">
        <v>0.08</v>
      </c>
      <c r="AV676" t="s">
        <v>367</v>
      </c>
      <c r="AW676" t="s">
        <v>3060</v>
      </c>
    </row>
    <row r="677" spans="1:50">
      <c r="A677" s="1" t="s">
        <v>132</v>
      </c>
      <c r="B677" t="s">
        <v>163</v>
      </c>
      <c r="C677" t="s">
        <v>3887</v>
      </c>
      <c r="D677" t="s">
        <v>348</v>
      </c>
      <c r="F677" t="s">
        <v>7106</v>
      </c>
      <c r="G677" t="s">
        <v>8193</v>
      </c>
      <c r="H677" t="s">
        <v>1290</v>
      </c>
      <c r="I677" t="s">
        <v>1477</v>
      </c>
      <c r="J677" t="s">
        <v>1644</v>
      </c>
      <c r="K677">
        <v>11221</v>
      </c>
      <c r="L677" t="s">
        <v>1670</v>
      </c>
      <c r="M677" t="s">
        <v>1670</v>
      </c>
      <c r="O677" t="s">
        <v>1938</v>
      </c>
      <c r="P677" t="s">
        <v>1961</v>
      </c>
      <c r="R677" t="s">
        <v>50</v>
      </c>
      <c r="S677" t="s">
        <v>1670</v>
      </c>
      <c r="U677" t="s">
        <v>1972</v>
      </c>
      <c r="W677" t="s">
        <v>184</v>
      </c>
      <c r="X677">
        <v>632.48</v>
      </c>
      <c r="Y677" t="s">
        <v>2009</v>
      </c>
      <c r="Z677" t="s">
        <v>2015</v>
      </c>
      <c r="AB677" t="s">
        <v>13525</v>
      </c>
      <c r="AD677" t="s">
        <v>16043</v>
      </c>
      <c r="AE677">
        <v>12</v>
      </c>
      <c r="AF677" t="s">
        <v>2902</v>
      </c>
      <c r="AG677" t="s">
        <v>1754</v>
      </c>
      <c r="AH677">
        <v>18</v>
      </c>
      <c r="AI677">
        <v>3</v>
      </c>
      <c r="AJ677">
        <v>0</v>
      </c>
      <c r="AK677">
        <v>409.05</v>
      </c>
      <c r="AN677" t="s">
        <v>2926</v>
      </c>
      <c r="AO677">
        <v>85000</v>
      </c>
      <c r="AU677" t="s">
        <v>13051</v>
      </c>
      <c r="AW677" t="s">
        <v>3060</v>
      </c>
    </row>
    <row r="678" spans="1:50">
      <c r="A678" s="1" t="s">
        <v>132</v>
      </c>
      <c r="B678" t="s">
        <v>163</v>
      </c>
      <c r="C678" t="s">
        <v>3888</v>
      </c>
      <c r="D678" t="s">
        <v>348</v>
      </c>
      <c r="F678" t="s">
        <v>7106</v>
      </c>
      <c r="G678" t="s">
        <v>8193</v>
      </c>
      <c r="H678" t="s">
        <v>1290</v>
      </c>
      <c r="I678" t="s">
        <v>1477</v>
      </c>
      <c r="J678" t="s">
        <v>1644</v>
      </c>
      <c r="K678">
        <v>11221</v>
      </c>
      <c r="L678" t="s">
        <v>1670</v>
      </c>
      <c r="M678" t="s">
        <v>1670</v>
      </c>
      <c r="O678" t="s">
        <v>1939</v>
      </c>
      <c r="P678" t="s">
        <v>1960</v>
      </c>
      <c r="R678" t="s">
        <v>50</v>
      </c>
      <c r="S678" t="s">
        <v>1670</v>
      </c>
      <c r="U678" t="s">
        <v>1972</v>
      </c>
      <c r="W678" t="s">
        <v>408</v>
      </c>
      <c r="X678">
        <v>632.48</v>
      </c>
      <c r="Y678" t="s">
        <v>2009</v>
      </c>
      <c r="Z678" t="s">
        <v>2015</v>
      </c>
      <c r="AB678" t="s">
        <v>13525</v>
      </c>
      <c r="AD678" t="s">
        <v>16043</v>
      </c>
      <c r="AE678">
        <v>12</v>
      </c>
      <c r="AF678" t="s">
        <v>2902</v>
      </c>
      <c r="AG678" t="s">
        <v>1754</v>
      </c>
      <c r="AH678">
        <v>18</v>
      </c>
      <c r="AI678">
        <v>3</v>
      </c>
      <c r="AJ678">
        <v>0</v>
      </c>
      <c r="AK678">
        <v>409.05</v>
      </c>
      <c r="AN678" t="s">
        <v>2926</v>
      </c>
      <c r="AO678">
        <v>85000</v>
      </c>
      <c r="AP678" t="s">
        <v>2953</v>
      </c>
      <c r="AU678" t="s">
        <v>13051</v>
      </c>
      <c r="AW678" t="s">
        <v>3060</v>
      </c>
    </row>
    <row r="679" spans="1:50">
      <c r="A679" s="1" t="s">
        <v>97</v>
      </c>
      <c r="B679" t="s">
        <v>164</v>
      </c>
      <c r="C679" t="s">
        <v>3889</v>
      </c>
      <c r="D679" t="s">
        <v>245</v>
      </c>
      <c r="E679" t="s">
        <v>245</v>
      </c>
      <c r="F679" t="s">
        <v>763</v>
      </c>
      <c r="G679" t="s">
        <v>7904</v>
      </c>
      <c r="H679" t="s">
        <v>1243</v>
      </c>
      <c r="I679" t="s">
        <v>11099</v>
      </c>
      <c r="J679" t="s">
        <v>1643</v>
      </c>
      <c r="K679">
        <v>10033</v>
      </c>
      <c r="L679" t="s">
        <v>1670</v>
      </c>
      <c r="M679" t="s">
        <v>1670</v>
      </c>
      <c r="O679" t="s">
        <v>1675</v>
      </c>
      <c r="P679" t="s">
        <v>1958</v>
      </c>
      <c r="Q679" t="s">
        <v>1965</v>
      </c>
      <c r="R679" t="s">
        <v>50</v>
      </c>
      <c r="S679" t="s">
        <v>1670</v>
      </c>
      <c r="U679" t="s">
        <v>1972</v>
      </c>
      <c r="W679" t="s">
        <v>245</v>
      </c>
      <c r="X679">
        <v>1407.82</v>
      </c>
      <c r="Y679" t="s">
        <v>2008</v>
      </c>
      <c r="Z679" t="s">
        <v>2013</v>
      </c>
      <c r="AA679" t="s">
        <v>2029</v>
      </c>
      <c r="AB679" t="s">
        <v>13539</v>
      </c>
      <c r="AD679" t="s">
        <v>16050</v>
      </c>
      <c r="AE679">
        <v>232</v>
      </c>
      <c r="AF679" t="s">
        <v>2902</v>
      </c>
      <c r="AG679" t="s">
        <v>2919</v>
      </c>
      <c r="AH679">
        <v>38</v>
      </c>
      <c r="AI679">
        <v>1</v>
      </c>
      <c r="AJ679">
        <v>0</v>
      </c>
      <c r="AK679">
        <v>411.86</v>
      </c>
      <c r="AN679" t="s">
        <v>2926</v>
      </c>
      <c r="AO679">
        <v>50000</v>
      </c>
      <c r="AU679">
        <v>2.2</v>
      </c>
      <c r="AV679" t="s">
        <v>245</v>
      </c>
      <c r="AW679" t="s">
        <v>3042</v>
      </c>
      <c r="AX679" t="s">
        <v>18685</v>
      </c>
    </row>
    <row r="680" spans="1:50">
      <c r="A680" s="1" t="s">
        <v>74</v>
      </c>
      <c r="B680" t="s">
        <v>163</v>
      </c>
      <c r="C680" t="s">
        <v>3890</v>
      </c>
      <c r="D680" t="s">
        <v>306</v>
      </c>
      <c r="F680" t="s">
        <v>7113</v>
      </c>
      <c r="G680" t="s">
        <v>6804</v>
      </c>
      <c r="H680" t="s">
        <v>1131</v>
      </c>
      <c r="I680" t="s">
        <v>1550</v>
      </c>
      <c r="J680" t="s">
        <v>1641</v>
      </c>
      <c r="K680">
        <v>10460</v>
      </c>
      <c r="L680" t="s">
        <v>1670</v>
      </c>
      <c r="M680" t="s">
        <v>1670</v>
      </c>
      <c r="N680" t="s">
        <v>1692</v>
      </c>
      <c r="O680" t="s">
        <v>1939</v>
      </c>
      <c r="P680" t="s">
        <v>1960</v>
      </c>
      <c r="R680" t="s">
        <v>50</v>
      </c>
      <c r="S680" t="s">
        <v>1670</v>
      </c>
      <c r="U680" t="s">
        <v>1972</v>
      </c>
      <c r="W680" t="s">
        <v>283</v>
      </c>
      <c r="X680">
        <v>1169</v>
      </c>
      <c r="Y680" t="s">
        <v>2006</v>
      </c>
      <c r="Z680" t="s">
        <v>2015</v>
      </c>
      <c r="AB680" t="s">
        <v>13533</v>
      </c>
      <c r="AE680">
        <v>168</v>
      </c>
      <c r="AF680" t="s">
        <v>2908</v>
      </c>
      <c r="AG680" t="s">
        <v>2017</v>
      </c>
      <c r="AH680">
        <v>11</v>
      </c>
      <c r="AI680">
        <v>1</v>
      </c>
      <c r="AJ680">
        <v>0</v>
      </c>
      <c r="AK680">
        <v>411.86</v>
      </c>
      <c r="AN680" t="s">
        <v>2926</v>
      </c>
      <c r="AO680">
        <v>50000</v>
      </c>
      <c r="AU680" t="s">
        <v>13051</v>
      </c>
      <c r="AW680" t="s">
        <v>3046</v>
      </c>
    </row>
    <row r="681" spans="1:50">
      <c r="A681" s="1" t="s">
        <v>126</v>
      </c>
      <c r="B681" t="s">
        <v>163</v>
      </c>
      <c r="C681" t="s">
        <v>3891</v>
      </c>
      <c r="D681" t="s">
        <v>166</v>
      </c>
      <c r="F681" t="s">
        <v>522</v>
      </c>
      <c r="G681" t="s">
        <v>8201</v>
      </c>
      <c r="H681" t="s">
        <v>9547</v>
      </c>
      <c r="I681" t="s">
        <v>11030</v>
      </c>
      <c r="J681" t="s">
        <v>1641</v>
      </c>
      <c r="K681">
        <v>10453</v>
      </c>
      <c r="L681" t="s">
        <v>1670</v>
      </c>
      <c r="M681" t="s">
        <v>1670</v>
      </c>
      <c r="N681" t="s">
        <v>12005</v>
      </c>
      <c r="O681" t="s">
        <v>1936</v>
      </c>
      <c r="P681" t="s">
        <v>1960</v>
      </c>
      <c r="R681" t="s">
        <v>50</v>
      </c>
      <c r="S681" t="s">
        <v>1671</v>
      </c>
      <c r="U681" t="s">
        <v>1972</v>
      </c>
      <c r="W681" t="s">
        <v>1991</v>
      </c>
      <c r="X681">
        <v>1040</v>
      </c>
      <c r="Y681" t="s">
        <v>2006</v>
      </c>
      <c r="Z681" t="s">
        <v>2014</v>
      </c>
      <c r="AB681" t="s">
        <v>13540</v>
      </c>
      <c r="AD681" t="s">
        <v>16051</v>
      </c>
      <c r="AE681" t="s">
        <v>13051</v>
      </c>
      <c r="AF681" t="s">
        <v>2902</v>
      </c>
      <c r="AG681" t="s">
        <v>1754</v>
      </c>
      <c r="AH681">
        <v>26</v>
      </c>
      <c r="AI681">
        <v>1</v>
      </c>
      <c r="AJ681">
        <v>0</v>
      </c>
      <c r="AK681">
        <v>411.86</v>
      </c>
      <c r="AO681">
        <v>50000</v>
      </c>
      <c r="AP681" t="s">
        <v>18185</v>
      </c>
      <c r="AU681">
        <v>13.5</v>
      </c>
      <c r="AV681" t="s">
        <v>331</v>
      </c>
      <c r="AW681" t="s">
        <v>3054</v>
      </c>
    </row>
    <row r="682" spans="1:50">
      <c r="A682" s="1" t="s">
        <v>58</v>
      </c>
      <c r="B682" t="s">
        <v>163</v>
      </c>
      <c r="C682" t="s">
        <v>3892</v>
      </c>
      <c r="D682" t="s">
        <v>172</v>
      </c>
      <c r="F682" t="s">
        <v>6954</v>
      </c>
      <c r="G682" t="s">
        <v>946</v>
      </c>
      <c r="H682" t="s">
        <v>9662</v>
      </c>
      <c r="I682" t="s">
        <v>1569</v>
      </c>
      <c r="J682" t="s">
        <v>1641</v>
      </c>
      <c r="K682">
        <v>10452</v>
      </c>
      <c r="L682" t="s">
        <v>1670</v>
      </c>
      <c r="M682" t="s">
        <v>1670</v>
      </c>
      <c r="N682" t="s">
        <v>1678</v>
      </c>
      <c r="O682" t="s">
        <v>1939</v>
      </c>
      <c r="P682" t="s">
        <v>1960</v>
      </c>
      <c r="R682" t="s">
        <v>50</v>
      </c>
      <c r="S682" t="s">
        <v>1670</v>
      </c>
      <c r="U682" t="s">
        <v>1972</v>
      </c>
      <c r="W682" t="s">
        <v>359</v>
      </c>
      <c r="X682">
        <v>1164.24</v>
      </c>
      <c r="Y682" t="s">
        <v>2006</v>
      </c>
      <c r="Z682" t="s">
        <v>2016</v>
      </c>
      <c r="AB682" t="s">
        <v>13532</v>
      </c>
      <c r="AD682" t="s">
        <v>16048</v>
      </c>
      <c r="AE682">
        <v>41</v>
      </c>
      <c r="AF682" t="s">
        <v>18014</v>
      </c>
      <c r="AG682" t="s">
        <v>1754</v>
      </c>
      <c r="AH682">
        <v>6</v>
      </c>
      <c r="AI682">
        <v>1</v>
      </c>
      <c r="AJ682">
        <v>0</v>
      </c>
      <c r="AK682">
        <v>411.86</v>
      </c>
      <c r="AN682" t="s">
        <v>2926</v>
      </c>
      <c r="AO682">
        <v>50000</v>
      </c>
      <c r="AU682">
        <v>65.25</v>
      </c>
      <c r="AV682" t="s">
        <v>397</v>
      </c>
      <c r="AW682" t="s">
        <v>3046</v>
      </c>
    </row>
    <row r="683" spans="1:50">
      <c r="A683" s="1" t="s">
        <v>57</v>
      </c>
      <c r="B683" t="s">
        <v>163</v>
      </c>
      <c r="C683" t="s">
        <v>3893</v>
      </c>
      <c r="D683" t="s">
        <v>266</v>
      </c>
      <c r="F683" t="s">
        <v>457</v>
      </c>
      <c r="G683" t="s">
        <v>8202</v>
      </c>
      <c r="H683" t="s">
        <v>9500</v>
      </c>
      <c r="I683" t="s">
        <v>1569</v>
      </c>
      <c r="J683" t="s">
        <v>1641</v>
      </c>
      <c r="K683">
        <v>10453</v>
      </c>
      <c r="L683" t="s">
        <v>1670</v>
      </c>
      <c r="M683" t="s">
        <v>1670</v>
      </c>
      <c r="O683" t="s">
        <v>1938</v>
      </c>
      <c r="P683" t="s">
        <v>1961</v>
      </c>
      <c r="R683" t="s">
        <v>50</v>
      </c>
      <c r="S683" t="s">
        <v>1670</v>
      </c>
      <c r="U683" t="s">
        <v>1972</v>
      </c>
      <c r="W683" t="s">
        <v>283</v>
      </c>
      <c r="X683">
        <v>1325</v>
      </c>
      <c r="Y683" t="s">
        <v>2006</v>
      </c>
      <c r="Z683" t="s">
        <v>2016</v>
      </c>
      <c r="AB683" t="s">
        <v>13541</v>
      </c>
      <c r="AD683" t="s">
        <v>16052</v>
      </c>
      <c r="AE683">
        <v>170</v>
      </c>
      <c r="AF683" t="s">
        <v>2902</v>
      </c>
      <c r="AG683" t="s">
        <v>1754</v>
      </c>
      <c r="AH683">
        <v>1</v>
      </c>
      <c r="AI683">
        <v>1</v>
      </c>
      <c r="AJ683">
        <v>0</v>
      </c>
      <c r="AK683">
        <v>412.33</v>
      </c>
      <c r="AN683" t="s">
        <v>2926</v>
      </c>
      <c r="AO683">
        <v>51500</v>
      </c>
      <c r="AU683" t="s">
        <v>13051</v>
      </c>
      <c r="AW683" t="s">
        <v>3045</v>
      </c>
    </row>
    <row r="684" spans="1:50">
      <c r="A684" s="1" t="s">
        <v>57</v>
      </c>
      <c r="B684" t="s">
        <v>163</v>
      </c>
      <c r="C684" t="s">
        <v>3894</v>
      </c>
      <c r="D684" t="s">
        <v>165</v>
      </c>
      <c r="F684" t="s">
        <v>457</v>
      </c>
      <c r="G684" t="s">
        <v>8202</v>
      </c>
      <c r="H684" t="s">
        <v>9500</v>
      </c>
      <c r="I684" t="s">
        <v>1569</v>
      </c>
      <c r="J684" t="s">
        <v>1641</v>
      </c>
      <c r="K684">
        <v>10453</v>
      </c>
      <c r="L684" t="s">
        <v>1670</v>
      </c>
      <c r="M684" t="s">
        <v>1670</v>
      </c>
      <c r="N684" t="s">
        <v>1677</v>
      </c>
      <c r="O684" t="s">
        <v>1939</v>
      </c>
      <c r="P684" t="s">
        <v>1960</v>
      </c>
      <c r="R684" t="s">
        <v>50</v>
      </c>
      <c r="S684" t="s">
        <v>1670</v>
      </c>
      <c r="U684" t="s">
        <v>1972</v>
      </c>
      <c r="W684" t="s">
        <v>283</v>
      </c>
      <c r="X684">
        <v>1325</v>
      </c>
      <c r="Y684" t="s">
        <v>2006</v>
      </c>
      <c r="Z684" t="s">
        <v>2016</v>
      </c>
      <c r="AB684" t="s">
        <v>13541</v>
      </c>
      <c r="AD684" t="s">
        <v>16052</v>
      </c>
      <c r="AE684">
        <v>170</v>
      </c>
      <c r="AF684" t="s">
        <v>2902</v>
      </c>
      <c r="AH684">
        <v>1</v>
      </c>
      <c r="AI684">
        <v>1</v>
      </c>
      <c r="AJ684">
        <v>0</v>
      </c>
      <c r="AK684">
        <v>412.33</v>
      </c>
      <c r="AN684" t="s">
        <v>2926</v>
      </c>
      <c r="AO684">
        <v>51500</v>
      </c>
      <c r="AU684" t="s">
        <v>13051</v>
      </c>
      <c r="AW684" t="s">
        <v>3045</v>
      </c>
    </row>
    <row r="685" spans="1:50">
      <c r="A685" s="1" t="s">
        <v>53</v>
      </c>
      <c r="B685" t="s">
        <v>164</v>
      </c>
      <c r="C685" t="s">
        <v>3895</v>
      </c>
      <c r="D685" t="s">
        <v>344</v>
      </c>
      <c r="E685" t="s">
        <v>209</v>
      </c>
      <c r="F685" t="s">
        <v>7117</v>
      </c>
      <c r="G685" t="s">
        <v>8203</v>
      </c>
      <c r="H685" t="s">
        <v>9663</v>
      </c>
      <c r="I685" t="s">
        <v>1542</v>
      </c>
      <c r="J685" t="s">
        <v>1642</v>
      </c>
      <c r="K685">
        <v>11364</v>
      </c>
      <c r="L685" t="s">
        <v>1670</v>
      </c>
      <c r="M685" t="s">
        <v>1670</v>
      </c>
      <c r="N685" t="s">
        <v>1754</v>
      </c>
      <c r="O685" t="s">
        <v>1675</v>
      </c>
      <c r="P685" t="s">
        <v>1958</v>
      </c>
      <c r="Q685" t="s">
        <v>1965</v>
      </c>
      <c r="R685" t="s">
        <v>51</v>
      </c>
      <c r="S685" t="s">
        <v>1671</v>
      </c>
      <c r="U685" t="s">
        <v>1972</v>
      </c>
      <c r="V685" t="s">
        <v>1984</v>
      </c>
      <c r="W685" t="s">
        <v>344</v>
      </c>
      <c r="X685" t="s">
        <v>13051</v>
      </c>
      <c r="Y685" t="s">
        <v>2007</v>
      </c>
      <c r="Z685" t="s">
        <v>2012</v>
      </c>
      <c r="AA685" t="s">
        <v>2029</v>
      </c>
      <c r="AB685" t="s">
        <v>13542</v>
      </c>
      <c r="AC685" t="s">
        <v>1754</v>
      </c>
      <c r="AD685" t="s">
        <v>16053</v>
      </c>
      <c r="AE685">
        <v>194</v>
      </c>
      <c r="AF685" t="s">
        <v>2911</v>
      </c>
      <c r="AG685" t="s">
        <v>1754</v>
      </c>
      <c r="AH685">
        <v>2</v>
      </c>
      <c r="AI685">
        <v>2</v>
      </c>
      <c r="AJ685">
        <v>0</v>
      </c>
      <c r="AK685">
        <v>413.12</v>
      </c>
      <c r="AL685" t="s">
        <v>2923</v>
      </c>
      <c r="AM685" t="s">
        <v>2924</v>
      </c>
      <c r="AN685" t="s">
        <v>2926</v>
      </c>
      <c r="AO685">
        <v>68000</v>
      </c>
      <c r="AU685">
        <v>0.8</v>
      </c>
      <c r="AV685" t="s">
        <v>209</v>
      </c>
      <c r="AW685" t="s">
        <v>53</v>
      </c>
    </row>
    <row r="686" spans="1:50">
      <c r="A686" s="1" t="s">
        <v>97</v>
      </c>
      <c r="B686" t="s">
        <v>164</v>
      </c>
      <c r="C686" t="s">
        <v>3896</v>
      </c>
      <c r="D686" t="s">
        <v>232</v>
      </c>
      <c r="E686" t="s">
        <v>6762</v>
      </c>
      <c r="F686" t="s">
        <v>708</v>
      </c>
      <c r="G686" t="s">
        <v>8204</v>
      </c>
      <c r="H686" t="s">
        <v>9664</v>
      </c>
      <c r="I686" t="s">
        <v>1508</v>
      </c>
      <c r="J686" t="s">
        <v>1643</v>
      </c>
      <c r="K686">
        <v>10034</v>
      </c>
      <c r="L686" t="s">
        <v>1670</v>
      </c>
      <c r="M686" t="s">
        <v>1670</v>
      </c>
      <c r="P686" t="s">
        <v>1958</v>
      </c>
      <c r="Q686" t="s">
        <v>1965</v>
      </c>
      <c r="R686" t="s">
        <v>50</v>
      </c>
      <c r="S686" t="s">
        <v>1671</v>
      </c>
      <c r="U686" t="s">
        <v>1972</v>
      </c>
      <c r="W686" t="s">
        <v>232</v>
      </c>
      <c r="X686">
        <v>1795</v>
      </c>
      <c r="Y686" t="s">
        <v>2008</v>
      </c>
      <c r="Z686" t="s">
        <v>2013</v>
      </c>
      <c r="AA686" t="s">
        <v>2029</v>
      </c>
      <c r="AB686" t="s">
        <v>13543</v>
      </c>
      <c r="AD686" t="s">
        <v>16054</v>
      </c>
      <c r="AE686">
        <v>28</v>
      </c>
      <c r="AF686" t="s">
        <v>2902</v>
      </c>
      <c r="AG686" t="s">
        <v>1754</v>
      </c>
      <c r="AH686">
        <v>2</v>
      </c>
      <c r="AI686">
        <v>2</v>
      </c>
      <c r="AJ686">
        <v>0</v>
      </c>
      <c r="AK686">
        <v>413.12</v>
      </c>
      <c r="AN686" t="s">
        <v>2926</v>
      </c>
      <c r="AO686">
        <v>68000</v>
      </c>
      <c r="AU686">
        <v>2.3</v>
      </c>
      <c r="AV686" t="s">
        <v>6762</v>
      </c>
      <c r="AW686" t="s">
        <v>3042</v>
      </c>
      <c r="AX686" t="s">
        <v>18685</v>
      </c>
    </row>
    <row r="687" spans="1:50">
      <c r="A687" s="1" t="s">
        <v>82</v>
      </c>
      <c r="B687" t="s">
        <v>163</v>
      </c>
      <c r="C687" t="s">
        <v>3897</v>
      </c>
      <c r="D687" t="s">
        <v>253</v>
      </c>
      <c r="F687" t="s">
        <v>7118</v>
      </c>
      <c r="G687" t="s">
        <v>909</v>
      </c>
      <c r="H687" t="s">
        <v>9420</v>
      </c>
      <c r="I687" t="s">
        <v>11013</v>
      </c>
      <c r="J687" t="s">
        <v>1644</v>
      </c>
      <c r="K687">
        <v>11233</v>
      </c>
      <c r="L687" t="s">
        <v>1670</v>
      </c>
      <c r="M687" t="s">
        <v>1671</v>
      </c>
      <c r="N687" t="s">
        <v>1754</v>
      </c>
      <c r="O687" t="s">
        <v>1937</v>
      </c>
      <c r="P687" t="s">
        <v>1962</v>
      </c>
      <c r="R687" t="s">
        <v>50</v>
      </c>
      <c r="S687" t="s">
        <v>1670</v>
      </c>
      <c r="U687" t="s">
        <v>1972</v>
      </c>
      <c r="V687" t="s">
        <v>1984</v>
      </c>
      <c r="W687" t="s">
        <v>221</v>
      </c>
      <c r="X687" t="s">
        <v>13051</v>
      </c>
      <c r="Y687" t="s">
        <v>2009</v>
      </c>
      <c r="Z687" t="s">
        <v>2017</v>
      </c>
      <c r="AB687" t="s">
        <v>2223</v>
      </c>
      <c r="AC687" t="s">
        <v>1754</v>
      </c>
      <c r="AE687">
        <v>359</v>
      </c>
      <c r="AF687" t="s">
        <v>2902</v>
      </c>
      <c r="AG687" t="s">
        <v>1754</v>
      </c>
      <c r="AH687">
        <v>43</v>
      </c>
      <c r="AI687">
        <v>2</v>
      </c>
      <c r="AJ687">
        <v>0</v>
      </c>
      <c r="AK687">
        <v>413.96</v>
      </c>
      <c r="AN687" t="s">
        <v>2926</v>
      </c>
      <c r="AO687">
        <v>70000</v>
      </c>
      <c r="AP687" t="s">
        <v>18186</v>
      </c>
      <c r="AU687" t="s">
        <v>13051</v>
      </c>
      <c r="AW687" t="s">
        <v>3059</v>
      </c>
      <c r="AX687" t="s">
        <v>1754</v>
      </c>
    </row>
    <row r="688" spans="1:50">
      <c r="A688" s="1" t="s">
        <v>101</v>
      </c>
      <c r="B688" t="s">
        <v>163</v>
      </c>
      <c r="C688" t="s">
        <v>3898</v>
      </c>
      <c r="D688" t="s">
        <v>213</v>
      </c>
      <c r="F688" t="s">
        <v>7119</v>
      </c>
      <c r="G688" t="s">
        <v>7022</v>
      </c>
      <c r="H688" t="s">
        <v>1173</v>
      </c>
      <c r="I688" t="s">
        <v>11100</v>
      </c>
      <c r="J688" t="s">
        <v>1643</v>
      </c>
      <c r="K688">
        <v>10035</v>
      </c>
      <c r="L688" t="s">
        <v>1670</v>
      </c>
      <c r="M688" t="s">
        <v>1670</v>
      </c>
      <c r="O688" t="s">
        <v>1675</v>
      </c>
      <c r="P688" t="s">
        <v>1962</v>
      </c>
      <c r="R688" t="s">
        <v>50</v>
      </c>
      <c r="S688" t="s">
        <v>1670</v>
      </c>
      <c r="U688" t="s">
        <v>1972</v>
      </c>
      <c r="V688" t="s">
        <v>1984</v>
      </c>
      <c r="W688" t="s">
        <v>186</v>
      </c>
      <c r="X688">
        <v>1230</v>
      </c>
      <c r="Y688" t="s">
        <v>2008</v>
      </c>
      <c r="Z688" t="s">
        <v>2016</v>
      </c>
      <c r="AB688" t="s">
        <v>2074</v>
      </c>
      <c r="AD688" t="s">
        <v>16055</v>
      </c>
      <c r="AE688">
        <v>60</v>
      </c>
      <c r="AF688" t="s">
        <v>2908</v>
      </c>
      <c r="AG688" t="s">
        <v>1754</v>
      </c>
      <c r="AH688">
        <v>8</v>
      </c>
      <c r="AI688">
        <v>2</v>
      </c>
      <c r="AJ688">
        <v>0</v>
      </c>
      <c r="AK688">
        <v>413.96</v>
      </c>
      <c r="AN688" t="s">
        <v>2926</v>
      </c>
      <c r="AO688">
        <v>70000</v>
      </c>
      <c r="AU688" t="s">
        <v>13051</v>
      </c>
      <c r="AW688" t="s">
        <v>3051</v>
      </c>
    </row>
    <row r="689" spans="1:50">
      <c r="A689" s="1" t="s">
        <v>94</v>
      </c>
      <c r="B689" t="s">
        <v>164</v>
      </c>
      <c r="C689" t="s">
        <v>3899</v>
      </c>
      <c r="D689" t="s">
        <v>265</v>
      </c>
      <c r="E689" t="s">
        <v>337</v>
      </c>
      <c r="F689" t="s">
        <v>7120</v>
      </c>
      <c r="G689" t="s">
        <v>8205</v>
      </c>
      <c r="H689" t="s">
        <v>9637</v>
      </c>
      <c r="I689" t="s">
        <v>1548</v>
      </c>
      <c r="J689" t="s">
        <v>1643</v>
      </c>
      <c r="K689">
        <v>10033</v>
      </c>
      <c r="L689" t="s">
        <v>1670</v>
      </c>
      <c r="M689" t="s">
        <v>1670</v>
      </c>
      <c r="O689" t="s">
        <v>1941</v>
      </c>
      <c r="P689" t="s">
        <v>1958</v>
      </c>
      <c r="Q689" t="s">
        <v>1965</v>
      </c>
      <c r="R689" t="s">
        <v>50</v>
      </c>
      <c r="S689" t="s">
        <v>1670</v>
      </c>
      <c r="U689" t="s">
        <v>1972</v>
      </c>
      <c r="W689" t="s">
        <v>265</v>
      </c>
      <c r="X689">
        <v>1900</v>
      </c>
      <c r="Y689" t="s">
        <v>2008</v>
      </c>
      <c r="Z689" t="s">
        <v>2028</v>
      </c>
      <c r="AA689" t="s">
        <v>2029</v>
      </c>
      <c r="AB689" t="s">
        <v>13544</v>
      </c>
      <c r="AD689" t="s">
        <v>16056</v>
      </c>
      <c r="AE689">
        <v>60</v>
      </c>
      <c r="AF689" t="s">
        <v>2902</v>
      </c>
      <c r="AG689" t="s">
        <v>1754</v>
      </c>
      <c r="AH689">
        <v>8</v>
      </c>
      <c r="AI689">
        <v>1</v>
      </c>
      <c r="AJ689">
        <v>0</v>
      </c>
      <c r="AK689">
        <v>416.33</v>
      </c>
      <c r="AL689" t="s">
        <v>303</v>
      </c>
      <c r="AM689" t="s">
        <v>18031</v>
      </c>
      <c r="AN689" t="s">
        <v>2926</v>
      </c>
      <c r="AO689">
        <v>52000</v>
      </c>
      <c r="AU689">
        <v>0.01</v>
      </c>
      <c r="AV689" t="s">
        <v>379</v>
      </c>
      <c r="AW689" t="s">
        <v>3042</v>
      </c>
      <c r="AX689" t="s">
        <v>18685</v>
      </c>
    </row>
    <row r="690" spans="1:50">
      <c r="A690" s="1" t="s">
        <v>82</v>
      </c>
      <c r="B690" t="s">
        <v>163</v>
      </c>
      <c r="C690" t="s">
        <v>3900</v>
      </c>
      <c r="D690" t="s">
        <v>181</v>
      </c>
      <c r="F690" t="s">
        <v>7121</v>
      </c>
      <c r="G690" t="s">
        <v>8206</v>
      </c>
      <c r="H690" t="s">
        <v>9420</v>
      </c>
      <c r="I690" t="s">
        <v>11101</v>
      </c>
      <c r="J690" t="s">
        <v>1644</v>
      </c>
      <c r="K690">
        <v>11233</v>
      </c>
      <c r="L690" t="s">
        <v>1670</v>
      </c>
      <c r="M690" t="s">
        <v>1671</v>
      </c>
      <c r="N690" t="s">
        <v>1754</v>
      </c>
      <c r="O690" t="s">
        <v>1937</v>
      </c>
      <c r="P690" t="s">
        <v>1962</v>
      </c>
      <c r="R690" t="s">
        <v>50</v>
      </c>
      <c r="S690" t="s">
        <v>1670</v>
      </c>
      <c r="U690" t="s">
        <v>1972</v>
      </c>
      <c r="V690" t="s">
        <v>1984</v>
      </c>
      <c r="W690" t="s">
        <v>221</v>
      </c>
      <c r="X690">
        <v>1485</v>
      </c>
      <c r="Y690" t="s">
        <v>2009</v>
      </c>
      <c r="AB690" t="s">
        <v>13545</v>
      </c>
      <c r="AE690">
        <v>359</v>
      </c>
      <c r="AF690" t="s">
        <v>2902</v>
      </c>
      <c r="AH690">
        <v>2</v>
      </c>
      <c r="AI690">
        <v>1</v>
      </c>
      <c r="AJ690">
        <v>0</v>
      </c>
      <c r="AK690">
        <v>416.33</v>
      </c>
      <c r="AN690" t="s">
        <v>2926</v>
      </c>
      <c r="AO690">
        <v>52000</v>
      </c>
      <c r="AP690" t="s">
        <v>18187</v>
      </c>
      <c r="AU690" t="s">
        <v>13051</v>
      </c>
      <c r="AW690" t="s">
        <v>3060</v>
      </c>
    </row>
    <row r="691" spans="1:50">
      <c r="A691" s="1" t="s">
        <v>82</v>
      </c>
      <c r="B691" t="s">
        <v>163</v>
      </c>
      <c r="C691" t="s">
        <v>3901</v>
      </c>
      <c r="D691" t="s">
        <v>181</v>
      </c>
      <c r="F691" t="s">
        <v>7121</v>
      </c>
      <c r="G691" t="s">
        <v>8206</v>
      </c>
      <c r="H691" t="s">
        <v>9420</v>
      </c>
      <c r="I691" t="s">
        <v>11101</v>
      </c>
      <c r="J691" t="s">
        <v>1644</v>
      </c>
      <c r="K691">
        <v>11233</v>
      </c>
      <c r="L691" t="s">
        <v>1670</v>
      </c>
      <c r="M691" t="s">
        <v>1671</v>
      </c>
      <c r="N691" t="s">
        <v>1754</v>
      </c>
      <c r="O691" t="s">
        <v>1938</v>
      </c>
      <c r="P691" t="s">
        <v>1961</v>
      </c>
      <c r="R691" t="s">
        <v>50</v>
      </c>
      <c r="S691" t="s">
        <v>1670</v>
      </c>
      <c r="U691" t="s">
        <v>1972</v>
      </c>
      <c r="V691" t="s">
        <v>1984</v>
      </c>
      <c r="W691" t="s">
        <v>248</v>
      </c>
      <c r="X691">
        <v>1485</v>
      </c>
      <c r="Y691" t="s">
        <v>2009</v>
      </c>
      <c r="AB691" t="s">
        <v>13545</v>
      </c>
      <c r="AE691">
        <v>359</v>
      </c>
      <c r="AF691" t="s">
        <v>2902</v>
      </c>
      <c r="AH691">
        <v>2</v>
      </c>
      <c r="AI691">
        <v>1</v>
      </c>
      <c r="AJ691">
        <v>0</v>
      </c>
      <c r="AK691">
        <v>416.33</v>
      </c>
      <c r="AN691" t="s">
        <v>2926</v>
      </c>
      <c r="AO691">
        <v>52000</v>
      </c>
      <c r="AP691" t="s">
        <v>18076</v>
      </c>
      <c r="AU691" t="s">
        <v>13051</v>
      </c>
      <c r="AW691" t="s">
        <v>3060</v>
      </c>
    </row>
    <row r="692" spans="1:50">
      <c r="A692" s="1" t="s">
        <v>62</v>
      </c>
      <c r="B692" t="s">
        <v>163</v>
      </c>
      <c r="C692" t="s">
        <v>3902</v>
      </c>
      <c r="D692" t="s">
        <v>238</v>
      </c>
      <c r="F692" t="s">
        <v>544</v>
      </c>
      <c r="G692" t="s">
        <v>870</v>
      </c>
      <c r="H692" t="s">
        <v>9576</v>
      </c>
      <c r="I692" t="s">
        <v>1488</v>
      </c>
      <c r="J692" t="s">
        <v>1644</v>
      </c>
      <c r="K692">
        <v>11226</v>
      </c>
      <c r="L692" t="s">
        <v>1670</v>
      </c>
      <c r="M692" t="s">
        <v>1670</v>
      </c>
      <c r="N692" t="s">
        <v>11945</v>
      </c>
      <c r="O692" t="s">
        <v>1939</v>
      </c>
      <c r="P692" t="s">
        <v>1960</v>
      </c>
      <c r="R692" t="s">
        <v>50</v>
      </c>
      <c r="S692" t="s">
        <v>1670</v>
      </c>
      <c r="U692" t="s">
        <v>1972</v>
      </c>
      <c r="W692" t="s">
        <v>238</v>
      </c>
      <c r="X692">
        <v>1632</v>
      </c>
      <c r="Y692" t="s">
        <v>2009</v>
      </c>
      <c r="AB692" t="s">
        <v>13546</v>
      </c>
      <c r="AD692" t="s">
        <v>16057</v>
      </c>
      <c r="AE692">
        <v>6</v>
      </c>
      <c r="AH692">
        <v>2</v>
      </c>
      <c r="AI692">
        <v>1</v>
      </c>
      <c r="AJ692">
        <v>0</v>
      </c>
      <c r="AK692">
        <v>417.63</v>
      </c>
      <c r="AN692" t="s">
        <v>2926</v>
      </c>
      <c r="AO692">
        <v>50700</v>
      </c>
      <c r="AU692" t="s">
        <v>13051</v>
      </c>
      <c r="AW692" t="s">
        <v>3049</v>
      </c>
    </row>
    <row r="693" spans="1:50">
      <c r="A693" s="1" t="s">
        <v>101</v>
      </c>
      <c r="B693" t="s">
        <v>163</v>
      </c>
      <c r="C693" t="s">
        <v>3903</v>
      </c>
      <c r="D693" t="s">
        <v>246</v>
      </c>
      <c r="F693" t="s">
        <v>7122</v>
      </c>
      <c r="G693" t="s">
        <v>8207</v>
      </c>
      <c r="H693" t="s">
        <v>9440</v>
      </c>
      <c r="I693">
        <v>64</v>
      </c>
      <c r="J693" t="s">
        <v>1643</v>
      </c>
      <c r="K693">
        <v>10039</v>
      </c>
      <c r="L693" t="s">
        <v>1670</v>
      </c>
      <c r="M693" t="s">
        <v>1670</v>
      </c>
      <c r="N693" t="s">
        <v>11886</v>
      </c>
      <c r="O693" t="s">
        <v>1939</v>
      </c>
      <c r="P693" t="s">
        <v>1960</v>
      </c>
      <c r="R693" t="s">
        <v>50</v>
      </c>
      <c r="S693" t="s">
        <v>1670</v>
      </c>
      <c r="U693" t="s">
        <v>1972</v>
      </c>
      <c r="V693" t="s">
        <v>1984</v>
      </c>
      <c r="W693" t="s">
        <v>246</v>
      </c>
      <c r="X693">
        <v>611.4400000000001</v>
      </c>
      <c r="Y693" t="s">
        <v>2008</v>
      </c>
      <c r="Z693" t="s">
        <v>2016</v>
      </c>
      <c r="AB693" t="s">
        <v>13547</v>
      </c>
      <c r="AD693" t="s">
        <v>16058</v>
      </c>
      <c r="AE693">
        <v>245</v>
      </c>
      <c r="AF693" t="s">
        <v>2902</v>
      </c>
      <c r="AG693" t="s">
        <v>1754</v>
      </c>
      <c r="AH693">
        <v>39</v>
      </c>
      <c r="AI693">
        <v>2</v>
      </c>
      <c r="AJ693">
        <v>0</v>
      </c>
      <c r="AK693">
        <v>419.2</v>
      </c>
      <c r="AN693" t="s">
        <v>2926</v>
      </c>
      <c r="AO693">
        <v>69000</v>
      </c>
      <c r="AU693" t="s">
        <v>13051</v>
      </c>
      <c r="AW693" t="s">
        <v>3051</v>
      </c>
    </row>
    <row r="694" spans="1:50">
      <c r="A694" s="1" t="s">
        <v>72</v>
      </c>
      <c r="B694" t="s">
        <v>164</v>
      </c>
      <c r="C694" t="s">
        <v>3904</v>
      </c>
      <c r="D694" t="s">
        <v>328</v>
      </c>
      <c r="E694" t="s">
        <v>379</v>
      </c>
      <c r="F694" t="s">
        <v>7123</v>
      </c>
      <c r="G694" t="s">
        <v>8208</v>
      </c>
      <c r="H694" t="s">
        <v>9665</v>
      </c>
      <c r="I694" t="s">
        <v>1522</v>
      </c>
      <c r="J694" t="s">
        <v>1643</v>
      </c>
      <c r="K694">
        <v>10035</v>
      </c>
      <c r="L694" t="s">
        <v>1670</v>
      </c>
      <c r="M694" t="s">
        <v>1672</v>
      </c>
      <c r="N694" t="s">
        <v>12006</v>
      </c>
      <c r="O694" t="s">
        <v>1936</v>
      </c>
      <c r="P694" t="s">
        <v>1960</v>
      </c>
      <c r="Q694" t="s">
        <v>1969</v>
      </c>
      <c r="R694" t="s">
        <v>50</v>
      </c>
      <c r="S694" t="s">
        <v>1671</v>
      </c>
      <c r="U694" t="s">
        <v>1972</v>
      </c>
      <c r="V694" t="s">
        <v>1984</v>
      </c>
      <c r="W694" t="s">
        <v>3031</v>
      </c>
      <c r="X694">
        <v>1574.13</v>
      </c>
      <c r="Y694" t="s">
        <v>2008</v>
      </c>
      <c r="Z694" t="s">
        <v>2020</v>
      </c>
      <c r="AA694" t="s">
        <v>2032</v>
      </c>
      <c r="AB694" t="s">
        <v>13548</v>
      </c>
      <c r="AE694">
        <v>25</v>
      </c>
      <c r="AF694" t="s">
        <v>2902</v>
      </c>
      <c r="AG694" t="s">
        <v>1754</v>
      </c>
      <c r="AH694">
        <v>19</v>
      </c>
      <c r="AI694">
        <v>4</v>
      </c>
      <c r="AJ694">
        <v>0</v>
      </c>
      <c r="AK694">
        <v>419.42</v>
      </c>
      <c r="AN694" t="s">
        <v>2926</v>
      </c>
      <c r="AO694">
        <v>108000</v>
      </c>
      <c r="AQ694" t="s">
        <v>2979</v>
      </c>
      <c r="AR694" t="s">
        <v>18456</v>
      </c>
      <c r="AS694" t="s">
        <v>2992</v>
      </c>
      <c r="AT694" t="s">
        <v>18517</v>
      </c>
      <c r="AU694">
        <v>13.75</v>
      </c>
      <c r="AV694" t="s">
        <v>392</v>
      </c>
      <c r="AW694" t="s">
        <v>3051</v>
      </c>
      <c r="AX694" t="s">
        <v>18685</v>
      </c>
    </row>
    <row r="695" spans="1:50">
      <c r="A695" s="1" t="s">
        <v>95</v>
      </c>
      <c r="B695" t="s">
        <v>164</v>
      </c>
      <c r="C695" t="s">
        <v>3905</v>
      </c>
      <c r="D695" t="s">
        <v>295</v>
      </c>
      <c r="E695" t="s">
        <v>220</v>
      </c>
      <c r="F695" t="s">
        <v>7124</v>
      </c>
      <c r="G695" t="s">
        <v>8209</v>
      </c>
      <c r="H695" t="s">
        <v>9666</v>
      </c>
      <c r="I695" t="s">
        <v>11102</v>
      </c>
      <c r="J695" t="s">
        <v>1641</v>
      </c>
      <c r="K695">
        <v>10468</v>
      </c>
      <c r="L695" t="s">
        <v>1670</v>
      </c>
      <c r="M695" t="s">
        <v>1670</v>
      </c>
      <c r="O695" t="s">
        <v>1941</v>
      </c>
      <c r="P695" t="s">
        <v>1958</v>
      </c>
      <c r="Q695" t="s">
        <v>1965</v>
      </c>
      <c r="R695" t="s">
        <v>50</v>
      </c>
      <c r="S695" t="s">
        <v>1671</v>
      </c>
      <c r="U695" t="s">
        <v>1972</v>
      </c>
      <c r="W695" t="s">
        <v>295</v>
      </c>
      <c r="X695">
        <v>1014.14</v>
      </c>
      <c r="Y695" t="s">
        <v>2006</v>
      </c>
      <c r="Z695" t="s">
        <v>2015</v>
      </c>
      <c r="AA695" t="s">
        <v>2029</v>
      </c>
      <c r="AB695" t="s">
        <v>13549</v>
      </c>
      <c r="AD695" t="s">
        <v>15077</v>
      </c>
      <c r="AE695" t="s">
        <v>13051</v>
      </c>
      <c r="AF695" t="s">
        <v>2902</v>
      </c>
      <c r="AH695">
        <v>18</v>
      </c>
      <c r="AI695">
        <v>2</v>
      </c>
      <c r="AJ695">
        <v>0</v>
      </c>
      <c r="AK695">
        <v>419.87</v>
      </c>
      <c r="AN695" t="s">
        <v>18039</v>
      </c>
      <c r="AO695">
        <v>71000</v>
      </c>
      <c r="AU695">
        <v>1.25</v>
      </c>
      <c r="AV695" t="s">
        <v>339</v>
      </c>
      <c r="AW695" t="s">
        <v>95</v>
      </c>
      <c r="AX695" t="s">
        <v>18685</v>
      </c>
    </row>
    <row r="696" spans="1:50">
      <c r="A696" s="1" t="s">
        <v>107</v>
      </c>
      <c r="B696" t="s">
        <v>163</v>
      </c>
      <c r="C696" t="s">
        <v>3906</v>
      </c>
      <c r="D696" t="s">
        <v>353</v>
      </c>
      <c r="F696" t="s">
        <v>7125</v>
      </c>
      <c r="G696" t="s">
        <v>8210</v>
      </c>
      <c r="H696" t="s">
        <v>9667</v>
      </c>
      <c r="I696" t="s">
        <v>1570</v>
      </c>
      <c r="J696" t="s">
        <v>1644</v>
      </c>
      <c r="K696">
        <v>11239</v>
      </c>
      <c r="L696" t="s">
        <v>1670</v>
      </c>
      <c r="M696" t="s">
        <v>1672</v>
      </c>
      <c r="N696" t="s">
        <v>12007</v>
      </c>
      <c r="O696" t="s">
        <v>1936</v>
      </c>
      <c r="P696" t="s">
        <v>1958</v>
      </c>
      <c r="R696" t="s">
        <v>50</v>
      </c>
      <c r="U696" t="s">
        <v>1972</v>
      </c>
      <c r="W696" t="s">
        <v>353</v>
      </c>
      <c r="X696">
        <v>1480</v>
      </c>
      <c r="Y696" t="s">
        <v>2009</v>
      </c>
      <c r="Z696" t="s">
        <v>2015</v>
      </c>
      <c r="AB696" t="s">
        <v>13550</v>
      </c>
      <c r="AC696" t="s">
        <v>15089</v>
      </c>
      <c r="AD696" t="s">
        <v>16059</v>
      </c>
      <c r="AE696">
        <v>60</v>
      </c>
      <c r="AF696" t="s">
        <v>2904</v>
      </c>
      <c r="AH696">
        <v>11</v>
      </c>
      <c r="AI696">
        <v>2</v>
      </c>
      <c r="AJ696">
        <v>0</v>
      </c>
      <c r="AK696">
        <v>419.87</v>
      </c>
      <c r="AL696" t="s">
        <v>18022</v>
      </c>
      <c r="AM696" t="s">
        <v>18031</v>
      </c>
      <c r="AN696" t="s">
        <v>2926</v>
      </c>
      <c r="AO696">
        <v>71000</v>
      </c>
      <c r="AU696">
        <v>1.5</v>
      </c>
      <c r="AV696" t="s">
        <v>353</v>
      </c>
      <c r="AW696" t="s">
        <v>3049</v>
      </c>
      <c r="AX696" t="s">
        <v>18685</v>
      </c>
    </row>
    <row r="697" spans="1:50">
      <c r="A697" s="1" t="s">
        <v>62</v>
      </c>
      <c r="B697" t="s">
        <v>163</v>
      </c>
      <c r="C697" t="s">
        <v>3907</v>
      </c>
      <c r="D697" t="s">
        <v>167</v>
      </c>
      <c r="F697" t="s">
        <v>6805</v>
      </c>
      <c r="G697" t="s">
        <v>8211</v>
      </c>
      <c r="H697" t="s">
        <v>9576</v>
      </c>
      <c r="I697" t="s">
        <v>11103</v>
      </c>
      <c r="J697" t="s">
        <v>1644</v>
      </c>
      <c r="K697">
        <v>11226</v>
      </c>
      <c r="L697" t="s">
        <v>1670</v>
      </c>
      <c r="M697" t="s">
        <v>1670</v>
      </c>
      <c r="N697" t="s">
        <v>11945</v>
      </c>
      <c r="O697" t="s">
        <v>1939</v>
      </c>
      <c r="P697" t="s">
        <v>1960</v>
      </c>
      <c r="R697" t="s">
        <v>50</v>
      </c>
      <c r="S697" t="s">
        <v>1670</v>
      </c>
      <c r="U697" t="s">
        <v>1972</v>
      </c>
      <c r="W697" t="s">
        <v>238</v>
      </c>
      <c r="X697">
        <v>1250</v>
      </c>
      <c r="Y697" t="s">
        <v>2009</v>
      </c>
      <c r="Z697" t="s">
        <v>2020</v>
      </c>
      <c r="AB697" t="s">
        <v>13551</v>
      </c>
      <c r="AE697">
        <v>6</v>
      </c>
      <c r="AF697" t="s">
        <v>2902</v>
      </c>
      <c r="AG697" t="s">
        <v>1754</v>
      </c>
      <c r="AH697">
        <v>1</v>
      </c>
      <c r="AI697">
        <v>1</v>
      </c>
      <c r="AJ697">
        <v>0</v>
      </c>
      <c r="AK697">
        <v>420.1</v>
      </c>
      <c r="AN697" t="s">
        <v>2926</v>
      </c>
      <c r="AO697">
        <v>51000</v>
      </c>
      <c r="AU697">
        <v>1.5</v>
      </c>
      <c r="AV697" t="s">
        <v>281</v>
      </c>
      <c r="AW697" t="s">
        <v>3063</v>
      </c>
    </row>
    <row r="698" spans="1:50">
      <c r="A698" s="1" t="s">
        <v>62</v>
      </c>
      <c r="B698" t="s">
        <v>163</v>
      </c>
      <c r="C698" t="s">
        <v>3908</v>
      </c>
      <c r="D698" t="s">
        <v>6128</v>
      </c>
      <c r="F698" t="s">
        <v>6805</v>
      </c>
      <c r="G698" t="s">
        <v>8211</v>
      </c>
      <c r="H698" t="s">
        <v>9576</v>
      </c>
      <c r="I698" t="s">
        <v>11103</v>
      </c>
      <c r="J698" t="s">
        <v>1644</v>
      </c>
      <c r="K698">
        <v>11226</v>
      </c>
      <c r="L698" t="s">
        <v>1670</v>
      </c>
      <c r="M698" t="s">
        <v>1670</v>
      </c>
      <c r="N698" t="s">
        <v>12008</v>
      </c>
      <c r="O698" t="s">
        <v>1936</v>
      </c>
      <c r="P698" t="s">
        <v>1960</v>
      </c>
      <c r="R698" t="s">
        <v>50</v>
      </c>
      <c r="S698" t="s">
        <v>1670</v>
      </c>
      <c r="T698" t="s">
        <v>13026</v>
      </c>
      <c r="U698" t="s">
        <v>1972</v>
      </c>
      <c r="W698" t="s">
        <v>238</v>
      </c>
      <c r="X698">
        <v>1250</v>
      </c>
      <c r="Y698" t="s">
        <v>2009</v>
      </c>
      <c r="Z698" t="s">
        <v>2025</v>
      </c>
      <c r="AB698" t="s">
        <v>13551</v>
      </c>
      <c r="AE698">
        <v>6</v>
      </c>
      <c r="AF698" t="s">
        <v>2902</v>
      </c>
      <c r="AG698" t="s">
        <v>1754</v>
      </c>
      <c r="AH698">
        <v>1</v>
      </c>
      <c r="AI698">
        <v>1</v>
      </c>
      <c r="AJ698">
        <v>0</v>
      </c>
      <c r="AK698">
        <v>420.1</v>
      </c>
      <c r="AN698" t="s">
        <v>2926</v>
      </c>
      <c r="AO698">
        <v>51000</v>
      </c>
      <c r="AU698">
        <v>12</v>
      </c>
      <c r="AV698" t="s">
        <v>210</v>
      </c>
      <c r="AW698" t="s">
        <v>3079</v>
      </c>
    </row>
    <row r="699" spans="1:50">
      <c r="A699" s="1" t="s">
        <v>82</v>
      </c>
      <c r="B699" t="s">
        <v>163</v>
      </c>
      <c r="C699" t="s">
        <v>3909</v>
      </c>
      <c r="D699" t="s">
        <v>210</v>
      </c>
      <c r="F699" t="s">
        <v>6812</v>
      </c>
      <c r="G699" t="s">
        <v>853</v>
      </c>
      <c r="H699" t="s">
        <v>9420</v>
      </c>
      <c r="I699" t="s">
        <v>1628</v>
      </c>
      <c r="J699" t="s">
        <v>1644</v>
      </c>
      <c r="K699">
        <v>11233</v>
      </c>
      <c r="L699" t="s">
        <v>1670</v>
      </c>
      <c r="M699" t="s">
        <v>1671</v>
      </c>
      <c r="N699" t="s">
        <v>1691</v>
      </c>
      <c r="O699" t="s">
        <v>1938</v>
      </c>
      <c r="P699" t="s">
        <v>1961</v>
      </c>
      <c r="R699" t="s">
        <v>50</v>
      </c>
      <c r="S699" t="s">
        <v>1670</v>
      </c>
      <c r="U699" t="s">
        <v>1972</v>
      </c>
      <c r="V699" t="s">
        <v>1984</v>
      </c>
      <c r="W699" t="s">
        <v>248</v>
      </c>
      <c r="X699">
        <v>1027</v>
      </c>
      <c r="Y699" t="s">
        <v>2009</v>
      </c>
      <c r="Z699" t="s">
        <v>2025</v>
      </c>
      <c r="AB699" t="s">
        <v>13552</v>
      </c>
      <c r="AC699" t="s">
        <v>1691</v>
      </c>
      <c r="AE699">
        <v>359</v>
      </c>
      <c r="AF699" t="s">
        <v>2902</v>
      </c>
      <c r="AG699" t="s">
        <v>1754</v>
      </c>
      <c r="AH699">
        <v>7</v>
      </c>
      <c r="AI699">
        <v>2</v>
      </c>
      <c r="AJ699">
        <v>0</v>
      </c>
      <c r="AK699">
        <v>420.19</v>
      </c>
      <c r="AN699" t="s">
        <v>2926</v>
      </c>
      <c r="AO699">
        <v>71054</v>
      </c>
      <c r="AP699" t="s">
        <v>18188</v>
      </c>
      <c r="AU699" t="s">
        <v>13051</v>
      </c>
      <c r="AW699" t="s">
        <v>3060</v>
      </c>
      <c r="AX699" t="s">
        <v>1754</v>
      </c>
    </row>
    <row r="700" spans="1:50">
      <c r="A700" s="1" t="s">
        <v>135</v>
      </c>
      <c r="B700" t="s">
        <v>163</v>
      </c>
      <c r="C700" t="s">
        <v>3910</v>
      </c>
      <c r="D700" t="s">
        <v>242</v>
      </c>
      <c r="F700" t="s">
        <v>460</v>
      </c>
      <c r="G700" t="s">
        <v>8212</v>
      </c>
      <c r="H700" t="s">
        <v>9425</v>
      </c>
      <c r="I700" t="s">
        <v>1619</v>
      </c>
      <c r="J700" t="s">
        <v>1644</v>
      </c>
      <c r="K700">
        <v>11216</v>
      </c>
      <c r="L700" t="s">
        <v>1670</v>
      </c>
      <c r="M700" t="s">
        <v>1670</v>
      </c>
      <c r="N700" t="s">
        <v>1675</v>
      </c>
      <c r="O700" t="s">
        <v>1937</v>
      </c>
      <c r="P700" t="s">
        <v>1962</v>
      </c>
      <c r="R700" t="s">
        <v>50</v>
      </c>
      <c r="U700" t="s">
        <v>1972</v>
      </c>
      <c r="W700" t="s">
        <v>209</v>
      </c>
      <c r="X700">
        <v>1088</v>
      </c>
      <c r="Y700" t="s">
        <v>2009</v>
      </c>
      <c r="Z700" t="s">
        <v>2016</v>
      </c>
      <c r="AB700" t="s">
        <v>13553</v>
      </c>
      <c r="AE700">
        <v>82</v>
      </c>
      <c r="AF700" t="s">
        <v>2902</v>
      </c>
      <c r="AG700" t="s">
        <v>1754</v>
      </c>
      <c r="AH700" t="s">
        <v>13051</v>
      </c>
      <c r="AI700">
        <v>1</v>
      </c>
      <c r="AJ700">
        <v>0</v>
      </c>
      <c r="AK700">
        <v>428.34</v>
      </c>
      <c r="AL700" t="s">
        <v>218</v>
      </c>
      <c r="AM700" t="s">
        <v>18031</v>
      </c>
      <c r="AN700" t="s">
        <v>2926</v>
      </c>
      <c r="AO700">
        <v>52000</v>
      </c>
      <c r="AP700" t="s">
        <v>18069</v>
      </c>
      <c r="AU700" t="s">
        <v>13051</v>
      </c>
      <c r="AW700" t="s">
        <v>3060</v>
      </c>
    </row>
    <row r="701" spans="1:50">
      <c r="A701" s="1" t="s">
        <v>135</v>
      </c>
      <c r="B701" t="s">
        <v>163</v>
      </c>
      <c r="C701" t="s">
        <v>3911</v>
      </c>
      <c r="D701" t="s">
        <v>242</v>
      </c>
      <c r="F701" t="s">
        <v>460</v>
      </c>
      <c r="G701" t="s">
        <v>8212</v>
      </c>
      <c r="H701" t="s">
        <v>9425</v>
      </c>
      <c r="I701" t="s">
        <v>1619</v>
      </c>
      <c r="J701" t="s">
        <v>1644</v>
      </c>
      <c r="K701">
        <v>11216</v>
      </c>
      <c r="L701" t="s">
        <v>1670</v>
      </c>
      <c r="M701" t="s">
        <v>1670</v>
      </c>
      <c r="O701" t="s">
        <v>1952</v>
      </c>
      <c r="P701" t="s">
        <v>1960</v>
      </c>
      <c r="R701" t="s">
        <v>50</v>
      </c>
      <c r="U701" t="s">
        <v>1972</v>
      </c>
      <c r="W701" t="s">
        <v>209</v>
      </c>
      <c r="X701">
        <v>1088</v>
      </c>
      <c r="Y701" t="s">
        <v>2009</v>
      </c>
      <c r="Z701" t="s">
        <v>2016</v>
      </c>
      <c r="AB701" t="s">
        <v>13553</v>
      </c>
      <c r="AE701">
        <v>82</v>
      </c>
      <c r="AF701" t="s">
        <v>2902</v>
      </c>
      <c r="AG701" t="s">
        <v>1754</v>
      </c>
      <c r="AH701" t="s">
        <v>13051</v>
      </c>
      <c r="AI701">
        <v>1</v>
      </c>
      <c r="AJ701">
        <v>0</v>
      </c>
      <c r="AK701">
        <v>428.34</v>
      </c>
      <c r="AL701" t="s">
        <v>218</v>
      </c>
      <c r="AM701" t="s">
        <v>18031</v>
      </c>
      <c r="AN701" t="s">
        <v>2926</v>
      </c>
      <c r="AO701">
        <v>52000</v>
      </c>
      <c r="AP701" t="s">
        <v>18069</v>
      </c>
      <c r="AU701" t="s">
        <v>13051</v>
      </c>
      <c r="AW701" t="s">
        <v>3060</v>
      </c>
    </row>
    <row r="702" spans="1:50">
      <c r="A702" s="1" t="s">
        <v>126</v>
      </c>
      <c r="B702" t="s">
        <v>163</v>
      </c>
      <c r="C702" t="s">
        <v>3912</v>
      </c>
      <c r="D702" t="s">
        <v>245</v>
      </c>
      <c r="F702" t="s">
        <v>6782</v>
      </c>
      <c r="G702" t="s">
        <v>8213</v>
      </c>
      <c r="H702" t="s">
        <v>9627</v>
      </c>
      <c r="I702" t="s">
        <v>11104</v>
      </c>
      <c r="J702" t="s">
        <v>1641</v>
      </c>
      <c r="K702">
        <v>10451</v>
      </c>
      <c r="L702" t="s">
        <v>1670</v>
      </c>
      <c r="M702" t="s">
        <v>1670</v>
      </c>
      <c r="N702" t="s">
        <v>11981</v>
      </c>
      <c r="O702" t="s">
        <v>1939</v>
      </c>
      <c r="P702" t="s">
        <v>1960</v>
      </c>
      <c r="R702" t="s">
        <v>50</v>
      </c>
      <c r="S702" t="s">
        <v>1670</v>
      </c>
      <c r="U702" t="s">
        <v>1972</v>
      </c>
      <c r="W702" t="s">
        <v>359</v>
      </c>
      <c r="X702">
        <v>1010</v>
      </c>
      <c r="Y702" t="s">
        <v>2006</v>
      </c>
      <c r="Z702" t="s">
        <v>2015</v>
      </c>
      <c r="AB702" t="s">
        <v>13554</v>
      </c>
      <c r="AD702" t="s">
        <v>16060</v>
      </c>
      <c r="AE702">
        <v>100</v>
      </c>
      <c r="AF702" t="s">
        <v>2902</v>
      </c>
      <c r="AG702" t="s">
        <v>1754</v>
      </c>
      <c r="AH702">
        <v>5</v>
      </c>
      <c r="AI702">
        <v>1</v>
      </c>
      <c r="AJ702">
        <v>0</v>
      </c>
      <c r="AK702">
        <v>428.34</v>
      </c>
      <c r="AN702" t="s">
        <v>2926</v>
      </c>
      <c r="AO702">
        <v>52000</v>
      </c>
      <c r="AU702">
        <v>4</v>
      </c>
      <c r="AV702" t="s">
        <v>309</v>
      </c>
      <c r="AW702" t="s">
        <v>3047</v>
      </c>
    </row>
    <row r="703" spans="1:50">
      <c r="A703" s="1" t="s">
        <v>91</v>
      </c>
      <c r="B703" t="s">
        <v>164</v>
      </c>
      <c r="C703" t="s">
        <v>3913</v>
      </c>
      <c r="D703" t="s">
        <v>332</v>
      </c>
      <c r="E703" t="s">
        <v>285</v>
      </c>
      <c r="F703" t="s">
        <v>741</v>
      </c>
      <c r="G703" t="s">
        <v>8214</v>
      </c>
      <c r="H703" t="s">
        <v>9668</v>
      </c>
      <c r="I703" t="s">
        <v>11105</v>
      </c>
      <c r="J703" t="s">
        <v>1643</v>
      </c>
      <c r="K703">
        <v>10040</v>
      </c>
      <c r="L703" t="s">
        <v>1670</v>
      </c>
      <c r="M703" t="s">
        <v>1670</v>
      </c>
      <c r="O703" t="s">
        <v>1941</v>
      </c>
      <c r="P703" t="s">
        <v>1958</v>
      </c>
      <c r="Q703" t="s">
        <v>1965</v>
      </c>
      <c r="R703" t="s">
        <v>50</v>
      </c>
      <c r="U703" t="s">
        <v>1972</v>
      </c>
      <c r="W703" t="s">
        <v>332</v>
      </c>
      <c r="X703">
        <v>1072.59</v>
      </c>
      <c r="Y703" t="s">
        <v>2008</v>
      </c>
      <c r="Z703" t="s">
        <v>2020</v>
      </c>
      <c r="AA703" t="s">
        <v>2029</v>
      </c>
      <c r="AB703" t="s">
        <v>13555</v>
      </c>
      <c r="AD703" t="s">
        <v>16061</v>
      </c>
      <c r="AE703" t="s">
        <v>13051</v>
      </c>
      <c r="AF703" t="s">
        <v>2902</v>
      </c>
      <c r="AG703" t="s">
        <v>1754</v>
      </c>
      <c r="AH703">
        <v>14</v>
      </c>
      <c r="AI703">
        <v>2</v>
      </c>
      <c r="AJ703">
        <v>0</v>
      </c>
      <c r="AK703">
        <v>431.35</v>
      </c>
      <c r="AN703" t="s">
        <v>2927</v>
      </c>
      <c r="AO703">
        <v>71000</v>
      </c>
      <c r="AU703">
        <v>1.6</v>
      </c>
      <c r="AV703" t="s">
        <v>271</v>
      </c>
      <c r="AW703" t="s">
        <v>3042</v>
      </c>
    </row>
    <row r="704" spans="1:50">
      <c r="A704" s="1" t="s">
        <v>94</v>
      </c>
      <c r="B704" t="s">
        <v>164</v>
      </c>
      <c r="C704" t="s">
        <v>3914</v>
      </c>
      <c r="D704" t="s">
        <v>286</v>
      </c>
      <c r="E704" t="s">
        <v>337</v>
      </c>
      <c r="F704" t="s">
        <v>423</v>
      </c>
      <c r="G704" t="s">
        <v>8066</v>
      </c>
      <c r="H704" t="s">
        <v>9637</v>
      </c>
      <c r="I704" t="s">
        <v>1517</v>
      </c>
      <c r="J704" t="s">
        <v>1643</v>
      </c>
      <c r="K704">
        <v>10033</v>
      </c>
      <c r="L704" t="s">
        <v>1670</v>
      </c>
      <c r="M704" t="s">
        <v>1670</v>
      </c>
      <c r="O704" t="s">
        <v>1941</v>
      </c>
      <c r="P704" t="s">
        <v>1958</v>
      </c>
      <c r="Q704" t="s">
        <v>1965</v>
      </c>
      <c r="R704" t="s">
        <v>50</v>
      </c>
      <c r="S704" t="s">
        <v>1670</v>
      </c>
      <c r="U704" t="s">
        <v>1972</v>
      </c>
      <c r="W704" t="s">
        <v>286</v>
      </c>
      <c r="X704">
        <v>1700</v>
      </c>
      <c r="Y704" t="s">
        <v>2008</v>
      </c>
      <c r="Z704" t="s">
        <v>2028</v>
      </c>
      <c r="AA704" t="s">
        <v>2029</v>
      </c>
      <c r="AB704" t="s">
        <v>13556</v>
      </c>
      <c r="AE704">
        <v>60</v>
      </c>
      <c r="AF704" t="s">
        <v>2902</v>
      </c>
      <c r="AG704" t="s">
        <v>1754</v>
      </c>
      <c r="AH704">
        <v>16</v>
      </c>
      <c r="AI704">
        <v>2</v>
      </c>
      <c r="AJ704">
        <v>0</v>
      </c>
      <c r="AK704">
        <v>431.7</v>
      </c>
      <c r="AL704" t="s">
        <v>303</v>
      </c>
      <c r="AM704" t="s">
        <v>18031</v>
      </c>
      <c r="AN704" t="s">
        <v>2926</v>
      </c>
      <c r="AO704">
        <v>73000</v>
      </c>
      <c r="AU704">
        <v>0.01</v>
      </c>
      <c r="AV704" t="s">
        <v>337</v>
      </c>
      <c r="AW704" t="s">
        <v>3042</v>
      </c>
      <c r="AX704" t="s">
        <v>18685</v>
      </c>
    </row>
    <row r="705" spans="1:50">
      <c r="A705" s="1" t="s">
        <v>82</v>
      </c>
      <c r="B705" t="s">
        <v>163</v>
      </c>
      <c r="C705" t="s">
        <v>3915</v>
      </c>
      <c r="D705" t="s">
        <v>294</v>
      </c>
      <c r="F705" t="s">
        <v>7126</v>
      </c>
      <c r="G705" t="s">
        <v>8145</v>
      </c>
      <c r="H705" t="s">
        <v>9420</v>
      </c>
      <c r="I705" t="s">
        <v>1520</v>
      </c>
      <c r="J705" t="s">
        <v>1644</v>
      </c>
      <c r="K705">
        <v>11233</v>
      </c>
      <c r="L705" t="s">
        <v>1670</v>
      </c>
      <c r="M705" t="s">
        <v>1671</v>
      </c>
      <c r="O705" t="s">
        <v>1937</v>
      </c>
      <c r="P705" t="s">
        <v>1962</v>
      </c>
      <c r="R705" t="s">
        <v>50</v>
      </c>
      <c r="S705" t="s">
        <v>1670</v>
      </c>
      <c r="U705" t="s">
        <v>1972</v>
      </c>
      <c r="V705" t="s">
        <v>1984</v>
      </c>
      <c r="W705" t="s">
        <v>221</v>
      </c>
      <c r="X705">
        <v>1016</v>
      </c>
      <c r="Y705" t="s">
        <v>2009</v>
      </c>
      <c r="Z705" t="s">
        <v>2025</v>
      </c>
      <c r="AB705" t="s">
        <v>13557</v>
      </c>
      <c r="AE705">
        <v>359</v>
      </c>
      <c r="AF705" t="s">
        <v>2902</v>
      </c>
      <c r="AG705" t="s">
        <v>1754</v>
      </c>
      <c r="AH705">
        <v>30</v>
      </c>
      <c r="AI705">
        <v>2</v>
      </c>
      <c r="AJ705">
        <v>0</v>
      </c>
      <c r="AK705">
        <v>435.02</v>
      </c>
      <c r="AN705" t="s">
        <v>2926</v>
      </c>
      <c r="AO705">
        <v>73562</v>
      </c>
      <c r="AP705" t="s">
        <v>18189</v>
      </c>
      <c r="AU705" t="s">
        <v>13051</v>
      </c>
      <c r="AW705" t="s">
        <v>3059</v>
      </c>
    </row>
    <row r="706" spans="1:50">
      <c r="A706" s="1" t="s">
        <v>82</v>
      </c>
      <c r="B706" t="s">
        <v>163</v>
      </c>
      <c r="C706" t="s">
        <v>3916</v>
      </c>
      <c r="D706" t="s">
        <v>210</v>
      </c>
      <c r="F706" t="s">
        <v>7126</v>
      </c>
      <c r="G706" t="s">
        <v>8145</v>
      </c>
      <c r="H706" t="s">
        <v>9420</v>
      </c>
      <c r="I706" t="s">
        <v>1520</v>
      </c>
      <c r="J706" t="s">
        <v>1644</v>
      </c>
      <c r="K706">
        <v>11233</v>
      </c>
      <c r="L706" t="s">
        <v>1670</v>
      </c>
      <c r="M706" t="s">
        <v>1671</v>
      </c>
      <c r="N706" t="s">
        <v>1754</v>
      </c>
      <c r="O706" t="s">
        <v>1938</v>
      </c>
      <c r="P706" t="s">
        <v>1961</v>
      </c>
      <c r="R706" t="s">
        <v>50</v>
      </c>
      <c r="S706" t="s">
        <v>1670</v>
      </c>
      <c r="U706" t="s">
        <v>1972</v>
      </c>
      <c r="V706" t="s">
        <v>1984</v>
      </c>
      <c r="W706" t="s">
        <v>248</v>
      </c>
      <c r="X706">
        <v>1016</v>
      </c>
      <c r="Y706" t="s">
        <v>2009</v>
      </c>
      <c r="Z706" t="s">
        <v>2025</v>
      </c>
      <c r="AB706" t="s">
        <v>13557</v>
      </c>
      <c r="AE706">
        <v>359</v>
      </c>
      <c r="AF706" t="s">
        <v>2902</v>
      </c>
      <c r="AG706" t="s">
        <v>1754</v>
      </c>
      <c r="AH706">
        <v>30</v>
      </c>
      <c r="AI706">
        <v>2</v>
      </c>
      <c r="AJ706">
        <v>0</v>
      </c>
      <c r="AK706">
        <v>435.02</v>
      </c>
      <c r="AN706" t="s">
        <v>2926</v>
      </c>
      <c r="AO706">
        <v>73562</v>
      </c>
      <c r="AP706" t="s">
        <v>18190</v>
      </c>
      <c r="AU706" t="s">
        <v>13051</v>
      </c>
      <c r="AW706" t="s">
        <v>3060</v>
      </c>
    </row>
    <row r="707" spans="1:50">
      <c r="A707" s="1" t="s">
        <v>133</v>
      </c>
      <c r="B707" t="s">
        <v>163</v>
      </c>
      <c r="C707" t="s">
        <v>3917</v>
      </c>
      <c r="D707" t="s">
        <v>252</v>
      </c>
      <c r="F707" t="s">
        <v>7127</v>
      </c>
      <c r="G707" t="s">
        <v>8215</v>
      </c>
      <c r="H707" t="s">
        <v>1380</v>
      </c>
      <c r="I707" t="s">
        <v>11101</v>
      </c>
      <c r="J707" t="s">
        <v>1644</v>
      </c>
      <c r="K707">
        <v>11213</v>
      </c>
      <c r="L707" t="s">
        <v>1670</v>
      </c>
      <c r="M707" t="s">
        <v>1670</v>
      </c>
      <c r="N707" t="s">
        <v>1675</v>
      </c>
      <c r="O707" t="s">
        <v>1939</v>
      </c>
      <c r="P707" t="s">
        <v>1960</v>
      </c>
      <c r="R707" t="s">
        <v>50</v>
      </c>
      <c r="S707" t="s">
        <v>1670</v>
      </c>
      <c r="U707" t="s">
        <v>1972</v>
      </c>
      <c r="V707" t="s">
        <v>1984</v>
      </c>
      <c r="W707" t="s">
        <v>13041</v>
      </c>
      <c r="X707">
        <v>1169.88</v>
      </c>
      <c r="Y707" t="s">
        <v>2009</v>
      </c>
      <c r="Z707" t="s">
        <v>2015</v>
      </c>
      <c r="AB707" t="s">
        <v>13558</v>
      </c>
      <c r="AC707" t="s">
        <v>1754</v>
      </c>
      <c r="AD707" t="s">
        <v>16062</v>
      </c>
      <c r="AE707">
        <v>35</v>
      </c>
      <c r="AF707" t="s">
        <v>2902</v>
      </c>
      <c r="AG707" t="s">
        <v>1754</v>
      </c>
      <c r="AH707">
        <v>5</v>
      </c>
      <c r="AI707">
        <v>2</v>
      </c>
      <c r="AJ707">
        <v>0</v>
      </c>
      <c r="AK707">
        <v>437.42</v>
      </c>
      <c r="AM707" t="s">
        <v>18032</v>
      </c>
      <c r="AN707" t="s">
        <v>2926</v>
      </c>
      <c r="AO707">
        <v>72000</v>
      </c>
      <c r="AU707">
        <v>0.1</v>
      </c>
      <c r="AV707" t="s">
        <v>328</v>
      </c>
      <c r="AW707" t="s">
        <v>3060</v>
      </c>
    </row>
    <row r="708" spans="1:50">
      <c r="A708" s="1" t="s">
        <v>82</v>
      </c>
      <c r="B708" t="s">
        <v>163</v>
      </c>
      <c r="C708" t="s">
        <v>3918</v>
      </c>
      <c r="D708" t="s">
        <v>181</v>
      </c>
      <c r="F708" t="s">
        <v>7128</v>
      </c>
      <c r="G708" t="s">
        <v>8216</v>
      </c>
      <c r="H708" t="s">
        <v>9420</v>
      </c>
      <c r="I708" t="s">
        <v>1637</v>
      </c>
      <c r="J708" t="s">
        <v>1644</v>
      </c>
      <c r="K708">
        <v>11233</v>
      </c>
      <c r="L708" t="s">
        <v>1670</v>
      </c>
      <c r="M708" t="s">
        <v>1671</v>
      </c>
      <c r="O708" t="s">
        <v>1937</v>
      </c>
      <c r="P708" t="s">
        <v>1962</v>
      </c>
      <c r="R708" t="s">
        <v>50</v>
      </c>
      <c r="S708" t="s">
        <v>1670</v>
      </c>
      <c r="U708" t="s">
        <v>1972</v>
      </c>
      <c r="V708" t="s">
        <v>1984</v>
      </c>
      <c r="W708" t="s">
        <v>221</v>
      </c>
      <c r="X708">
        <v>1520</v>
      </c>
      <c r="Y708" t="s">
        <v>2009</v>
      </c>
      <c r="Z708" t="s">
        <v>2025</v>
      </c>
      <c r="AB708" t="s">
        <v>13559</v>
      </c>
      <c r="AE708">
        <v>359</v>
      </c>
      <c r="AF708" t="s">
        <v>2902</v>
      </c>
      <c r="AG708" t="s">
        <v>1754</v>
      </c>
      <c r="AH708">
        <v>2</v>
      </c>
      <c r="AI708">
        <v>2</v>
      </c>
      <c r="AJ708">
        <v>0</v>
      </c>
      <c r="AK708">
        <v>437.61</v>
      </c>
      <c r="AN708" t="s">
        <v>2926</v>
      </c>
      <c r="AO708">
        <v>74000</v>
      </c>
      <c r="AP708" t="s">
        <v>18191</v>
      </c>
      <c r="AU708" t="s">
        <v>13051</v>
      </c>
      <c r="AW708" t="s">
        <v>3059</v>
      </c>
    </row>
    <row r="709" spans="1:50">
      <c r="A709" s="1" t="s">
        <v>82</v>
      </c>
      <c r="B709" t="s">
        <v>163</v>
      </c>
      <c r="C709" t="s">
        <v>3919</v>
      </c>
      <c r="D709" t="s">
        <v>210</v>
      </c>
      <c r="F709" t="s">
        <v>7128</v>
      </c>
      <c r="G709" t="s">
        <v>8216</v>
      </c>
      <c r="H709" t="s">
        <v>9420</v>
      </c>
      <c r="I709" t="s">
        <v>1637</v>
      </c>
      <c r="J709" t="s">
        <v>1644</v>
      </c>
      <c r="K709">
        <v>11233</v>
      </c>
      <c r="L709" t="s">
        <v>1670</v>
      </c>
      <c r="M709" t="s">
        <v>1671</v>
      </c>
      <c r="N709" t="s">
        <v>1675</v>
      </c>
      <c r="O709" t="s">
        <v>1938</v>
      </c>
      <c r="P709" t="s">
        <v>1961</v>
      </c>
      <c r="R709" t="s">
        <v>50</v>
      </c>
      <c r="S709" t="s">
        <v>1670</v>
      </c>
      <c r="U709" t="s">
        <v>1972</v>
      </c>
      <c r="V709" t="s">
        <v>1984</v>
      </c>
      <c r="W709" t="s">
        <v>248</v>
      </c>
      <c r="X709">
        <v>1520</v>
      </c>
      <c r="Y709" t="s">
        <v>2009</v>
      </c>
      <c r="Z709" t="s">
        <v>2025</v>
      </c>
      <c r="AB709" t="s">
        <v>13559</v>
      </c>
      <c r="AE709">
        <v>359</v>
      </c>
      <c r="AF709" t="s">
        <v>2902</v>
      </c>
      <c r="AG709" t="s">
        <v>1754</v>
      </c>
      <c r="AH709">
        <v>2</v>
      </c>
      <c r="AI709">
        <v>2</v>
      </c>
      <c r="AJ709">
        <v>0</v>
      </c>
      <c r="AK709">
        <v>437.61</v>
      </c>
      <c r="AN709" t="s">
        <v>2926</v>
      </c>
      <c r="AO709">
        <v>74000</v>
      </c>
      <c r="AP709" t="s">
        <v>18192</v>
      </c>
      <c r="AU709" t="s">
        <v>13051</v>
      </c>
      <c r="AW709" t="s">
        <v>3060</v>
      </c>
    </row>
    <row r="710" spans="1:50">
      <c r="A710" s="1" t="s">
        <v>82</v>
      </c>
      <c r="B710" t="s">
        <v>163</v>
      </c>
      <c r="C710" t="s">
        <v>3920</v>
      </c>
      <c r="D710" t="s">
        <v>181</v>
      </c>
      <c r="F710" t="s">
        <v>570</v>
      </c>
      <c r="G710" t="s">
        <v>8217</v>
      </c>
      <c r="H710" t="s">
        <v>9420</v>
      </c>
      <c r="I710" t="s">
        <v>11106</v>
      </c>
      <c r="J710" t="s">
        <v>1644</v>
      </c>
      <c r="K710">
        <v>11233</v>
      </c>
      <c r="L710" t="s">
        <v>1670</v>
      </c>
      <c r="M710" t="s">
        <v>1671</v>
      </c>
      <c r="O710" t="s">
        <v>1937</v>
      </c>
      <c r="P710" t="s">
        <v>1962</v>
      </c>
      <c r="R710" t="s">
        <v>50</v>
      </c>
      <c r="S710" t="s">
        <v>1670</v>
      </c>
      <c r="U710" t="s">
        <v>1972</v>
      </c>
      <c r="V710" t="s">
        <v>1984</v>
      </c>
      <c r="W710" t="s">
        <v>221</v>
      </c>
      <c r="X710">
        <v>1094.88</v>
      </c>
      <c r="Y710" t="s">
        <v>2009</v>
      </c>
      <c r="Z710" t="s">
        <v>2017</v>
      </c>
      <c r="AB710" t="s">
        <v>13560</v>
      </c>
      <c r="AE710">
        <v>359</v>
      </c>
      <c r="AF710" t="s">
        <v>2902</v>
      </c>
      <c r="AG710" t="s">
        <v>1754</v>
      </c>
      <c r="AH710">
        <v>40</v>
      </c>
      <c r="AI710">
        <v>1</v>
      </c>
      <c r="AJ710">
        <v>0</v>
      </c>
      <c r="AK710">
        <v>440.35</v>
      </c>
      <c r="AN710" t="s">
        <v>2926</v>
      </c>
      <c r="AO710">
        <v>55000</v>
      </c>
      <c r="AP710" t="s">
        <v>18193</v>
      </c>
      <c r="AU710" t="s">
        <v>13051</v>
      </c>
      <c r="AW710" t="s">
        <v>3059</v>
      </c>
    </row>
    <row r="711" spans="1:50">
      <c r="A711" s="1" t="s">
        <v>91</v>
      </c>
      <c r="B711" t="s">
        <v>163</v>
      </c>
      <c r="C711" t="s">
        <v>3921</v>
      </c>
      <c r="D711" t="s">
        <v>171</v>
      </c>
      <c r="F711" t="s">
        <v>526</v>
      </c>
      <c r="G711" t="s">
        <v>8218</v>
      </c>
      <c r="H711" t="s">
        <v>9669</v>
      </c>
      <c r="I711" t="s">
        <v>1575</v>
      </c>
      <c r="J711" t="s">
        <v>1643</v>
      </c>
      <c r="K711">
        <v>10034</v>
      </c>
      <c r="L711" t="s">
        <v>1670</v>
      </c>
      <c r="M711" t="s">
        <v>1672</v>
      </c>
      <c r="O711" t="s">
        <v>1675</v>
      </c>
      <c r="P711" t="s">
        <v>1962</v>
      </c>
      <c r="R711" t="s">
        <v>50</v>
      </c>
      <c r="S711" t="s">
        <v>1671</v>
      </c>
      <c r="U711" t="s">
        <v>1972</v>
      </c>
      <c r="W711" t="s">
        <v>171</v>
      </c>
      <c r="X711">
        <v>1625</v>
      </c>
      <c r="Y711" t="s">
        <v>2008</v>
      </c>
      <c r="Z711" t="s">
        <v>2013</v>
      </c>
      <c r="AB711" t="s">
        <v>13561</v>
      </c>
      <c r="AD711" t="s">
        <v>16063</v>
      </c>
      <c r="AE711">
        <v>28</v>
      </c>
      <c r="AF711" t="s">
        <v>2902</v>
      </c>
      <c r="AG711" t="s">
        <v>1754</v>
      </c>
      <c r="AH711">
        <v>1</v>
      </c>
      <c r="AI711">
        <v>1</v>
      </c>
      <c r="AJ711">
        <v>0</v>
      </c>
      <c r="AK711">
        <v>440.35</v>
      </c>
      <c r="AN711" t="s">
        <v>2926</v>
      </c>
      <c r="AO711">
        <v>55000</v>
      </c>
      <c r="AU711">
        <v>1.3</v>
      </c>
      <c r="AV711" t="s">
        <v>389</v>
      </c>
      <c r="AW711" t="s">
        <v>3042</v>
      </c>
      <c r="AX711" t="s">
        <v>18685</v>
      </c>
    </row>
    <row r="712" spans="1:50">
      <c r="A712" s="1" t="s">
        <v>82</v>
      </c>
      <c r="B712" t="s">
        <v>163</v>
      </c>
      <c r="C712" t="s">
        <v>3922</v>
      </c>
      <c r="D712" t="s">
        <v>210</v>
      </c>
      <c r="F712" t="s">
        <v>570</v>
      </c>
      <c r="G712" t="s">
        <v>8217</v>
      </c>
      <c r="H712" t="s">
        <v>9420</v>
      </c>
      <c r="I712" t="s">
        <v>11106</v>
      </c>
      <c r="J712" t="s">
        <v>1644</v>
      </c>
      <c r="K712">
        <v>11233</v>
      </c>
      <c r="L712" t="s">
        <v>1670</v>
      </c>
      <c r="M712" t="s">
        <v>1671</v>
      </c>
      <c r="O712" t="s">
        <v>1938</v>
      </c>
      <c r="P712" t="s">
        <v>1961</v>
      </c>
      <c r="R712" t="s">
        <v>50</v>
      </c>
      <c r="S712" t="s">
        <v>1670</v>
      </c>
      <c r="U712" t="s">
        <v>1972</v>
      </c>
      <c r="V712" t="s">
        <v>1984</v>
      </c>
      <c r="W712" t="s">
        <v>248</v>
      </c>
      <c r="X712">
        <v>1094.88</v>
      </c>
      <c r="Y712" t="s">
        <v>2009</v>
      </c>
      <c r="Z712" t="s">
        <v>2017</v>
      </c>
      <c r="AB712" t="s">
        <v>13560</v>
      </c>
      <c r="AE712">
        <v>359</v>
      </c>
      <c r="AF712" t="s">
        <v>2902</v>
      </c>
      <c r="AG712" t="s">
        <v>1754</v>
      </c>
      <c r="AH712">
        <v>40</v>
      </c>
      <c r="AI712">
        <v>1</v>
      </c>
      <c r="AJ712">
        <v>0</v>
      </c>
      <c r="AK712">
        <v>440.35</v>
      </c>
      <c r="AN712" t="s">
        <v>2926</v>
      </c>
      <c r="AO712">
        <v>55000</v>
      </c>
      <c r="AP712" t="s">
        <v>18071</v>
      </c>
      <c r="AU712" t="s">
        <v>13051</v>
      </c>
      <c r="AW712" t="s">
        <v>3059</v>
      </c>
    </row>
    <row r="713" spans="1:50">
      <c r="A713" s="1" t="s">
        <v>82</v>
      </c>
      <c r="B713" t="s">
        <v>163</v>
      </c>
      <c r="C713" t="s">
        <v>3923</v>
      </c>
      <c r="D713" t="s">
        <v>181</v>
      </c>
      <c r="F713" t="s">
        <v>7129</v>
      </c>
      <c r="G713" t="s">
        <v>8219</v>
      </c>
      <c r="H713" t="s">
        <v>9420</v>
      </c>
      <c r="I713" t="s">
        <v>11107</v>
      </c>
      <c r="J713" t="s">
        <v>1644</v>
      </c>
      <c r="K713">
        <v>11233</v>
      </c>
      <c r="L713" t="s">
        <v>1670</v>
      </c>
      <c r="M713" t="s">
        <v>1671</v>
      </c>
      <c r="O713" t="s">
        <v>1937</v>
      </c>
      <c r="P713" t="s">
        <v>1962</v>
      </c>
      <c r="R713" t="s">
        <v>50</v>
      </c>
      <c r="S713" t="s">
        <v>1670</v>
      </c>
      <c r="U713" t="s">
        <v>1972</v>
      </c>
      <c r="V713" t="s">
        <v>1984</v>
      </c>
      <c r="W713" t="s">
        <v>221</v>
      </c>
      <c r="X713">
        <v>1077</v>
      </c>
      <c r="Y713" t="s">
        <v>2009</v>
      </c>
      <c r="Z713" t="s">
        <v>2025</v>
      </c>
      <c r="AB713" t="s">
        <v>13140</v>
      </c>
      <c r="AE713">
        <v>359</v>
      </c>
      <c r="AF713" t="s">
        <v>2902</v>
      </c>
      <c r="AG713" t="s">
        <v>1754</v>
      </c>
      <c r="AH713">
        <v>12</v>
      </c>
      <c r="AI713">
        <v>2</v>
      </c>
      <c r="AJ713">
        <v>2</v>
      </c>
      <c r="AK713">
        <v>446.6</v>
      </c>
      <c r="AN713" t="s">
        <v>2926</v>
      </c>
      <c r="AO713">
        <v>115000</v>
      </c>
      <c r="AP713" t="s">
        <v>18194</v>
      </c>
      <c r="AU713" t="s">
        <v>13051</v>
      </c>
      <c r="AW713" t="s">
        <v>3059</v>
      </c>
    </row>
    <row r="714" spans="1:50">
      <c r="A714" s="1" t="s">
        <v>82</v>
      </c>
      <c r="B714" t="s">
        <v>163</v>
      </c>
      <c r="C714" t="s">
        <v>3924</v>
      </c>
      <c r="D714" t="s">
        <v>210</v>
      </c>
      <c r="F714" t="s">
        <v>7129</v>
      </c>
      <c r="G714" t="s">
        <v>8219</v>
      </c>
      <c r="H714" t="s">
        <v>9420</v>
      </c>
      <c r="I714" t="s">
        <v>11107</v>
      </c>
      <c r="J714" t="s">
        <v>1644</v>
      </c>
      <c r="K714">
        <v>11233</v>
      </c>
      <c r="L714" t="s">
        <v>1670</v>
      </c>
      <c r="M714" t="s">
        <v>1671</v>
      </c>
      <c r="N714" t="s">
        <v>1675</v>
      </c>
      <c r="O714" t="s">
        <v>1938</v>
      </c>
      <c r="P714" t="s">
        <v>1961</v>
      </c>
      <c r="R714" t="s">
        <v>50</v>
      </c>
      <c r="S714" t="s">
        <v>1670</v>
      </c>
      <c r="U714" t="s">
        <v>1972</v>
      </c>
      <c r="V714" t="s">
        <v>1984</v>
      </c>
      <c r="W714" t="s">
        <v>248</v>
      </c>
      <c r="X714">
        <v>1077</v>
      </c>
      <c r="Y714" t="s">
        <v>2009</v>
      </c>
      <c r="Z714" t="s">
        <v>2025</v>
      </c>
      <c r="AB714" t="s">
        <v>13140</v>
      </c>
      <c r="AE714">
        <v>359</v>
      </c>
      <c r="AF714" t="s">
        <v>2902</v>
      </c>
      <c r="AG714" t="s">
        <v>1754</v>
      </c>
      <c r="AH714">
        <v>12</v>
      </c>
      <c r="AI714">
        <v>2</v>
      </c>
      <c r="AJ714">
        <v>2</v>
      </c>
      <c r="AK714">
        <v>446.6</v>
      </c>
      <c r="AN714" t="s">
        <v>2926</v>
      </c>
      <c r="AO714">
        <v>115000</v>
      </c>
      <c r="AP714" t="s">
        <v>18192</v>
      </c>
      <c r="AU714" t="s">
        <v>13051</v>
      </c>
      <c r="AW714" t="s">
        <v>3060</v>
      </c>
    </row>
    <row r="715" spans="1:50">
      <c r="A715" s="1" t="s">
        <v>118</v>
      </c>
      <c r="B715" t="s">
        <v>163</v>
      </c>
      <c r="C715" t="s">
        <v>3925</v>
      </c>
      <c r="D715" t="s">
        <v>265</v>
      </c>
      <c r="F715" t="s">
        <v>7130</v>
      </c>
      <c r="G715" t="s">
        <v>8220</v>
      </c>
      <c r="H715" t="s">
        <v>9670</v>
      </c>
      <c r="I715" t="s">
        <v>1477</v>
      </c>
      <c r="J715" t="s">
        <v>1641</v>
      </c>
      <c r="K715">
        <v>10467</v>
      </c>
      <c r="L715" t="s">
        <v>1670</v>
      </c>
      <c r="M715" t="s">
        <v>1670</v>
      </c>
      <c r="O715" t="s">
        <v>1675</v>
      </c>
      <c r="P715" t="s">
        <v>1958</v>
      </c>
      <c r="R715" t="s">
        <v>50</v>
      </c>
      <c r="S715" t="s">
        <v>1671</v>
      </c>
      <c r="U715" t="s">
        <v>1972</v>
      </c>
      <c r="W715" t="s">
        <v>265</v>
      </c>
      <c r="X715">
        <v>1164.51</v>
      </c>
      <c r="Y715" t="s">
        <v>2006</v>
      </c>
      <c r="Z715" t="s">
        <v>2015</v>
      </c>
      <c r="AA715" t="s">
        <v>2029</v>
      </c>
      <c r="AB715" t="s">
        <v>13562</v>
      </c>
      <c r="AE715">
        <v>40</v>
      </c>
      <c r="AF715" t="s">
        <v>2902</v>
      </c>
      <c r="AG715" t="s">
        <v>1754</v>
      </c>
      <c r="AH715">
        <v>13</v>
      </c>
      <c r="AI715">
        <v>1</v>
      </c>
      <c r="AJ715">
        <v>0</v>
      </c>
      <c r="AK715">
        <v>448.36</v>
      </c>
      <c r="AN715" t="s">
        <v>2926</v>
      </c>
      <c r="AO715">
        <v>56000</v>
      </c>
      <c r="AU715">
        <v>4.4</v>
      </c>
      <c r="AV715" t="s">
        <v>226</v>
      </c>
      <c r="AW715" t="s">
        <v>115</v>
      </c>
    </row>
    <row r="716" spans="1:50">
      <c r="A716" s="1" t="s">
        <v>125</v>
      </c>
      <c r="B716" t="s">
        <v>163</v>
      </c>
      <c r="C716" t="s">
        <v>3926</v>
      </c>
      <c r="D716" t="s">
        <v>277</v>
      </c>
      <c r="F716" t="s">
        <v>7131</v>
      </c>
      <c r="G716" t="s">
        <v>8221</v>
      </c>
      <c r="H716" t="s">
        <v>9428</v>
      </c>
      <c r="I716" t="s">
        <v>1562</v>
      </c>
      <c r="J716" t="s">
        <v>1644</v>
      </c>
      <c r="K716">
        <v>11226</v>
      </c>
      <c r="L716" t="s">
        <v>1671</v>
      </c>
      <c r="M716" t="s">
        <v>1671</v>
      </c>
      <c r="P716" t="s">
        <v>1959</v>
      </c>
      <c r="R716" t="s">
        <v>50</v>
      </c>
      <c r="U716" t="s">
        <v>1972</v>
      </c>
      <c r="W716" t="s">
        <v>307</v>
      </c>
      <c r="X716">
        <v>838</v>
      </c>
      <c r="Y716" t="s">
        <v>2009</v>
      </c>
      <c r="AB716" t="s">
        <v>13563</v>
      </c>
      <c r="AD716" t="s">
        <v>16064</v>
      </c>
      <c r="AE716" t="s">
        <v>13051</v>
      </c>
      <c r="AH716">
        <v>26</v>
      </c>
      <c r="AI716">
        <v>1</v>
      </c>
      <c r="AJ716">
        <v>0</v>
      </c>
      <c r="AK716">
        <v>448.36</v>
      </c>
      <c r="AN716" t="s">
        <v>2926</v>
      </c>
      <c r="AO716">
        <v>56000</v>
      </c>
      <c r="AU716" t="s">
        <v>13051</v>
      </c>
      <c r="AW716" t="s">
        <v>158</v>
      </c>
    </row>
    <row r="717" spans="1:50">
      <c r="A717" s="1" t="s">
        <v>96</v>
      </c>
      <c r="B717" t="s">
        <v>163</v>
      </c>
      <c r="C717" t="s">
        <v>3927</v>
      </c>
      <c r="D717" t="s">
        <v>277</v>
      </c>
      <c r="F717" t="s">
        <v>7131</v>
      </c>
      <c r="G717" t="s">
        <v>8221</v>
      </c>
      <c r="H717" t="s">
        <v>9428</v>
      </c>
      <c r="I717" t="s">
        <v>1562</v>
      </c>
      <c r="J717" t="s">
        <v>1644</v>
      </c>
      <c r="K717">
        <v>11226</v>
      </c>
      <c r="L717" t="s">
        <v>1671</v>
      </c>
      <c r="M717" t="s">
        <v>1672</v>
      </c>
      <c r="O717" t="s">
        <v>1938</v>
      </c>
      <c r="P717" t="s">
        <v>1961</v>
      </c>
      <c r="R717" t="s">
        <v>50</v>
      </c>
      <c r="S717" t="s">
        <v>1670</v>
      </c>
      <c r="U717" t="s">
        <v>1972</v>
      </c>
      <c r="W717" t="s">
        <v>231</v>
      </c>
      <c r="X717">
        <v>838</v>
      </c>
      <c r="Y717" t="s">
        <v>2009</v>
      </c>
      <c r="AB717" t="s">
        <v>13563</v>
      </c>
      <c r="AD717" t="s">
        <v>16064</v>
      </c>
      <c r="AE717" t="s">
        <v>13051</v>
      </c>
      <c r="AF717" t="s">
        <v>2902</v>
      </c>
      <c r="AH717">
        <v>26</v>
      </c>
      <c r="AI717">
        <v>1</v>
      </c>
      <c r="AJ717">
        <v>0</v>
      </c>
      <c r="AK717">
        <v>448.36</v>
      </c>
      <c r="AN717" t="s">
        <v>2926</v>
      </c>
      <c r="AO717">
        <v>56000</v>
      </c>
      <c r="AU717">
        <v>0.1</v>
      </c>
      <c r="AV717" t="s">
        <v>353</v>
      </c>
      <c r="AW717" t="s">
        <v>158</v>
      </c>
    </row>
    <row r="718" spans="1:50">
      <c r="A718" s="1" t="s">
        <v>57</v>
      </c>
      <c r="B718" t="s">
        <v>163</v>
      </c>
      <c r="C718" t="s">
        <v>3928</v>
      </c>
      <c r="D718" t="s">
        <v>266</v>
      </c>
      <c r="F718" t="s">
        <v>6991</v>
      </c>
      <c r="G718" t="s">
        <v>8222</v>
      </c>
      <c r="H718" t="s">
        <v>1112</v>
      </c>
      <c r="I718" t="s">
        <v>11108</v>
      </c>
      <c r="J718" t="s">
        <v>1641</v>
      </c>
      <c r="K718">
        <v>10453</v>
      </c>
      <c r="L718" t="s">
        <v>1670</v>
      </c>
      <c r="M718" t="s">
        <v>1670</v>
      </c>
      <c r="O718" t="s">
        <v>1938</v>
      </c>
      <c r="P718" t="s">
        <v>1961</v>
      </c>
      <c r="R718" t="s">
        <v>50</v>
      </c>
      <c r="S718" t="s">
        <v>1670</v>
      </c>
      <c r="U718" t="s">
        <v>1972</v>
      </c>
      <c r="W718" t="s">
        <v>283</v>
      </c>
      <c r="X718">
        <v>1219.13</v>
      </c>
      <c r="Y718" t="s">
        <v>2006</v>
      </c>
      <c r="Z718" t="s">
        <v>2016</v>
      </c>
      <c r="AB718" t="s">
        <v>13564</v>
      </c>
      <c r="AE718">
        <v>170</v>
      </c>
      <c r="AF718" t="s">
        <v>2902</v>
      </c>
      <c r="AG718" t="s">
        <v>1754</v>
      </c>
      <c r="AH718">
        <v>15</v>
      </c>
      <c r="AI718">
        <v>2</v>
      </c>
      <c r="AJ718">
        <v>0</v>
      </c>
      <c r="AK718">
        <v>449.44</v>
      </c>
      <c r="AN718" t="s">
        <v>2927</v>
      </c>
      <c r="AO718">
        <v>76000</v>
      </c>
      <c r="AU718" t="s">
        <v>13051</v>
      </c>
      <c r="AW718" t="s">
        <v>3045</v>
      </c>
    </row>
    <row r="719" spans="1:50">
      <c r="A719" s="1" t="s">
        <v>57</v>
      </c>
      <c r="B719" t="s">
        <v>163</v>
      </c>
      <c r="C719" t="s">
        <v>3929</v>
      </c>
      <c r="D719" t="s">
        <v>190</v>
      </c>
      <c r="F719" t="s">
        <v>6991</v>
      </c>
      <c r="G719" t="s">
        <v>8222</v>
      </c>
      <c r="H719" t="s">
        <v>1112</v>
      </c>
      <c r="I719" t="s">
        <v>11108</v>
      </c>
      <c r="J719" t="s">
        <v>1641</v>
      </c>
      <c r="K719">
        <v>10453</v>
      </c>
      <c r="L719" t="s">
        <v>1670</v>
      </c>
      <c r="M719" t="s">
        <v>1670</v>
      </c>
      <c r="N719" t="s">
        <v>1677</v>
      </c>
      <c r="O719" t="s">
        <v>1939</v>
      </c>
      <c r="P719" t="s">
        <v>1960</v>
      </c>
      <c r="R719" t="s">
        <v>50</v>
      </c>
      <c r="S719" t="s">
        <v>1670</v>
      </c>
      <c r="U719" t="s">
        <v>1972</v>
      </c>
      <c r="W719" t="s">
        <v>283</v>
      </c>
      <c r="X719">
        <v>1219.13</v>
      </c>
      <c r="Y719" t="s">
        <v>2006</v>
      </c>
      <c r="Z719" t="s">
        <v>2016</v>
      </c>
      <c r="AB719" t="s">
        <v>13564</v>
      </c>
      <c r="AE719">
        <v>170</v>
      </c>
      <c r="AF719" t="s">
        <v>2902</v>
      </c>
      <c r="AG719" t="s">
        <v>1754</v>
      </c>
      <c r="AH719">
        <v>15</v>
      </c>
      <c r="AI719">
        <v>2</v>
      </c>
      <c r="AJ719">
        <v>0</v>
      </c>
      <c r="AK719">
        <v>449.44</v>
      </c>
      <c r="AN719" t="s">
        <v>2927</v>
      </c>
      <c r="AO719">
        <v>76000</v>
      </c>
      <c r="AU719" t="s">
        <v>13051</v>
      </c>
      <c r="AW719" t="s">
        <v>3045</v>
      </c>
    </row>
    <row r="720" spans="1:50">
      <c r="A720" s="1" t="s">
        <v>130</v>
      </c>
      <c r="B720" t="s">
        <v>164</v>
      </c>
      <c r="C720" t="s">
        <v>3930</v>
      </c>
      <c r="D720" t="s">
        <v>271</v>
      </c>
      <c r="E720" t="s">
        <v>359</v>
      </c>
      <c r="F720" t="s">
        <v>7132</v>
      </c>
      <c r="G720" t="s">
        <v>8223</v>
      </c>
      <c r="H720" t="s">
        <v>9510</v>
      </c>
      <c r="I720" t="s">
        <v>1602</v>
      </c>
      <c r="J720" t="s">
        <v>1644</v>
      </c>
      <c r="K720">
        <v>11233</v>
      </c>
      <c r="L720" t="s">
        <v>1670</v>
      </c>
      <c r="M720" t="s">
        <v>1670</v>
      </c>
      <c r="O720" t="s">
        <v>1937</v>
      </c>
      <c r="P720" t="s">
        <v>1962</v>
      </c>
      <c r="Q720" t="s">
        <v>1968</v>
      </c>
      <c r="R720" t="s">
        <v>50</v>
      </c>
      <c r="S720" t="s">
        <v>1670</v>
      </c>
      <c r="U720" t="s">
        <v>1972</v>
      </c>
      <c r="W720" t="s">
        <v>304</v>
      </c>
      <c r="X720" t="s">
        <v>13051</v>
      </c>
      <c r="Y720" t="s">
        <v>2009</v>
      </c>
      <c r="Z720" t="s">
        <v>2021</v>
      </c>
      <c r="AA720" t="s">
        <v>2030</v>
      </c>
      <c r="AB720" t="s">
        <v>13565</v>
      </c>
      <c r="AE720">
        <v>7</v>
      </c>
      <c r="AF720" t="s">
        <v>2902</v>
      </c>
      <c r="AH720" t="s">
        <v>13051</v>
      </c>
      <c r="AI720">
        <v>1</v>
      </c>
      <c r="AJ720">
        <v>0</v>
      </c>
      <c r="AK720">
        <v>453.05</v>
      </c>
      <c r="AN720" t="s">
        <v>2926</v>
      </c>
      <c r="AO720">
        <v>55000</v>
      </c>
      <c r="AR720" t="s">
        <v>2017</v>
      </c>
      <c r="AU720">
        <v>0.2</v>
      </c>
      <c r="AV720" t="s">
        <v>271</v>
      </c>
      <c r="AW720" t="s">
        <v>3059</v>
      </c>
    </row>
    <row r="721" spans="1:50">
      <c r="A721" s="1" t="s">
        <v>135</v>
      </c>
      <c r="B721" t="s">
        <v>163</v>
      </c>
      <c r="C721" t="s">
        <v>3931</v>
      </c>
      <c r="D721" t="s">
        <v>349</v>
      </c>
      <c r="F721" t="s">
        <v>573</v>
      </c>
      <c r="G721" t="s">
        <v>8224</v>
      </c>
      <c r="H721" t="s">
        <v>9425</v>
      </c>
      <c r="I721" t="s">
        <v>11002</v>
      </c>
      <c r="J721" t="s">
        <v>1644</v>
      </c>
      <c r="K721">
        <v>11216</v>
      </c>
      <c r="L721" t="s">
        <v>1670</v>
      </c>
      <c r="M721" t="s">
        <v>1670</v>
      </c>
      <c r="O721" t="s">
        <v>1675</v>
      </c>
      <c r="P721" t="s">
        <v>1962</v>
      </c>
      <c r="R721" t="s">
        <v>50</v>
      </c>
      <c r="S721" t="s">
        <v>1670</v>
      </c>
      <c r="U721" t="s">
        <v>1972</v>
      </c>
      <c r="W721" t="s">
        <v>321</v>
      </c>
      <c r="X721">
        <v>1450</v>
      </c>
      <c r="Y721" t="s">
        <v>2009</v>
      </c>
      <c r="Z721" t="s">
        <v>2016</v>
      </c>
      <c r="AB721" t="s">
        <v>13566</v>
      </c>
      <c r="AE721">
        <v>82</v>
      </c>
      <c r="AF721" t="s">
        <v>2902</v>
      </c>
      <c r="AG721" t="s">
        <v>1754</v>
      </c>
      <c r="AH721">
        <v>1</v>
      </c>
      <c r="AI721">
        <v>1</v>
      </c>
      <c r="AJ721">
        <v>0</v>
      </c>
      <c r="AK721">
        <v>453.05</v>
      </c>
      <c r="AL721" t="s">
        <v>218</v>
      </c>
      <c r="AM721" t="s">
        <v>18031</v>
      </c>
      <c r="AN721" t="s">
        <v>2926</v>
      </c>
      <c r="AO721">
        <v>55000</v>
      </c>
      <c r="AP721" t="s">
        <v>2953</v>
      </c>
      <c r="AU721" t="s">
        <v>13051</v>
      </c>
      <c r="AW721" t="s">
        <v>3060</v>
      </c>
    </row>
    <row r="722" spans="1:50">
      <c r="A722" s="1" t="s">
        <v>130</v>
      </c>
      <c r="B722" t="s">
        <v>164</v>
      </c>
      <c r="C722" t="s">
        <v>3932</v>
      </c>
      <c r="D722" t="s">
        <v>271</v>
      </c>
      <c r="E722" t="s">
        <v>359</v>
      </c>
      <c r="F722" t="s">
        <v>7132</v>
      </c>
      <c r="G722" t="s">
        <v>8223</v>
      </c>
      <c r="H722" t="s">
        <v>9510</v>
      </c>
      <c r="I722" t="s">
        <v>1602</v>
      </c>
      <c r="J722" t="s">
        <v>1644</v>
      </c>
      <c r="K722">
        <v>11233</v>
      </c>
      <c r="L722" t="s">
        <v>1670</v>
      </c>
      <c r="M722" t="s">
        <v>1670</v>
      </c>
      <c r="N722" t="s">
        <v>11904</v>
      </c>
      <c r="O722" t="s">
        <v>1938</v>
      </c>
      <c r="P722" t="s">
        <v>1961</v>
      </c>
      <c r="Q722" t="s">
        <v>1970</v>
      </c>
      <c r="R722" t="s">
        <v>50</v>
      </c>
      <c r="S722" t="s">
        <v>1670</v>
      </c>
      <c r="U722" t="s">
        <v>1972</v>
      </c>
      <c r="W722" t="s">
        <v>1989</v>
      </c>
      <c r="X722" t="s">
        <v>13051</v>
      </c>
      <c r="Y722" t="s">
        <v>2009</v>
      </c>
      <c r="Z722" t="s">
        <v>2021</v>
      </c>
      <c r="AA722" t="s">
        <v>2030</v>
      </c>
      <c r="AB722" t="s">
        <v>13565</v>
      </c>
      <c r="AE722">
        <v>7</v>
      </c>
      <c r="AF722" t="s">
        <v>2902</v>
      </c>
      <c r="AH722" t="s">
        <v>13051</v>
      </c>
      <c r="AI722">
        <v>1</v>
      </c>
      <c r="AJ722">
        <v>0</v>
      </c>
      <c r="AK722">
        <v>453.05</v>
      </c>
      <c r="AN722" t="s">
        <v>2926</v>
      </c>
      <c r="AO722">
        <v>55000</v>
      </c>
      <c r="AR722" t="s">
        <v>18452</v>
      </c>
      <c r="AU722">
        <v>0.3</v>
      </c>
      <c r="AV722" t="s">
        <v>271</v>
      </c>
      <c r="AW722" t="s">
        <v>3059</v>
      </c>
    </row>
    <row r="723" spans="1:50">
      <c r="A723" s="1" t="s">
        <v>135</v>
      </c>
      <c r="B723" t="s">
        <v>163</v>
      </c>
      <c r="C723" t="s">
        <v>3933</v>
      </c>
      <c r="D723" t="s">
        <v>349</v>
      </c>
      <c r="F723" t="s">
        <v>573</v>
      </c>
      <c r="G723" t="s">
        <v>8224</v>
      </c>
      <c r="H723" t="s">
        <v>9425</v>
      </c>
      <c r="I723" t="s">
        <v>11002</v>
      </c>
      <c r="J723" t="s">
        <v>1644</v>
      </c>
      <c r="K723">
        <v>11216</v>
      </c>
      <c r="L723" t="s">
        <v>1670</v>
      </c>
      <c r="M723" t="s">
        <v>1670</v>
      </c>
      <c r="O723" t="s">
        <v>1952</v>
      </c>
      <c r="P723" t="s">
        <v>1960</v>
      </c>
      <c r="R723" t="s">
        <v>50</v>
      </c>
      <c r="S723" t="s">
        <v>1670</v>
      </c>
      <c r="U723" t="s">
        <v>1972</v>
      </c>
      <c r="W723" t="s">
        <v>321</v>
      </c>
      <c r="X723">
        <v>1450</v>
      </c>
      <c r="Y723" t="s">
        <v>2009</v>
      </c>
      <c r="Z723" t="s">
        <v>2016</v>
      </c>
      <c r="AB723" t="s">
        <v>13566</v>
      </c>
      <c r="AE723">
        <v>82</v>
      </c>
      <c r="AF723" t="s">
        <v>2902</v>
      </c>
      <c r="AG723" t="s">
        <v>1754</v>
      </c>
      <c r="AH723">
        <v>1</v>
      </c>
      <c r="AI723">
        <v>1</v>
      </c>
      <c r="AJ723">
        <v>0</v>
      </c>
      <c r="AK723">
        <v>453.05</v>
      </c>
      <c r="AL723" t="s">
        <v>218</v>
      </c>
      <c r="AM723" t="s">
        <v>18031</v>
      </c>
      <c r="AN723" t="s">
        <v>2926</v>
      </c>
      <c r="AO723">
        <v>55000</v>
      </c>
      <c r="AP723" t="s">
        <v>18195</v>
      </c>
      <c r="AU723" t="s">
        <v>13051</v>
      </c>
      <c r="AW723" t="s">
        <v>3060</v>
      </c>
    </row>
    <row r="724" spans="1:50">
      <c r="A724" s="1" t="s">
        <v>82</v>
      </c>
      <c r="B724" t="s">
        <v>164</v>
      </c>
      <c r="C724" t="s">
        <v>3934</v>
      </c>
      <c r="D724" t="s">
        <v>382</v>
      </c>
      <c r="E724" t="s">
        <v>165</v>
      </c>
      <c r="F724" t="s">
        <v>7133</v>
      </c>
      <c r="G724" t="s">
        <v>8225</v>
      </c>
      <c r="H724" t="s">
        <v>1380</v>
      </c>
      <c r="I724" t="s">
        <v>1544</v>
      </c>
      <c r="J724" t="s">
        <v>1644</v>
      </c>
      <c r="K724">
        <v>11213</v>
      </c>
      <c r="L724" t="s">
        <v>1670</v>
      </c>
      <c r="M724" t="s">
        <v>1670</v>
      </c>
      <c r="N724" t="s">
        <v>1675</v>
      </c>
      <c r="O724" t="s">
        <v>1675</v>
      </c>
      <c r="P724" t="s">
        <v>1958</v>
      </c>
      <c r="Q724" t="s">
        <v>1965</v>
      </c>
      <c r="R724" t="s">
        <v>50</v>
      </c>
      <c r="S724" t="s">
        <v>1670</v>
      </c>
      <c r="U724" t="s">
        <v>1972</v>
      </c>
      <c r="V724" t="s">
        <v>1984</v>
      </c>
      <c r="W724" t="s">
        <v>2005</v>
      </c>
      <c r="X724">
        <v>794</v>
      </c>
      <c r="Y724" t="s">
        <v>2009</v>
      </c>
      <c r="Z724" t="s">
        <v>2015</v>
      </c>
      <c r="AA724" t="s">
        <v>2029</v>
      </c>
      <c r="AB724" t="s">
        <v>13207</v>
      </c>
      <c r="AC724" t="s">
        <v>1754</v>
      </c>
      <c r="AD724" t="s">
        <v>16065</v>
      </c>
      <c r="AE724">
        <v>35</v>
      </c>
      <c r="AF724" t="s">
        <v>2902</v>
      </c>
      <c r="AG724" t="s">
        <v>1754</v>
      </c>
      <c r="AH724">
        <v>20</v>
      </c>
      <c r="AI724">
        <v>2</v>
      </c>
      <c r="AJ724">
        <v>2</v>
      </c>
      <c r="AK724">
        <v>454.18</v>
      </c>
      <c r="AM724" t="s">
        <v>18031</v>
      </c>
      <c r="AN724" t="s">
        <v>2926</v>
      </c>
      <c r="AO724">
        <v>114000</v>
      </c>
      <c r="AP724" t="s">
        <v>18069</v>
      </c>
      <c r="AU724">
        <v>1.5</v>
      </c>
      <c r="AV724" t="s">
        <v>373</v>
      </c>
      <c r="AW724" t="s">
        <v>3060</v>
      </c>
    </row>
    <row r="725" spans="1:50">
      <c r="A725" s="1" t="s">
        <v>82</v>
      </c>
      <c r="B725" t="s">
        <v>163</v>
      </c>
      <c r="C725" t="s">
        <v>3935</v>
      </c>
      <c r="D725" t="s">
        <v>317</v>
      </c>
      <c r="F725" t="s">
        <v>7134</v>
      </c>
      <c r="G725" t="s">
        <v>1016</v>
      </c>
      <c r="H725" t="s">
        <v>9420</v>
      </c>
      <c r="I725" t="s">
        <v>1488</v>
      </c>
      <c r="J725" t="s">
        <v>1644</v>
      </c>
      <c r="K725">
        <v>11233</v>
      </c>
      <c r="L725" t="s">
        <v>1670</v>
      </c>
      <c r="M725" t="s">
        <v>1671</v>
      </c>
      <c r="N725" t="s">
        <v>1754</v>
      </c>
      <c r="O725" t="s">
        <v>1937</v>
      </c>
      <c r="P725" t="s">
        <v>1962</v>
      </c>
      <c r="R725" t="s">
        <v>50</v>
      </c>
      <c r="S725" t="s">
        <v>1670</v>
      </c>
      <c r="U725" t="s">
        <v>1972</v>
      </c>
      <c r="V725" t="s">
        <v>1984</v>
      </c>
      <c r="W725" t="s">
        <v>221</v>
      </c>
      <c r="X725">
        <v>1515</v>
      </c>
      <c r="Y725" t="s">
        <v>2009</v>
      </c>
      <c r="Z725" t="s">
        <v>2017</v>
      </c>
      <c r="AB725" t="s">
        <v>13567</v>
      </c>
      <c r="AE725">
        <v>359</v>
      </c>
      <c r="AF725" t="s">
        <v>2902</v>
      </c>
      <c r="AG725" t="s">
        <v>1754</v>
      </c>
      <c r="AH725">
        <v>2</v>
      </c>
      <c r="AI725">
        <v>1</v>
      </c>
      <c r="AJ725">
        <v>0</v>
      </c>
      <c r="AK725">
        <v>454.64</v>
      </c>
      <c r="AN725" t="s">
        <v>2926</v>
      </c>
      <c r="AO725">
        <v>56784</v>
      </c>
      <c r="AP725" t="s">
        <v>18196</v>
      </c>
      <c r="AU725" t="s">
        <v>13051</v>
      </c>
      <c r="AW725" t="s">
        <v>3060</v>
      </c>
    </row>
    <row r="726" spans="1:50">
      <c r="A726" s="1" t="s">
        <v>82</v>
      </c>
      <c r="B726" t="s">
        <v>163</v>
      </c>
      <c r="C726" t="s">
        <v>3936</v>
      </c>
      <c r="D726" t="s">
        <v>317</v>
      </c>
      <c r="F726" t="s">
        <v>7134</v>
      </c>
      <c r="G726" t="s">
        <v>1016</v>
      </c>
      <c r="H726" t="s">
        <v>9420</v>
      </c>
      <c r="I726" t="s">
        <v>1488</v>
      </c>
      <c r="J726" t="s">
        <v>1644</v>
      </c>
      <c r="K726">
        <v>11233</v>
      </c>
      <c r="L726" t="s">
        <v>1670</v>
      </c>
      <c r="M726" t="s">
        <v>1671</v>
      </c>
      <c r="N726" t="s">
        <v>1754</v>
      </c>
      <c r="O726" t="s">
        <v>1938</v>
      </c>
      <c r="P726" t="s">
        <v>1961</v>
      </c>
      <c r="R726" t="s">
        <v>50</v>
      </c>
      <c r="S726" t="s">
        <v>1670</v>
      </c>
      <c r="U726" t="s">
        <v>1972</v>
      </c>
      <c r="V726" t="s">
        <v>1984</v>
      </c>
      <c r="W726" t="s">
        <v>248</v>
      </c>
      <c r="X726">
        <v>1515</v>
      </c>
      <c r="Y726" t="s">
        <v>2009</v>
      </c>
      <c r="Z726" t="s">
        <v>2017</v>
      </c>
      <c r="AB726" t="s">
        <v>13567</v>
      </c>
      <c r="AC726" t="s">
        <v>1754</v>
      </c>
      <c r="AE726">
        <v>359</v>
      </c>
      <c r="AF726" t="s">
        <v>2902</v>
      </c>
      <c r="AG726" t="s">
        <v>1754</v>
      </c>
      <c r="AH726">
        <v>2</v>
      </c>
      <c r="AI726">
        <v>1</v>
      </c>
      <c r="AJ726">
        <v>0</v>
      </c>
      <c r="AK726">
        <v>454.64</v>
      </c>
      <c r="AN726" t="s">
        <v>2926</v>
      </c>
      <c r="AO726">
        <v>56784</v>
      </c>
      <c r="AP726" t="s">
        <v>18197</v>
      </c>
      <c r="AU726" t="s">
        <v>13051</v>
      </c>
      <c r="AW726" t="s">
        <v>3060</v>
      </c>
    </row>
    <row r="727" spans="1:50">
      <c r="A727" s="1" t="s">
        <v>100</v>
      </c>
      <c r="B727" t="s">
        <v>164</v>
      </c>
      <c r="C727" t="s">
        <v>3937</v>
      </c>
      <c r="D727" t="s">
        <v>206</v>
      </c>
      <c r="E727" t="s">
        <v>400</v>
      </c>
      <c r="F727" t="s">
        <v>687</v>
      </c>
      <c r="G727" t="s">
        <v>8226</v>
      </c>
      <c r="H727" t="s">
        <v>9671</v>
      </c>
      <c r="I727" t="s">
        <v>1507</v>
      </c>
      <c r="J727" t="s">
        <v>1643</v>
      </c>
      <c r="K727">
        <v>10032</v>
      </c>
      <c r="L727" t="s">
        <v>1670</v>
      </c>
      <c r="M727" t="s">
        <v>1672</v>
      </c>
      <c r="O727" t="s">
        <v>1941</v>
      </c>
      <c r="P727" t="s">
        <v>1962</v>
      </c>
      <c r="Q727" t="s">
        <v>1968</v>
      </c>
      <c r="R727" t="s">
        <v>50</v>
      </c>
      <c r="S727" t="s">
        <v>1671</v>
      </c>
      <c r="U727" t="s">
        <v>1972</v>
      </c>
      <c r="W727" t="s">
        <v>206</v>
      </c>
      <c r="X727">
        <v>2036.46</v>
      </c>
      <c r="Y727" t="s">
        <v>2008</v>
      </c>
      <c r="Z727" t="s">
        <v>2013</v>
      </c>
      <c r="AA727" t="s">
        <v>2034</v>
      </c>
      <c r="AB727" t="s">
        <v>13568</v>
      </c>
      <c r="AE727">
        <v>14</v>
      </c>
      <c r="AF727" t="s">
        <v>2902</v>
      </c>
      <c r="AG727" t="s">
        <v>1754</v>
      </c>
      <c r="AH727">
        <v>2</v>
      </c>
      <c r="AI727">
        <v>1</v>
      </c>
      <c r="AJ727">
        <v>0</v>
      </c>
      <c r="AK727">
        <v>456.37</v>
      </c>
      <c r="AN727" t="s">
        <v>2926</v>
      </c>
      <c r="AO727">
        <v>57000</v>
      </c>
      <c r="AU727">
        <v>0.1</v>
      </c>
      <c r="AV727" t="s">
        <v>400</v>
      </c>
      <c r="AW727" t="s">
        <v>3042</v>
      </c>
      <c r="AX727" t="s">
        <v>18685</v>
      </c>
    </row>
    <row r="728" spans="1:50">
      <c r="A728" s="1" t="s">
        <v>133</v>
      </c>
      <c r="B728" t="s">
        <v>163</v>
      </c>
      <c r="C728" t="s">
        <v>3938</v>
      </c>
      <c r="D728" t="s">
        <v>246</v>
      </c>
      <c r="F728" t="s">
        <v>7135</v>
      </c>
      <c r="G728" t="s">
        <v>6881</v>
      </c>
      <c r="H728" t="s">
        <v>9614</v>
      </c>
      <c r="I728" t="s">
        <v>11109</v>
      </c>
      <c r="J728" t="s">
        <v>1644</v>
      </c>
      <c r="K728">
        <v>11213</v>
      </c>
      <c r="L728" t="s">
        <v>1670</v>
      </c>
      <c r="M728" t="s">
        <v>1670</v>
      </c>
      <c r="N728" t="s">
        <v>1865</v>
      </c>
      <c r="O728" t="s">
        <v>1939</v>
      </c>
      <c r="P728" t="s">
        <v>1960</v>
      </c>
      <c r="R728" t="s">
        <v>50</v>
      </c>
      <c r="S728" t="s">
        <v>1670</v>
      </c>
      <c r="U728" t="s">
        <v>1972</v>
      </c>
      <c r="V728" t="s">
        <v>1984</v>
      </c>
      <c r="W728" t="s">
        <v>6770</v>
      </c>
      <c r="X728">
        <v>1197</v>
      </c>
      <c r="Y728" t="s">
        <v>2009</v>
      </c>
      <c r="Z728" t="s">
        <v>2015</v>
      </c>
      <c r="AB728" t="s">
        <v>13569</v>
      </c>
      <c r="AC728" t="s">
        <v>1754</v>
      </c>
      <c r="AD728" t="s">
        <v>16066</v>
      </c>
      <c r="AE728">
        <v>34</v>
      </c>
      <c r="AF728" t="s">
        <v>2902</v>
      </c>
      <c r="AG728" t="s">
        <v>1754</v>
      </c>
      <c r="AH728">
        <v>7</v>
      </c>
      <c r="AI728">
        <v>3</v>
      </c>
      <c r="AJ728">
        <v>0</v>
      </c>
      <c r="AK728">
        <v>457.41</v>
      </c>
      <c r="AN728" t="s">
        <v>2926</v>
      </c>
      <c r="AO728">
        <v>95050.08</v>
      </c>
      <c r="AU728">
        <v>0.1</v>
      </c>
      <c r="AV728" t="s">
        <v>165</v>
      </c>
      <c r="AW728" t="s">
        <v>3060</v>
      </c>
    </row>
    <row r="729" spans="1:50">
      <c r="A729" s="1" t="s">
        <v>120</v>
      </c>
      <c r="B729" t="s">
        <v>164</v>
      </c>
      <c r="C729" t="s">
        <v>3939</v>
      </c>
      <c r="D729" t="s">
        <v>336</v>
      </c>
      <c r="E729" t="s">
        <v>6763</v>
      </c>
      <c r="F729" t="s">
        <v>7136</v>
      </c>
      <c r="G729" t="s">
        <v>7252</v>
      </c>
      <c r="H729" t="s">
        <v>9672</v>
      </c>
      <c r="I729" t="s">
        <v>11110</v>
      </c>
      <c r="J729" t="s">
        <v>1644</v>
      </c>
      <c r="K729">
        <v>11236</v>
      </c>
      <c r="L729" t="s">
        <v>1670</v>
      </c>
      <c r="M729" t="s">
        <v>1670</v>
      </c>
      <c r="O729" t="s">
        <v>1950</v>
      </c>
      <c r="P729" t="s">
        <v>1961</v>
      </c>
      <c r="Q729" t="s">
        <v>1970</v>
      </c>
      <c r="R729" t="s">
        <v>50</v>
      </c>
      <c r="S729" t="s">
        <v>1671</v>
      </c>
      <c r="U729" t="s">
        <v>1974</v>
      </c>
      <c r="V729" t="s">
        <v>1987</v>
      </c>
      <c r="W729" t="s">
        <v>266</v>
      </c>
      <c r="X729">
        <v>869</v>
      </c>
      <c r="Y729" t="s">
        <v>2009</v>
      </c>
      <c r="Z729" t="s">
        <v>2016</v>
      </c>
      <c r="AA729" t="s">
        <v>2039</v>
      </c>
      <c r="AB729" t="s">
        <v>13570</v>
      </c>
      <c r="AD729" t="s">
        <v>16067</v>
      </c>
      <c r="AE729">
        <v>113</v>
      </c>
      <c r="AF729" t="s">
        <v>2902</v>
      </c>
      <c r="AG729" t="s">
        <v>1754</v>
      </c>
      <c r="AH729">
        <v>15</v>
      </c>
      <c r="AI729">
        <v>1</v>
      </c>
      <c r="AJ729">
        <v>0</v>
      </c>
      <c r="AK729">
        <v>457.97</v>
      </c>
      <c r="AN729" t="s">
        <v>2926</v>
      </c>
      <c r="AO729">
        <v>57200</v>
      </c>
      <c r="AP729" t="s">
        <v>18198</v>
      </c>
      <c r="AU729">
        <v>4.25</v>
      </c>
      <c r="AV729" t="s">
        <v>6763</v>
      </c>
      <c r="AW729" t="s">
        <v>3059</v>
      </c>
    </row>
    <row r="730" spans="1:50">
      <c r="A730" s="1" t="s">
        <v>133</v>
      </c>
      <c r="B730" t="s">
        <v>163</v>
      </c>
      <c r="C730" t="s">
        <v>3940</v>
      </c>
      <c r="D730" t="s">
        <v>318</v>
      </c>
      <c r="F730" t="s">
        <v>7137</v>
      </c>
      <c r="G730" t="s">
        <v>8219</v>
      </c>
      <c r="H730" t="s">
        <v>9614</v>
      </c>
      <c r="I730" t="s">
        <v>1501</v>
      </c>
      <c r="J730" t="s">
        <v>1644</v>
      </c>
      <c r="K730">
        <v>11213</v>
      </c>
      <c r="L730" t="s">
        <v>1670</v>
      </c>
      <c r="M730" t="s">
        <v>1670</v>
      </c>
      <c r="N730" t="s">
        <v>1865</v>
      </c>
      <c r="O730" t="s">
        <v>1939</v>
      </c>
      <c r="P730" t="s">
        <v>1960</v>
      </c>
      <c r="R730" t="s">
        <v>50</v>
      </c>
      <c r="S730" t="s">
        <v>1670</v>
      </c>
      <c r="U730" t="s">
        <v>1972</v>
      </c>
      <c r="V730" t="s">
        <v>1984</v>
      </c>
      <c r="W730" t="s">
        <v>242</v>
      </c>
      <c r="X730" t="s">
        <v>13051</v>
      </c>
      <c r="Y730" t="s">
        <v>2009</v>
      </c>
      <c r="Z730" t="s">
        <v>2015</v>
      </c>
      <c r="AB730" t="s">
        <v>13571</v>
      </c>
      <c r="AC730" t="s">
        <v>1754</v>
      </c>
      <c r="AD730" t="s">
        <v>16068</v>
      </c>
      <c r="AE730">
        <v>34</v>
      </c>
      <c r="AF730" t="s">
        <v>2902</v>
      </c>
      <c r="AG730" t="s">
        <v>1754</v>
      </c>
      <c r="AH730" t="s">
        <v>13051</v>
      </c>
      <c r="AI730">
        <v>1</v>
      </c>
      <c r="AJ730">
        <v>0</v>
      </c>
      <c r="AK730">
        <v>461.29</v>
      </c>
      <c r="AN730" t="s">
        <v>2926</v>
      </c>
      <c r="AO730">
        <v>56000</v>
      </c>
      <c r="AU730">
        <v>1.2</v>
      </c>
      <c r="AV730" t="s">
        <v>242</v>
      </c>
      <c r="AW730" t="s">
        <v>3060</v>
      </c>
    </row>
    <row r="731" spans="1:50">
      <c r="A731" s="1" t="s">
        <v>123</v>
      </c>
      <c r="B731" t="s">
        <v>163</v>
      </c>
      <c r="C731" t="s">
        <v>3941</v>
      </c>
      <c r="D731" t="s">
        <v>317</v>
      </c>
      <c r="F731" t="s">
        <v>7138</v>
      </c>
      <c r="G731" t="s">
        <v>8227</v>
      </c>
      <c r="H731" t="s">
        <v>9673</v>
      </c>
      <c r="I731" t="s">
        <v>11111</v>
      </c>
      <c r="J731" t="s">
        <v>1641</v>
      </c>
      <c r="K731">
        <v>10467</v>
      </c>
      <c r="L731" t="s">
        <v>1670</v>
      </c>
      <c r="M731" t="s">
        <v>1670</v>
      </c>
      <c r="O731" t="s">
        <v>1941</v>
      </c>
      <c r="P731" t="s">
        <v>1958</v>
      </c>
      <c r="R731" t="s">
        <v>50</v>
      </c>
      <c r="S731" t="s">
        <v>1670</v>
      </c>
      <c r="U731" t="s">
        <v>1972</v>
      </c>
      <c r="W731" t="s">
        <v>1991</v>
      </c>
      <c r="X731">
        <v>1250</v>
      </c>
      <c r="Y731" t="s">
        <v>2006</v>
      </c>
      <c r="Z731" t="s">
        <v>2027</v>
      </c>
      <c r="AB731" t="s">
        <v>13572</v>
      </c>
      <c r="AE731">
        <v>123</v>
      </c>
      <c r="AF731" t="s">
        <v>2904</v>
      </c>
      <c r="AG731" t="s">
        <v>1754</v>
      </c>
      <c r="AH731">
        <v>3</v>
      </c>
      <c r="AI731">
        <v>1</v>
      </c>
      <c r="AJ731">
        <v>0</v>
      </c>
      <c r="AK731">
        <v>464.37</v>
      </c>
      <c r="AM731" t="s">
        <v>18031</v>
      </c>
      <c r="AN731" t="s">
        <v>2926</v>
      </c>
      <c r="AO731">
        <v>58000</v>
      </c>
      <c r="AU731" t="s">
        <v>13051</v>
      </c>
      <c r="AW731" t="s">
        <v>128</v>
      </c>
      <c r="AX731" t="s">
        <v>18685</v>
      </c>
    </row>
    <row r="732" spans="1:50">
      <c r="A732" s="1" t="s">
        <v>57</v>
      </c>
      <c r="B732" t="s">
        <v>163</v>
      </c>
      <c r="C732" t="s">
        <v>3942</v>
      </c>
      <c r="D732" t="s">
        <v>363</v>
      </c>
      <c r="F732" t="s">
        <v>7139</v>
      </c>
      <c r="G732" t="s">
        <v>8228</v>
      </c>
      <c r="H732" t="s">
        <v>1379</v>
      </c>
      <c r="I732" t="s">
        <v>1541</v>
      </c>
      <c r="J732" t="s">
        <v>1641</v>
      </c>
      <c r="K732">
        <v>10468</v>
      </c>
      <c r="L732" t="s">
        <v>1670</v>
      </c>
      <c r="M732" t="s">
        <v>1670</v>
      </c>
      <c r="N732" t="s">
        <v>1718</v>
      </c>
      <c r="O732" t="s">
        <v>1939</v>
      </c>
      <c r="P732" t="s">
        <v>1960</v>
      </c>
      <c r="R732" t="s">
        <v>50</v>
      </c>
      <c r="S732" t="s">
        <v>1670</v>
      </c>
      <c r="U732" t="s">
        <v>1972</v>
      </c>
      <c r="V732" t="s">
        <v>1984</v>
      </c>
      <c r="W732" t="s">
        <v>363</v>
      </c>
      <c r="X732">
        <v>1495</v>
      </c>
      <c r="Y732" t="s">
        <v>2006</v>
      </c>
      <c r="Z732" t="s">
        <v>2015</v>
      </c>
      <c r="AB732" t="s">
        <v>13573</v>
      </c>
      <c r="AD732" t="s">
        <v>16069</v>
      </c>
      <c r="AE732">
        <v>58</v>
      </c>
      <c r="AF732" t="s">
        <v>2902</v>
      </c>
      <c r="AH732">
        <v>1</v>
      </c>
      <c r="AI732">
        <v>2</v>
      </c>
      <c r="AJ732">
        <v>0</v>
      </c>
      <c r="AK732">
        <v>467.8</v>
      </c>
      <c r="AN732" t="s">
        <v>2926</v>
      </c>
      <c r="AO732">
        <v>77000</v>
      </c>
      <c r="AU732">
        <v>0.5</v>
      </c>
      <c r="AV732" t="s">
        <v>363</v>
      </c>
      <c r="AW732" t="s">
        <v>3046</v>
      </c>
    </row>
    <row r="733" spans="1:50">
      <c r="A733" s="1" t="s">
        <v>133</v>
      </c>
      <c r="B733" t="s">
        <v>163</v>
      </c>
      <c r="C733" t="s">
        <v>3943</v>
      </c>
      <c r="D733" t="s">
        <v>249</v>
      </c>
      <c r="F733" t="s">
        <v>7062</v>
      </c>
      <c r="G733" t="s">
        <v>8229</v>
      </c>
      <c r="H733" t="s">
        <v>9674</v>
      </c>
      <c r="I733" t="s">
        <v>1510</v>
      </c>
      <c r="J733" t="s">
        <v>1644</v>
      </c>
      <c r="K733">
        <v>11212</v>
      </c>
      <c r="L733" t="s">
        <v>1670</v>
      </c>
      <c r="M733" t="s">
        <v>1672</v>
      </c>
      <c r="N733" t="s">
        <v>12009</v>
      </c>
      <c r="P733" t="s">
        <v>1964</v>
      </c>
      <c r="R733" t="s">
        <v>50</v>
      </c>
      <c r="S733" t="s">
        <v>1670</v>
      </c>
      <c r="U733" t="s">
        <v>1978</v>
      </c>
      <c r="V733" t="s">
        <v>1984</v>
      </c>
      <c r="W733" t="s">
        <v>326</v>
      </c>
      <c r="X733">
        <v>996</v>
      </c>
      <c r="Y733" t="s">
        <v>2009</v>
      </c>
      <c r="Z733" t="s">
        <v>2020</v>
      </c>
      <c r="AB733" t="s">
        <v>13574</v>
      </c>
      <c r="AD733" t="s">
        <v>16070</v>
      </c>
      <c r="AE733">
        <v>16</v>
      </c>
      <c r="AF733" t="s">
        <v>2902</v>
      </c>
      <c r="AG733" t="s">
        <v>1754</v>
      </c>
      <c r="AH733">
        <v>16</v>
      </c>
      <c r="AI733">
        <v>3</v>
      </c>
      <c r="AJ733">
        <v>0</v>
      </c>
      <c r="AK733">
        <v>468.82</v>
      </c>
      <c r="AN733" t="s">
        <v>2926</v>
      </c>
      <c r="AO733">
        <v>100000</v>
      </c>
      <c r="AP733" t="s">
        <v>18199</v>
      </c>
      <c r="AU733" t="s">
        <v>13051</v>
      </c>
      <c r="AW733" t="s">
        <v>3060</v>
      </c>
      <c r="AX733" t="s">
        <v>18685</v>
      </c>
    </row>
    <row r="734" spans="1:50">
      <c r="A734" s="1" t="s">
        <v>135</v>
      </c>
      <c r="B734" t="s">
        <v>163</v>
      </c>
      <c r="C734" t="s">
        <v>3944</v>
      </c>
      <c r="D734" t="s">
        <v>291</v>
      </c>
      <c r="F734" t="s">
        <v>7062</v>
      </c>
      <c r="G734" t="s">
        <v>8229</v>
      </c>
      <c r="H734" t="s">
        <v>9674</v>
      </c>
      <c r="I734" t="s">
        <v>1510</v>
      </c>
      <c r="J734" t="s">
        <v>1644</v>
      </c>
      <c r="K734">
        <v>11212</v>
      </c>
      <c r="L734" t="s">
        <v>1670</v>
      </c>
      <c r="M734" t="s">
        <v>1672</v>
      </c>
      <c r="N734" t="s">
        <v>12010</v>
      </c>
      <c r="O734" t="s">
        <v>1936</v>
      </c>
      <c r="P734" t="s">
        <v>1960</v>
      </c>
      <c r="R734" t="s">
        <v>50</v>
      </c>
      <c r="S734" t="s">
        <v>1671</v>
      </c>
      <c r="U734" t="s">
        <v>1972</v>
      </c>
      <c r="V734" t="s">
        <v>1984</v>
      </c>
      <c r="W734" t="s">
        <v>230</v>
      </c>
      <c r="X734">
        <v>966</v>
      </c>
      <c r="Y734" t="s">
        <v>2009</v>
      </c>
      <c r="Z734" t="s">
        <v>2020</v>
      </c>
      <c r="AB734" t="s">
        <v>13574</v>
      </c>
      <c r="AD734" t="s">
        <v>16070</v>
      </c>
      <c r="AE734">
        <v>16</v>
      </c>
      <c r="AF734" t="s">
        <v>2902</v>
      </c>
      <c r="AG734" t="s">
        <v>1754</v>
      </c>
      <c r="AH734">
        <v>16</v>
      </c>
      <c r="AI734">
        <v>3</v>
      </c>
      <c r="AJ734">
        <v>0</v>
      </c>
      <c r="AK734">
        <v>468.82</v>
      </c>
      <c r="AN734" t="s">
        <v>2926</v>
      </c>
      <c r="AO734">
        <v>100000</v>
      </c>
      <c r="AU734">
        <v>13.9</v>
      </c>
      <c r="AV734" t="s">
        <v>397</v>
      </c>
      <c r="AW734" t="s">
        <v>3060</v>
      </c>
      <c r="AX734" t="s">
        <v>18685</v>
      </c>
    </row>
    <row r="735" spans="1:50">
      <c r="A735" s="1" t="s">
        <v>105</v>
      </c>
      <c r="B735" t="s">
        <v>163</v>
      </c>
      <c r="C735" t="s">
        <v>3945</v>
      </c>
      <c r="D735" t="s">
        <v>305</v>
      </c>
      <c r="F735" t="s">
        <v>420</v>
      </c>
      <c r="G735" t="s">
        <v>1016</v>
      </c>
      <c r="H735" t="s">
        <v>1442</v>
      </c>
      <c r="I735" t="s">
        <v>10995</v>
      </c>
      <c r="J735" t="s">
        <v>1641</v>
      </c>
      <c r="K735">
        <v>10451</v>
      </c>
      <c r="L735" t="s">
        <v>1670</v>
      </c>
      <c r="M735" t="s">
        <v>1672</v>
      </c>
      <c r="O735" t="s">
        <v>1937</v>
      </c>
      <c r="P735" t="s">
        <v>1959</v>
      </c>
      <c r="R735" t="s">
        <v>50</v>
      </c>
      <c r="S735" t="s">
        <v>1670</v>
      </c>
      <c r="U735" t="s">
        <v>1972</v>
      </c>
      <c r="W735" t="s">
        <v>305</v>
      </c>
      <c r="X735">
        <v>947</v>
      </c>
      <c r="Y735" t="s">
        <v>2006</v>
      </c>
      <c r="Z735" t="s">
        <v>2015</v>
      </c>
      <c r="AB735" t="s">
        <v>13575</v>
      </c>
      <c r="AD735" t="s">
        <v>16071</v>
      </c>
      <c r="AE735">
        <v>81</v>
      </c>
      <c r="AF735" t="s">
        <v>2902</v>
      </c>
      <c r="AG735" t="s">
        <v>1754</v>
      </c>
      <c r="AH735" t="s">
        <v>13051</v>
      </c>
      <c r="AI735">
        <v>1</v>
      </c>
      <c r="AJ735">
        <v>0</v>
      </c>
      <c r="AK735">
        <v>469.52</v>
      </c>
      <c r="AL735" t="s">
        <v>18028</v>
      </c>
      <c r="AM735" t="s">
        <v>18031</v>
      </c>
      <c r="AN735" t="s">
        <v>2926</v>
      </c>
      <c r="AO735">
        <v>57000</v>
      </c>
      <c r="AU735">
        <v>1.6</v>
      </c>
      <c r="AV735" t="s">
        <v>339</v>
      </c>
      <c r="AW735" t="s">
        <v>98</v>
      </c>
    </row>
    <row r="736" spans="1:50">
      <c r="A736" s="1" t="s">
        <v>82</v>
      </c>
      <c r="B736" t="s">
        <v>163</v>
      </c>
      <c r="C736" t="s">
        <v>3946</v>
      </c>
      <c r="D736" t="s">
        <v>190</v>
      </c>
      <c r="F736" t="s">
        <v>7140</v>
      </c>
      <c r="G736" t="s">
        <v>8074</v>
      </c>
      <c r="H736" t="s">
        <v>1144</v>
      </c>
      <c r="I736" t="s">
        <v>11112</v>
      </c>
      <c r="J736" t="s">
        <v>1644</v>
      </c>
      <c r="K736">
        <v>11233</v>
      </c>
      <c r="L736" t="s">
        <v>1670</v>
      </c>
      <c r="M736" t="s">
        <v>1671</v>
      </c>
      <c r="O736" t="s">
        <v>1937</v>
      </c>
      <c r="P736" t="s">
        <v>1962</v>
      </c>
      <c r="R736" t="s">
        <v>50</v>
      </c>
      <c r="S736" t="s">
        <v>1670</v>
      </c>
      <c r="U736" t="s">
        <v>1972</v>
      </c>
      <c r="V736" t="s">
        <v>1984</v>
      </c>
      <c r="W736" t="s">
        <v>221</v>
      </c>
      <c r="X736">
        <v>1292.74</v>
      </c>
      <c r="Y736" t="s">
        <v>2009</v>
      </c>
      <c r="Z736" t="s">
        <v>2017</v>
      </c>
      <c r="AB736" t="s">
        <v>13576</v>
      </c>
      <c r="AE736">
        <v>359</v>
      </c>
      <c r="AF736" t="s">
        <v>2902</v>
      </c>
      <c r="AG736" t="s">
        <v>1754</v>
      </c>
      <c r="AH736">
        <v>27</v>
      </c>
      <c r="AI736">
        <v>2</v>
      </c>
      <c r="AJ736">
        <v>0</v>
      </c>
      <c r="AK736">
        <v>473.09</v>
      </c>
      <c r="AN736" t="s">
        <v>2926</v>
      </c>
      <c r="AO736">
        <v>80000</v>
      </c>
      <c r="AP736" t="s">
        <v>18200</v>
      </c>
      <c r="AU736" t="s">
        <v>13051</v>
      </c>
      <c r="AW736" t="s">
        <v>3059</v>
      </c>
    </row>
    <row r="737" spans="1:50">
      <c r="A737" s="1" t="s">
        <v>82</v>
      </c>
      <c r="B737" t="s">
        <v>163</v>
      </c>
      <c r="C737" t="s">
        <v>3947</v>
      </c>
      <c r="D737" t="s">
        <v>190</v>
      </c>
      <c r="F737" t="s">
        <v>7140</v>
      </c>
      <c r="G737" t="s">
        <v>8074</v>
      </c>
      <c r="H737" t="s">
        <v>1144</v>
      </c>
      <c r="I737" t="s">
        <v>11112</v>
      </c>
      <c r="J737" t="s">
        <v>1644</v>
      </c>
      <c r="K737">
        <v>11233</v>
      </c>
      <c r="L737" t="s">
        <v>1670</v>
      </c>
      <c r="M737" t="s">
        <v>1671</v>
      </c>
      <c r="O737" t="s">
        <v>1938</v>
      </c>
      <c r="P737" t="s">
        <v>1961</v>
      </c>
      <c r="R737" t="s">
        <v>50</v>
      </c>
      <c r="S737" t="s">
        <v>1670</v>
      </c>
      <c r="U737" t="s">
        <v>1972</v>
      </c>
      <c r="V737" t="s">
        <v>1984</v>
      </c>
      <c r="W737" t="s">
        <v>221</v>
      </c>
      <c r="X737">
        <v>1292.74</v>
      </c>
      <c r="Y737" t="s">
        <v>2009</v>
      </c>
      <c r="Z737" t="s">
        <v>2017</v>
      </c>
      <c r="AB737" t="s">
        <v>13576</v>
      </c>
      <c r="AE737">
        <v>359</v>
      </c>
      <c r="AF737" t="s">
        <v>2902</v>
      </c>
      <c r="AG737" t="s">
        <v>1754</v>
      </c>
      <c r="AH737">
        <v>27</v>
      </c>
      <c r="AI737">
        <v>2</v>
      </c>
      <c r="AJ737">
        <v>0</v>
      </c>
      <c r="AK737">
        <v>473.09</v>
      </c>
      <c r="AN737" t="s">
        <v>2926</v>
      </c>
      <c r="AO737">
        <v>80000</v>
      </c>
      <c r="AP737" t="s">
        <v>18068</v>
      </c>
      <c r="AU737" t="s">
        <v>13051</v>
      </c>
      <c r="AW737" t="s">
        <v>3059</v>
      </c>
    </row>
    <row r="738" spans="1:50">
      <c r="A738" s="1" t="s">
        <v>131</v>
      </c>
      <c r="B738" t="s">
        <v>164</v>
      </c>
      <c r="C738" t="s">
        <v>3948</v>
      </c>
      <c r="D738" t="s">
        <v>251</v>
      </c>
      <c r="E738" t="s">
        <v>293</v>
      </c>
      <c r="F738" t="s">
        <v>815</v>
      </c>
      <c r="G738" t="s">
        <v>918</v>
      </c>
      <c r="H738" t="s">
        <v>9675</v>
      </c>
      <c r="I738" t="s">
        <v>1562</v>
      </c>
      <c r="J738" t="s">
        <v>1643</v>
      </c>
      <c r="K738">
        <v>10034</v>
      </c>
      <c r="L738" t="s">
        <v>1670</v>
      </c>
      <c r="M738" t="s">
        <v>1670</v>
      </c>
      <c r="O738" t="s">
        <v>1944</v>
      </c>
      <c r="P738" t="s">
        <v>1961</v>
      </c>
      <c r="Q738" t="s">
        <v>1966</v>
      </c>
      <c r="R738" t="s">
        <v>50</v>
      </c>
      <c r="S738" t="s">
        <v>1671</v>
      </c>
      <c r="U738" t="s">
        <v>1976</v>
      </c>
      <c r="V738" t="s">
        <v>1984</v>
      </c>
      <c r="W738" t="s">
        <v>251</v>
      </c>
      <c r="X738">
        <v>960</v>
      </c>
      <c r="Y738" t="s">
        <v>2008</v>
      </c>
      <c r="Z738" t="s">
        <v>2013</v>
      </c>
      <c r="AA738" t="s">
        <v>2039</v>
      </c>
      <c r="AB738" t="s">
        <v>13577</v>
      </c>
      <c r="AD738" t="s">
        <v>16072</v>
      </c>
      <c r="AE738">
        <v>101</v>
      </c>
      <c r="AF738" t="s">
        <v>2904</v>
      </c>
      <c r="AG738" t="s">
        <v>1754</v>
      </c>
      <c r="AH738">
        <v>16</v>
      </c>
      <c r="AI738">
        <v>1</v>
      </c>
      <c r="AJ738">
        <v>0</v>
      </c>
      <c r="AK738">
        <v>477.76</v>
      </c>
      <c r="AN738" t="s">
        <v>2926</v>
      </c>
      <c r="AO738">
        <v>58000</v>
      </c>
      <c r="AQ738" t="s">
        <v>2978</v>
      </c>
      <c r="AR738" t="s">
        <v>2982</v>
      </c>
      <c r="AS738" t="s">
        <v>2992</v>
      </c>
      <c r="AT738" t="s">
        <v>18513</v>
      </c>
      <c r="AU738">
        <v>53.15</v>
      </c>
      <c r="AV738" t="s">
        <v>220</v>
      </c>
      <c r="AW738" t="s">
        <v>3051</v>
      </c>
    </row>
    <row r="739" spans="1:50">
      <c r="A739" s="1" t="s">
        <v>65</v>
      </c>
      <c r="B739" t="s">
        <v>163</v>
      </c>
      <c r="C739" t="s">
        <v>3949</v>
      </c>
      <c r="D739" t="s">
        <v>266</v>
      </c>
      <c r="F739" t="s">
        <v>7141</v>
      </c>
      <c r="G739" t="s">
        <v>8230</v>
      </c>
      <c r="H739" t="s">
        <v>9529</v>
      </c>
      <c r="I739" t="s">
        <v>1486</v>
      </c>
      <c r="J739" t="s">
        <v>1644</v>
      </c>
      <c r="K739">
        <v>11225</v>
      </c>
      <c r="L739" t="s">
        <v>1670</v>
      </c>
      <c r="M739" t="s">
        <v>1670</v>
      </c>
      <c r="P739" t="s">
        <v>1960</v>
      </c>
      <c r="R739" t="s">
        <v>50</v>
      </c>
      <c r="U739" t="s">
        <v>1972</v>
      </c>
      <c r="W739" t="s">
        <v>2001</v>
      </c>
      <c r="X739" t="s">
        <v>13051</v>
      </c>
      <c r="Y739" t="s">
        <v>2009</v>
      </c>
      <c r="AB739" t="s">
        <v>13578</v>
      </c>
      <c r="AD739" t="s">
        <v>15077</v>
      </c>
      <c r="AE739" t="s">
        <v>13051</v>
      </c>
      <c r="AH739" t="s">
        <v>13051</v>
      </c>
      <c r="AI739">
        <v>2</v>
      </c>
      <c r="AJ739">
        <v>0</v>
      </c>
      <c r="AK739">
        <v>479.01</v>
      </c>
      <c r="AN739" t="s">
        <v>2926</v>
      </c>
      <c r="AO739">
        <v>81000</v>
      </c>
      <c r="AU739">
        <v>1</v>
      </c>
      <c r="AV739" t="s">
        <v>283</v>
      </c>
      <c r="AW739" t="s">
        <v>158</v>
      </c>
    </row>
    <row r="740" spans="1:50">
      <c r="A740" s="1" t="s">
        <v>119</v>
      </c>
      <c r="B740" t="s">
        <v>164</v>
      </c>
      <c r="C740" t="s">
        <v>3950</v>
      </c>
      <c r="D740" t="s">
        <v>204</v>
      </c>
      <c r="E740" t="s">
        <v>170</v>
      </c>
      <c r="F740" t="s">
        <v>7142</v>
      </c>
      <c r="G740" t="s">
        <v>852</v>
      </c>
      <c r="H740" t="s">
        <v>9676</v>
      </c>
      <c r="I740" t="s">
        <v>11113</v>
      </c>
      <c r="J740" t="s">
        <v>1644</v>
      </c>
      <c r="K740">
        <v>11207</v>
      </c>
      <c r="L740" t="s">
        <v>1670</v>
      </c>
      <c r="M740" t="s">
        <v>1670</v>
      </c>
      <c r="N740" t="s">
        <v>12011</v>
      </c>
      <c r="O740" t="s">
        <v>1940</v>
      </c>
      <c r="P740" t="s">
        <v>1960</v>
      </c>
      <c r="Q740" t="s">
        <v>1969</v>
      </c>
      <c r="R740" t="s">
        <v>50</v>
      </c>
      <c r="S740" t="s">
        <v>1671</v>
      </c>
      <c r="U740" t="s">
        <v>1972</v>
      </c>
      <c r="W740" t="s">
        <v>204</v>
      </c>
      <c r="X740">
        <v>900</v>
      </c>
      <c r="Y740" t="s">
        <v>2009</v>
      </c>
      <c r="Z740" t="s">
        <v>2020</v>
      </c>
      <c r="AA740" t="s">
        <v>2032</v>
      </c>
      <c r="AB740" t="s">
        <v>13579</v>
      </c>
      <c r="AD740" t="s">
        <v>16073</v>
      </c>
      <c r="AE740">
        <v>12</v>
      </c>
      <c r="AF740" t="s">
        <v>2902</v>
      </c>
      <c r="AG740" t="s">
        <v>1754</v>
      </c>
      <c r="AH740">
        <v>10</v>
      </c>
      <c r="AI740">
        <v>1</v>
      </c>
      <c r="AJ740">
        <v>0</v>
      </c>
      <c r="AK740">
        <v>479.08</v>
      </c>
      <c r="AL740" t="s">
        <v>229</v>
      </c>
      <c r="AM740" t="s">
        <v>18031</v>
      </c>
      <c r="AN740" t="s">
        <v>2926</v>
      </c>
      <c r="AO740">
        <v>58160</v>
      </c>
      <c r="AP740" t="s">
        <v>18201</v>
      </c>
      <c r="AU740">
        <v>24.5</v>
      </c>
      <c r="AV740" t="s">
        <v>170</v>
      </c>
      <c r="AW740" t="s">
        <v>3060</v>
      </c>
    </row>
    <row r="741" spans="1:50">
      <c r="A741" s="1" t="s">
        <v>65</v>
      </c>
      <c r="B741" t="s">
        <v>163</v>
      </c>
      <c r="C741" t="s">
        <v>3951</v>
      </c>
      <c r="D741" t="s">
        <v>274</v>
      </c>
      <c r="F741" t="s">
        <v>7141</v>
      </c>
      <c r="G741" t="s">
        <v>8230</v>
      </c>
      <c r="H741" t="s">
        <v>9529</v>
      </c>
      <c r="I741" t="s">
        <v>1486</v>
      </c>
      <c r="J741" t="s">
        <v>1644</v>
      </c>
      <c r="K741">
        <v>11225</v>
      </c>
      <c r="L741" t="s">
        <v>1670</v>
      </c>
      <c r="M741" t="s">
        <v>1670</v>
      </c>
      <c r="P741" t="s">
        <v>1960</v>
      </c>
      <c r="R741" t="s">
        <v>50</v>
      </c>
      <c r="S741" t="s">
        <v>1670</v>
      </c>
      <c r="U741" t="s">
        <v>1972</v>
      </c>
      <c r="W741" t="s">
        <v>274</v>
      </c>
      <c r="X741" t="s">
        <v>13051</v>
      </c>
      <c r="Y741" t="s">
        <v>2009</v>
      </c>
      <c r="AB741" t="s">
        <v>13578</v>
      </c>
      <c r="AD741" t="s">
        <v>15077</v>
      </c>
      <c r="AE741" t="s">
        <v>13051</v>
      </c>
      <c r="AH741" t="s">
        <v>13051</v>
      </c>
      <c r="AI741">
        <v>2</v>
      </c>
      <c r="AJ741">
        <v>0</v>
      </c>
      <c r="AK741">
        <v>480.19</v>
      </c>
      <c r="AN741" t="s">
        <v>2926</v>
      </c>
      <c r="AO741">
        <v>81200</v>
      </c>
      <c r="AU741" t="s">
        <v>13051</v>
      </c>
      <c r="AW741" t="s">
        <v>158</v>
      </c>
    </row>
    <row r="742" spans="1:50">
      <c r="A742" s="1" t="s">
        <v>74</v>
      </c>
      <c r="B742" t="s">
        <v>163</v>
      </c>
      <c r="C742" t="s">
        <v>3952</v>
      </c>
      <c r="D742" t="s">
        <v>230</v>
      </c>
      <c r="F742" t="s">
        <v>7118</v>
      </c>
      <c r="G742" t="s">
        <v>8231</v>
      </c>
      <c r="H742" t="s">
        <v>1131</v>
      </c>
      <c r="J742" t="s">
        <v>1641</v>
      </c>
      <c r="K742">
        <v>10460</v>
      </c>
      <c r="L742" t="s">
        <v>1670</v>
      </c>
      <c r="M742" t="s">
        <v>1672</v>
      </c>
      <c r="O742" t="s">
        <v>1675</v>
      </c>
      <c r="P742" t="s">
        <v>1959</v>
      </c>
      <c r="R742" t="s">
        <v>50</v>
      </c>
      <c r="S742" t="s">
        <v>1670</v>
      </c>
      <c r="U742" t="s">
        <v>1972</v>
      </c>
      <c r="W742" t="s">
        <v>1991</v>
      </c>
      <c r="X742">
        <v>1367</v>
      </c>
      <c r="Y742" t="s">
        <v>2006</v>
      </c>
      <c r="Z742" t="s">
        <v>2015</v>
      </c>
      <c r="AB742" t="s">
        <v>13580</v>
      </c>
      <c r="AD742" t="s">
        <v>16074</v>
      </c>
      <c r="AE742">
        <v>168</v>
      </c>
      <c r="AF742" t="s">
        <v>2902</v>
      </c>
      <c r="AG742" t="s">
        <v>1754</v>
      </c>
      <c r="AH742">
        <v>34</v>
      </c>
      <c r="AI742">
        <v>1</v>
      </c>
      <c r="AJ742">
        <v>0</v>
      </c>
      <c r="AK742">
        <v>480.26</v>
      </c>
      <c r="AN742" t="s">
        <v>2926</v>
      </c>
      <c r="AO742">
        <v>59985</v>
      </c>
      <c r="AU742" t="s">
        <v>13051</v>
      </c>
      <c r="AW742" t="s">
        <v>3045</v>
      </c>
      <c r="AX742" t="s">
        <v>18685</v>
      </c>
    </row>
    <row r="743" spans="1:50">
      <c r="A743" s="1" t="s">
        <v>94</v>
      </c>
      <c r="B743" t="s">
        <v>164</v>
      </c>
      <c r="C743" t="s">
        <v>3953</v>
      </c>
      <c r="D743" t="s">
        <v>354</v>
      </c>
      <c r="E743" t="s">
        <v>399</v>
      </c>
      <c r="F743" t="s">
        <v>614</v>
      </c>
      <c r="G743" t="s">
        <v>8232</v>
      </c>
      <c r="H743" t="s">
        <v>9677</v>
      </c>
      <c r="I743" t="s">
        <v>1495</v>
      </c>
      <c r="J743" t="s">
        <v>1643</v>
      </c>
      <c r="K743">
        <v>10034</v>
      </c>
      <c r="L743" t="s">
        <v>1670</v>
      </c>
      <c r="M743" t="s">
        <v>1672</v>
      </c>
      <c r="O743" t="s">
        <v>1941</v>
      </c>
      <c r="P743" t="s">
        <v>1958</v>
      </c>
      <c r="Q743" t="s">
        <v>1965</v>
      </c>
      <c r="R743" t="s">
        <v>50</v>
      </c>
      <c r="S743" t="s">
        <v>1671</v>
      </c>
      <c r="U743" t="s">
        <v>1972</v>
      </c>
      <c r="W743" t="s">
        <v>354</v>
      </c>
      <c r="X743">
        <v>1900</v>
      </c>
      <c r="Y743" t="s">
        <v>2008</v>
      </c>
      <c r="Z743" t="s">
        <v>2013</v>
      </c>
      <c r="AA743" t="s">
        <v>2029</v>
      </c>
      <c r="AB743" t="s">
        <v>13581</v>
      </c>
      <c r="AD743" t="s">
        <v>16075</v>
      </c>
      <c r="AE743">
        <v>85</v>
      </c>
      <c r="AF743" t="s">
        <v>2902</v>
      </c>
      <c r="AG743" t="s">
        <v>1754</v>
      </c>
      <c r="AH743">
        <v>10</v>
      </c>
      <c r="AI743">
        <v>1</v>
      </c>
      <c r="AJ743">
        <v>0</v>
      </c>
      <c r="AK743">
        <v>480.38</v>
      </c>
      <c r="AN743" t="s">
        <v>2926</v>
      </c>
      <c r="AO743">
        <v>60000</v>
      </c>
      <c r="AU743">
        <v>1.3</v>
      </c>
      <c r="AV743" t="s">
        <v>393</v>
      </c>
      <c r="AW743" t="s">
        <v>3042</v>
      </c>
      <c r="AX743" t="s">
        <v>18685</v>
      </c>
    </row>
    <row r="744" spans="1:50">
      <c r="A744" s="1" t="s">
        <v>58</v>
      </c>
      <c r="B744" t="s">
        <v>164</v>
      </c>
      <c r="C744" t="s">
        <v>3954</v>
      </c>
      <c r="D744" t="s">
        <v>294</v>
      </c>
      <c r="E744" t="s">
        <v>195</v>
      </c>
      <c r="F744" t="s">
        <v>573</v>
      </c>
      <c r="G744" t="s">
        <v>8233</v>
      </c>
      <c r="H744" t="s">
        <v>9678</v>
      </c>
      <c r="I744" t="s">
        <v>1525</v>
      </c>
      <c r="J744" t="s">
        <v>1641</v>
      </c>
      <c r="K744">
        <v>10459</v>
      </c>
      <c r="L744" t="s">
        <v>1670</v>
      </c>
      <c r="M744" t="s">
        <v>1670</v>
      </c>
      <c r="O744" t="s">
        <v>1941</v>
      </c>
      <c r="P744" t="s">
        <v>1962</v>
      </c>
      <c r="Q744" t="s">
        <v>1968</v>
      </c>
      <c r="R744" t="s">
        <v>50</v>
      </c>
      <c r="S744" t="s">
        <v>1671</v>
      </c>
      <c r="U744" t="s">
        <v>1972</v>
      </c>
      <c r="W744" t="s">
        <v>221</v>
      </c>
      <c r="X744">
        <v>1750</v>
      </c>
      <c r="Y744" t="s">
        <v>2006</v>
      </c>
      <c r="Z744" t="s">
        <v>2015</v>
      </c>
      <c r="AA744" t="s">
        <v>2029</v>
      </c>
      <c r="AB744" t="s">
        <v>13582</v>
      </c>
      <c r="AD744" t="s">
        <v>16076</v>
      </c>
      <c r="AE744">
        <v>20</v>
      </c>
      <c r="AF744" t="s">
        <v>2904</v>
      </c>
      <c r="AG744" t="s">
        <v>1754</v>
      </c>
      <c r="AH744">
        <v>1</v>
      </c>
      <c r="AI744">
        <v>1</v>
      </c>
      <c r="AJ744">
        <v>0</v>
      </c>
      <c r="AK744">
        <v>480.38</v>
      </c>
      <c r="AN744" t="s">
        <v>2926</v>
      </c>
      <c r="AO744">
        <v>60000</v>
      </c>
      <c r="AU744">
        <v>3</v>
      </c>
      <c r="AV744" t="s">
        <v>324</v>
      </c>
      <c r="AW744" t="s">
        <v>3046</v>
      </c>
    </row>
    <row r="745" spans="1:50">
      <c r="A745" s="1" t="s">
        <v>57</v>
      </c>
      <c r="B745" t="s">
        <v>164</v>
      </c>
      <c r="C745" t="s">
        <v>3955</v>
      </c>
      <c r="D745" t="s">
        <v>336</v>
      </c>
      <c r="E745" t="s">
        <v>221</v>
      </c>
      <c r="F745" t="s">
        <v>544</v>
      </c>
      <c r="G745" t="s">
        <v>8234</v>
      </c>
      <c r="H745" t="s">
        <v>9679</v>
      </c>
      <c r="I745" t="s">
        <v>1621</v>
      </c>
      <c r="J745" t="s">
        <v>1641</v>
      </c>
      <c r="K745">
        <v>10452</v>
      </c>
      <c r="L745" t="s">
        <v>1670</v>
      </c>
      <c r="M745" t="s">
        <v>1670</v>
      </c>
      <c r="O745" t="s">
        <v>1938</v>
      </c>
      <c r="P745" t="s">
        <v>1962</v>
      </c>
      <c r="Q745" t="s">
        <v>1968</v>
      </c>
      <c r="R745" t="s">
        <v>50</v>
      </c>
      <c r="S745" t="s">
        <v>1671</v>
      </c>
      <c r="U745" t="s">
        <v>1972</v>
      </c>
      <c r="W745" t="s">
        <v>316</v>
      </c>
      <c r="X745">
        <v>1226</v>
      </c>
      <c r="Y745" t="s">
        <v>2006</v>
      </c>
      <c r="Z745" t="s">
        <v>2015</v>
      </c>
      <c r="AA745" t="s">
        <v>13063</v>
      </c>
      <c r="AB745" t="s">
        <v>13583</v>
      </c>
      <c r="AD745" t="s">
        <v>16077</v>
      </c>
      <c r="AE745">
        <v>56</v>
      </c>
      <c r="AF745" t="s">
        <v>2904</v>
      </c>
      <c r="AG745" t="s">
        <v>1754</v>
      </c>
      <c r="AH745">
        <v>5</v>
      </c>
      <c r="AI745">
        <v>1</v>
      </c>
      <c r="AJ745">
        <v>0</v>
      </c>
      <c r="AK745">
        <v>480.38</v>
      </c>
      <c r="AN745" t="s">
        <v>2927</v>
      </c>
      <c r="AO745">
        <v>60000</v>
      </c>
      <c r="AU745">
        <v>0.1</v>
      </c>
      <c r="AV745" t="s">
        <v>265</v>
      </c>
      <c r="AW745" t="s">
        <v>3046</v>
      </c>
    </row>
    <row r="746" spans="1:50">
      <c r="A746" s="1" t="s">
        <v>57</v>
      </c>
      <c r="B746" t="s">
        <v>163</v>
      </c>
      <c r="C746" t="s">
        <v>3956</v>
      </c>
      <c r="D746" t="s">
        <v>182</v>
      </c>
      <c r="F746" t="s">
        <v>7143</v>
      </c>
      <c r="G746" t="s">
        <v>8026</v>
      </c>
      <c r="H746" t="s">
        <v>1112</v>
      </c>
      <c r="I746" t="s">
        <v>1624</v>
      </c>
      <c r="J746" t="s">
        <v>1641</v>
      </c>
      <c r="K746">
        <v>10453</v>
      </c>
      <c r="L746" t="s">
        <v>1670</v>
      </c>
      <c r="M746" t="s">
        <v>1670</v>
      </c>
      <c r="O746" t="s">
        <v>1938</v>
      </c>
      <c r="P746" t="s">
        <v>1961</v>
      </c>
      <c r="R746" t="s">
        <v>50</v>
      </c>
      <c r="S746" t="s">
        <v>1670</v>
      </c>
      <c r="U746" t="s">
        <v>1972</v>
      </c>
      <c r="W746" t="s">
        <v>283</v>
      </c>
      <c r="X746">
        <v>897</v>
      </c>
      <c r="Y746" t="s">
        <v>2006</v>
      </c>
      <c r="Z746" t="s">
        <v>2015</v>
      </c>
      <c r="AB746" t="s">
        <v>13584</v>
      </c>
      <c r="AD746" t="s">
        <v>16078</v>
      </c>
      <c r="AE746">
        <v>170</v>
      </c>
      <c r="AF746" t="s">
        <v>2902</v>
      </c>
      <c r="AH746">
        <v>23</v>
      </c>
      <c r="AI746">
        <v>1</v>
      </c>
      <c r="AJ746">
        <v>0</v>
      </c>
      <c r="AK746">
        <v>480.38</v>
      </c>
      <c r="AN746" t="s">
        <v>2926</v>
      </c>
      <c r="AO746">
        <v>60000</v>
      </c>
      <c r="AU746" t="s">
        <v>13051</v>
      </c>
      <c r="AW746" t="s">
        <v>76</v>
      </c>
    </row>
    <row r="747" spans="1:50">
      <c r="A747" s="1" t="s">
        <v>57</v>
      </c>
      <c r="B747" t="s">
        <v>163</v>
      </c>
      <c r="C747" t="s">
        <v>3957</v>
      </c>
      <c r="D747" t="s">
        <v>182</v>
      </c>
      <c r="F747" t="s">
        <v>7143</v>
      </c>
      <c r="G747" t="s">
        <v>8026</v>
      </c>
      <c r="H747" t="s">
        <v>1112</v>
      </c>
      <c r="I747" t="s">
        <v>1624</v>
      </c>
      <c r="J747" t="s">
        <v>1641</v>
      </c>
      <c r="K747">
        <v>10453</v>
      </c>
      <c r="L747" t="s">
        <v>1670</v>
      </c>
      <c r="M747" t="s">
        <v>1670</v>
      </c>
      <c r="N747" t="s">
        <v>1677</v>
      </c>
      <c r="O747" t="s">
        <v>1939</v>
      </c>
      <c r="P747" t="s">
        <v>1960</v>
      </c>
      <c r="R747" t="s">
        <v>50</v>
      </c>
      <c r="S747" t="s">
        <v>1670</v>
      </c>
      <c r="U747" t="s">
        <v>1972</v>
      </c>
      <c r="W747" t="s">
        <v>283</v>
      </c>
      <c r="X747">
        <v>897</v>
      </c>
      <c r="Y747" t="s">
        <v>2006</v>
      </c>
      <c r="Z747" t="s">
        <v>2015</v>
      </c>
      <c r="AB747" t="s">
        <v>13584</v>
      </c>
      <c r="AD747" t="s">
        <v>16078</v>
      </c>
      <c r="AE747">
        <v>170</v>
      </c>
      <c r="AF747" t="s">
        <v>2902</v>
      </c>
      <c r="AH747">
        <v>23</v>
      </c>
      <c r="AI747">
        <v>1</v>
      </c>
      <c r="AJ747">
        <v>0</v>
      </c>
      <c r="AK747">
        <v>480.38</v>
      </c>
      <c r="AN747" t="s">
        <v>2926</v>
      </c>
      <c r="AO747">
        <v>60000</v>
      </c>
      <c r="AU747" t="s">
        <v>13051</v>
      </c>
      <c r="AW747" t="s">
        <v>76</v>
      </c>
    </row>
    <row r="748" spans="1:50">
      <c r="A748" s="1" t="s">
        <v>95</v>
      </c>
      <c r="B748" t="s">
        <v>164</v>
      </c>
      <c r="C748" t="s">
        <v>3958</v>
      </c>
      <c r="D748" t="s">
        <v>353</v>
      </c>
      <c r="E748" t="s">
        <v>258</v>
      </c>
      <c r="F748" t="s">
        <v>7144</v>
      </c>
      <c r="G748" t="s">
        <v>770</v>
      </c>
      <c r="H748" t="s">
        <v>9680</v>
      </c>
      <c r="I748" t="s">
        <v>1488</v>
      </c>
      <c r="J748" t="s">
        <v>1641</v>
      </c>
      <c r="K748">
        <v>10453</v>
      </c>
      <c r="L748" t="s">
        <v>1670</v>
      </c>
      <c r="M748" t="s">
        <v>1670</v>
      </c>
      <c r="O748" t="s">
        <v>1675</v>
      </c>
      <c r="P748" t="s">
        <v>1958</v>
      </c>
      <c r="Q748" t="s">
        <v>1965</v>
      </c>
      <c r="R748" t="s">
        <v>50</v>
      </c>
      <c r="S748" t="s">
        <v>1671</v>
      </c>
      <c r="U748" t="s">
        <v>1972</v>
      </c>
      <c r="W748" t="s">
        <v>353</v>
      </c>
      <c r="X748">
        <v>1526</v>
      </c>
      <c r="Y748" t="s">
        <v>2006</v>
      </c>
      <c r="Z748" t="s">
        <v>2015</v>
      </c>
      <c r="AA748" t="s">
        <v>2029</v>
      </c>
      <c r="AB748" t="s">
        <v>13585</v>
      </c>
      <c r="AD748" t="s">
        <v>16079</v>
      </c>
      <c r="AE748">
        <v>225</v>
      </c>
      <c r="AF748" t="s">
        <v>2902</v>
      </c>
      <c r="AG748" t="s">
        <v>1754</v>
      </c>
      <c r="AH748">
        <v>1</v>
      </c>
      <c r="AI748">
        <v>2</v>
      </c>
      <c r="AJ748">
        <v>0</v>
      </c>
      <c r="AK748">
        <v>484.92</v>
      </c>
      <c r="AN748" t="s">
        <v>2926</v>
      </c>
      <c r="AO748">
        <v>82000</v>
      </c>
      <c r="AU748">
        <v>1.5</v>
      </c>
      <c r="AV748" t="s">
        <v>353</v>
      </c>
      <c r="AW748" t="s">
        <v>95</v>
      </c>
    </row>
    <row r="749" spans="1:50">
      <c r="A749" s="1" t="s">
        <v>65</v>
      </c>
      <c r="B749" t="s">
        <v>163</v>
      </c>
      <c r="C749" t="s">
        <v>3959</v>
      </c>
      <c r="D749" t="s">
        <v>309</v>
      </c>
      <c r="F749" t="s">
        <v>7141</v>
      </c>
      <c r="G749" t="s">
        <v>8230</v>
      </c>
      <c r="H749" t="s">
        <v>9529</v>
      </c>
      <c r="I749" t="s">
        <v>1486</v>
      </c>
      <c r="J749" t="s">
        <v>1644</v>
      </c>
      <c r="K749">
        <v>11225</v>
      </c>
      <c r="L749" t="s">
        <v>1670</v>
      </c>
      <c r="M749" t="s">
        <v>1672</v>
      </c>
      <c r="P749" t="s">
        <v>1960</v>
      </c>
      <c r="R749" t="s">
        <v>50</v>
      </c>
      <c r="U749" t="s">
        <v>1972</v>
      </c>
      <c r="W749" t="s">
        <v>309</v>
      </c>
      <c r="X749" t="s">
        <v>13051</v>
      </c>
      <c r="Y749" t="s">
        <v>2009</v>
      </c>
      <c r="AB749" t="s">
        <v>13578</v>
      </c>
      <c r="AD749" t="s">
        <v>15077</v>
      </c>
      <c r="AE749" t="s">
        <v>13051</v>
      </c>
      <c r="AF749" t="s">
        <v>2902</v>
      </c>
      <c r="AH749" t="s">
        <v>13051</v>
      </c>
      <c r="AI749">
        <v>2</v>
      </c>
      <c r="AJ749">
        <v>0</v>
      </c>
      <c r="AK749">
        <v>493.32</v>
      </c>
      <c r="AN749" t="s">
        <v>2926</v>
      </c>
      <c r="AO749">
        <v>81200</v>
      </c>
      <c r="AU749">
        <v>2.9</v>
      </c>
      <c r="AV749" t="s">
        <v>269</v>
      </c>
      <c r="AW749" t="s">
        <v>3049</v>
      </c>
      <c r="AX749" t="s">
        <v>18685</v>
      </c>
    </row>
    <row r="750" spans="1:50">
      <c r="A750" s="1" t="s">
        <v>74</v>
      </c>
      <c r="B750" t="s">
        <v>163</v>
      </c>
      <c r="C750" t="s">
        <v>3960</v>
      </c>
      <c r="D750" t="s">
        <v>341</v>
      </c>
      <c r="F750" t="s">
        <v>7118</v>
      </c>
      <c r="G750" t="s">
        <v>8231</v>
      </c>
      <c r="H750" t="s">
        <v>1131</v>
      </c>
      <c r="J750" t="s">
        <v>1641</v>
      </c>
      <c r="K750">
        <v>10460</v>
      </c>
      <c r="L750" t="s">
        <v>1670</v>
      </c>
      <c r="M750" t="s">
        <v>1670</v>
      </c>
      <c r="N750" t="s">
        <v>1692</v>
      </c>
      <c r="O750" t="s">
        <v>1939</v>
      </c>
      <c r="P750" t="s">
        <v>1960</v>
      </c>
      <c r="R750" t="s">
        <v>50</v>
      </c>
      <c r="S750" t="s">
        <v>1670</v>
      </c>
      <c r="U750" t="s">
        <v>1972</v>
      </c>
      <c r="W750" t="s">
        <v>283</v>
      </c>
      <c r="X750">
        <v>1367</v>
      </c>
      <c r="Y750" t="s">
        <v>2006</v>
      </c>
      <c r="Z750" t="s">
        <v>2015</v>
      </c>
      <c r="AB750" t="s">
        <v>13580</v>
      </c>
      <c r="AD750" t="s">
        <v>16074</v>
      </c>
      <c r="AE750" t="s">
        <v>13051</v>
      </c>
      <c r="AF750" t="s">
        <v>2904</v>
      </c>
      <c r="AG750" t="s">
        <v>1754</v>
      </c>
      <c r="AH750">
        <v>34</v>
      </c>
      <c r="AI750">
        <v>1</v>
      </c>
      <c r="AJ750">
        <v>0</v>
      </c>
      <c r="AK750">
        <v>494.11</v>
      </c>
      <c r="AN750" t="s">
        <v>2926</v>
      </c>
      <c r="AO750">
        <v>59985</v>
      </c>
      <c r="AU750" t="s">
        <v>13051</v>
      </c>
      <c r="AW750" t="s">
        <v>3046</v>
      </c>
    </row>
    <row r="751" spans="1:50">
      <c r="A751" s="1" t="s">
        <v>135</v>
      </c>
      <c r="B751" t="s">
        <v>163</v>
      </c>
      <c r="C751" t="s">
        <v>3961</v>
      </c>
      <c r="D751" t="s">
        <v>349</v>
      </c>
      <c r="F751" t="s">
        <v>7145</v>
      </c>
      <c r="G751" t="s">
        <v>8235</v>
      </c>
      <c r="H751" t="s">
        <v>9425</v>
      </c>
      <c r="I751" t="s">
        <v>11114</v>
      </c>
      <c r="J751" t="s">
        <v>1644</v>
      </c>
      <c r="K751">
        <v>11216</v>
      </c>
      <c r="L751" t="s">
        <v>1670</v>
      </c>
      <c r="M751" t="s">
        <v>1670</v>
      </c>
      <c r="O751" t="s">
        <v>1675</v>
      </c>
      <c r="P751" t="s">
        <v>1962</v>
      </c>
      <c r="R751" t="s">
        <v>50</v>
      </c>
      <c r="S751" t="s">
        <v>1670</v>
      </c>
      <c r="U751" t="s">
        <v>1972</v>
      </c>
      <c r="W751" t="s">
        <v>225</v>
      </c>
      <c r="X751">
        <v>2200</v>
      </c>
      <c r="Y751" t="s">
        <v>2009</v>
      </c>
      <c r="Z751" t="s">
        <v>2016</v>
      </c>
      <c r="AB751" t="s">
        <v>13586</v>
      </c>
      <c r="AD751" t="s">
        <v>16080</v>
      </c>
      <c r="AE751">
        <v>82</v>
      </c>
      <c r="AF751" t="s">
        <v>2902</v>
      </c>
      <c r="AG751" t="s">
        <v>1754</v>
      </c>
      <c r="AH751">
        <v>1</v>
      </c>
      <c r="AI751">
        <v>1</v>
      </c>
      <c r="AJ751">
        <v>0</v>
      </c>
      <c r="AK751">
        <v>494.23</v>
      </c>
      <c r="AL751" t="s">
        <v>218</v>
      </c>
      <c r="AM751" t="s">
        <v>18031</v>
      </c>
      <c r="AN751" t="s">
        <v>2926</v>
      </c>
      <c r="AO751">
        <v>60000</v>
      </c>
      <c r="AP751" t="s">
        <v>2953</v>
      </c>
      <c r="AU751" t="s">
        <v>13051</v>
      </c>
      <c r="AW751" t="s">
        <v>3060</v>
      </c>
    </row>
    <row r="752" spans="1:50">
      <c r="A752" s="1" t="s">
        <v>133</v>
      </c>
      <c r="B752" t="s">
        <v>163</v>
      </c>
      <c r="C752" t="s">
        <v>3962</v>
      </c>
      <c r="D752" t="s">
        <v>298</v>
      </c>
      <c r="F752" t="s">
        <v>7146</v>
      </c>
      <c r="G752" t="s">
        <v>8236</v>
      </c>
      <c r="H752" t="s">
        <v>1255</v>
      </c>
      <c r="I752" t="s">
        <v>1509</v>
      </c>
      <c r="J752" t="s">
        <v>1644</v>
      </c>
      <c r="K752">
        <v>11207</v>
      </c>
      <c r="L752" t="s">
        <v>1671</v>
      </c>
      <c r="M752" t="s">
        <v>1671</v>
      </c>
      <c r="O752" t="s">
        <v>1675</v>
      </c>
      <c r="P752" t="s">
        <v>1962</v>
      </c>
      <c r="R752" t="s">
        <v>50</v>
      </c>
      <c r="S752" t="s">
        <v>1670</v>
      </c>
      <c r="U752" t="s">
        <v>1972</v>
      </c>
      <c r="V752" t="s">
        <v>1984</v>
      </c>
      <c r="W752" t="s">
        <v>252</v>
      </c>
      <c r="X752">
        <v>1000</v>
      </c>
      <c r="Y752" t="s">
        <v>2009</v>
      </c>
      <c r="Z752" t="s">
        <v>2020</v>
      </c>
      <c r="AB752" t="s">
        <v>13587</v>
      </c>
      <c r="AE752">
        <v>6</v>
      </c>
      <c r="AF752" t="s">
        <v>2902</v>
      </c>
      <c r="AG752" t="s">
        <v>1754</v>
      </c>
      <c r="AH752">
        <v>3</v>
      </c>
      <c r="AI752">
        <v>1</v>
      </c>
      <c r="AJ752">
        <v>0</v>
      </c>
      <c r="AK752">
        <v>494.23</v>
      </c>
      <c r="AN752" t="s">
        <v>2926</v>
      </c>
      <c r="AO752">
        <v>60000</v>
      </c>
      <c r="AU752" t="s">
        <v>13051</v>
      </c>
      <c r="AW752" t="s">
        <v>3060</v>
      </c>
    </row>
    <row r="753" spans="1:50">
      <c r="A753" s="1" t="s">
        <v>133</v>
      </c>
      <c r="B753" t="s">
        <v>163</v>
      </c>
      <c r="C753" t="s">
        <v>3963</v>
      </c>
      <c r="D753" t="s">
        <v>298</v>
      </c>
      <c r="F753" t="s">
        <v>7146</v>
      </c>
      <c r="G753" t="s">
        <v>8236</v>
      </c>
      <c r="H753" t="s">
        <v>1255</v>
      </c>
      <c r="I753" t="s">
        <v>1509</v>
      </c>
      <c r="J753" t="s">
        <v>1644</v>
      </c>
      <c r="K753">
        <v>11207</v>
      </c>
      <c r="L753" t="s">
        <v>1671</v>
      </c>
      <c r="M753" t="s">
        <v>1671</v>
      </c>
      <c r="O753" t="s">
        <v>1675</v>
      </c>
      <c r="P753" t="s">
        <v>1959</v>
      </c>
      <c r="R753" t="s">
        <v>50</v>
      </c>
      <c r="S753" t="s">
        <v>1670</v>
      </c>
      <c r="U753" t="s">
        <v>1972</v>
      </c>
      <c r="V753" t="s">
        <v>1984</v>
      </c>
      <c r="W753" t="s">
        <v>1989</v>
      </c>
      <c r="X753">
        <v>1000</v>
      </c>
      <c r="Y753" t="s">
        <v>2009</v>
      </c>
      <c r="Z753" t="s">
        <v>2020</v>
      </c>
      <c r="AB753" t="s">
        <v>13587</v>
      </c>
      <c r="AE753">
        <v>6</v>
      </c>
      <c r="AF753" t="s">
        <v>2902</v>
      </c>
      <c r="AG753" t="s">
        <v>1754</v>
      </c>
      <c r="AH753">
        <v>3</v>
      </c>
      <c r="AI753">
        <v>1</v>
      </c>
      <c r="AJ753">
        <v>0</v>
      </c>
      <c r="AK753">
        <v>494.23</v>
      </c>
      <c r="AN753" t="s">
        <v>2926</v>
      </c>
      <c r="AO753">
        <v>60000</v>
      </c>
      <c r="AU753" t="s">
        <v>13051</v>
      </c>
      <c r="AW753" t="s">
        <v>3060</v>
      </c>
    </row>
    <row r="754" spans="1:50">
      <c r="A754" s="1" t="s">
        <v>133</v>
      </c>
      <c r="B754" t="s">
        <v>163</v>
      </c>
      <c r="C754" t="s">
        <v>3964</v>
      </c>
      <c r="D754" t="s">
        <v>298</v>
      </c>
      <c r="F754" t="s">
        <v>7146</v>
      </c>
      <c r="G754" t="s">
        <v>8236</v>
      </c>
      <c r="H754" t="s">
        <v>1255</v>
      </c>
      <c r="I754" t="s">
        <v>1509</v>
      </c>
      <c r="J754" t="s">
        <v>1644</v>
      </c>
      <c r="K754">
        <v>11207</v>
      </c>
      <c r="L754" t="s">
        <v>1671</v>
      </c>
      <c r="M754" t="s">
        <v>1671</v>
      </c>
      <c r="O754" t="s">
        <v>1938</v>
      </c>
      <c r="P754" t="s">
        <v>1961</v>
      </c>
      <c r="R754" t="s">
        <v>50</v>
      </c>
      <c r="S754" t="s">
        <v>1670</v>
      </c>
      <c r="U754" t="s">
        <v>1972</v>
      </c>
      <c r="V754" t="s">
        <v>1984</v>
      </c>
      <c r="W754" t="s">
        <v>1989</v>
      </c>
      <c r="X754">
        <v>1000</v>
      </c>
      <c r="Y754" t="s">
        <v>2009</v>
      </c>
      <c r="Z754" t="s">
        <v>2020</v>
      </c>
      <c r="AA754" t="s">
        <v>2030</v>
      </c>
      <c r="AB754" t="s">
        <v>13587</v>
      </c>
      <c r="AC754" t="s">
        <v>1754</v>
      </c>
      <c r="AE754">
        <v>6</v>
      </c>
      <c r="AF754" t="s">
        <v>2902</v>
      </c>
      <c r="AG754" t="s">
        <v>1754</v>
      </c>
      <c r="AH754">
        <v>3</v>
      </c>
      <c r="AI754">
        <v>1</v>
      </c>
      <c r="AJ754">
        <v>0</v>
      </c>
      <c r="AK754">
        <v>494.23</v>
      </c>
      <c r="AN754" t="s">
        <v>2926</v>
      </c>
      <c r="AO754">
        <v>60000</v>
      </c>
      <c r="AU754">
        <v>0.5</v>
      </c>
      <c r="AV754" t="s">
        <v>243</v>
      </c>
      <c r="AW754" t="s">
        <v>3060</v>
      </c>
    </row>
    <row r="755" spans="1:50">
      <c r="A755" s="1" t="s">
        <v>133</v>
      </c>
      <c r="B755" t="s">
        <v>163</v>
      </c>
      <c r="C755" t="s">
        <v>3965</v>
      </c>
      <c r="D755" t="s">
        <v>298</v>
      </c>
      <c r="F755" t="s">
        <v>7146</v>
      </c>
      <c r="G755" t="s">
        <v>8236</v>
      </c>
      <c r="H755" t="s">
        <v>1255</v>
      </c>
      <c r="I755" t="s">
        <v>1509</v>
      </c>
      <c r="J755" t="s">
        <v>1644</v>
      </c>
      <c r="K755">
        <v>11207</v>
      </c>
      <c r="L755" t="s">
        <v>1671</v>
      </c>
      <c r="M755" t="s">
        <v>1671</v>
      </c>
      <c r="O755" t="s">
        <v>1938</v>
      </c>
      <c r="P755" t="s">
        <v>1961</v>
      </c>
      <c r="R755" t="s">
        <v>50</v>
      </c>
      <c r="S755" t="s">
        <v>1670</v>
      </c>
      <c r="U755" t="s">
        <v>1972</v>
      </c>
      <c r="V755" t="s">
        <v>1984</v>
      </c>
      <c r="W755" t="s">
        <v>252</v>
      </c>
      <c r="X755">
        <v>1000</v>
      </c>
      <c r="Y755" t="s">
        <v>2009</v>
      </c>
      <c r="Z755" t="s">
        <v>2020</v>
      </c>
      <c r="AB755" t="s">
        <v>13587</v>
      </c>
      <c r="AC755" t="s">
        <v>1754</v>
      </c>
      <c r="AE755">
        <v>6</v>
      </c>
      <c r="AF755" t="s">
        <v>2902</v>
      </c>
      <c r="AG755" t="s">
        <v>1754</v>
      </c>
      <c r="AH755">
        <v>3</v>
      </c>
      <c r="AI755">
        <v>1</v>
      </c>
      <c r="AJ755">
        <v>0</v>
      </c>
      <c r="AK755">
        <v>494.23</v>
      </c>
      <c r="AN755" t="s">
        <v>2926</v>
      </c>
      <c r="AO755">
        <v>60000</v>
      </c>
      <c r="AU755" t="s">
        <v>13051</v>
      </c>
      <c r="AW755" t="s">
        <v>3060</v>
      </c>
    </row>
    <row r="756" spans="1:50">
      <c r="A756" s="1" t="s">
        <v>135</v>
      </c>
      <c r="B756" t="s">
        <v>163</v>
      </c>
      <c r="C756" t="s">
        <v>3966</v>
      </c>
      <c r="D756" t="s">
        <v>349</v>
      </c>
      <c r="F756" t="s">
        <v>7145</v>
      </c>
      <c r="G756" t="s">
        <v>8235</v>
      </c>
      <c r="H756" t="s">
        <v>9425</v>
      </c>
      <c r="I756" t="s">
        <v>11114</v>
      </c>
      <c r="J756" t="s">
        <v>1644</v>
      </c>
      <c r="K756">
        <v>11216</v>
      </c>
      <c r="L756" t="s">
        <v>1670</v>
      </c>
      <c r="M756" t="s">
        <v>1670</v>
      </c>
      <c r="O756" t="s">
        <v>1952</v>
      </c>
      <c r="P756" t="s">
        <v>1960</v>
      </c>
      <c r="R756" t="s">
        <v>50</v>
      </c>
      <c r="S756" t="s">
        <v>1670</v>
      </c>
      <c r="U756" t="s">
        <v>1972</v>
      </c>
      <c r="W756" t="s">
        <v>225</v>
      </c>
      <c r="X756">
        <v>2200</v>
      </c>
      <c r="Y756" t="s">
        <v>2009</v>
      </c>
      <c r="Z756" t="s">
        <v>2016</v>
      </c>
      <c r="AB756" t="s">
        <v>13586</v>
      </c>
      <c r="AD756" t="s">
        <v>16080</v>
      </c>
      <c r="AE756">
        <v>82</v>
      </c>
      <c r="AF756" t="s">
        <v>2902</v>
      </c>
      <c r="AG756" t="s">
        <v>1754</v>
      </c>
      <c r="AH756">
        <v>1</v>
      </c>
      <c r="AI756">
        <v>1</v>
      </c>
      <c r="AJ756">
        <v>0</v>
      </c>
      <c r="AK756">
        <v>494.23</v>
      </c>
      <c r="AL756" t="s">
        <v>218</v>
      </c>
      <c r="AM756" t="s">
        <v>18031</v>
      </c>
      <c r="AN756" t="s">
        <v>2926</v>
      </c>
      <c r="AO756">
        <v>60000</v>
      </c>
      <c r="AP756" t="s">
        <v>18202</v>
      </c>
      <c r="AU756" t="s">
        <v>13051</v>
      </c>
      <c r="AW756" t="s">
        <v>3060</v>
      </c>
    </row>
    <row r="757" spans="1:50">
      <c r="A757" s="1" t="s">
        <v>133</v>
      </c>
      <c r="B757" t="s">
        <v>163</v>
      </c>
      <c r="C757" t="s">
        <v>3967</v>
      </c>
      <c r="D757" t="s">
        <v>298</v>
      </c>
      <c r="F757" t="s">
        <v>7146</v>
      </c>
      <c r="G757" t="s">
        <v>8236</v>
      </c>
      <c r="H757" t="s">
        <v>1255</v>
      </c>
      <c r="I757" t="s">
        <v>1509</v>
      </c>
      <c r="J757" t="s">
        <v>1644</v>
      </c>
      <c r="K757">
        <v>11207</v>
      </c>
      <c r="L757" t="s">
        <v>1671</v>
      </c>
      <c r="M757" t="s">
        <v>1671</v>
      </c>
      <c r="O757" t="s">
        <v>1951</v>
      </c>
      <c r="P757" t="s">
        <v>1960</v>
      </c>
      <c r="R757" t="s">
        <v>50</v>
      </c>
      <c r="S757" t="s">
        <v>1670</v>
      </c>
      <c r="U757" t="s">
        <v>1972</v>
      </c>
      <c r="V757" t="s">
        <v>1984</v>
      </c>
      <c r="W757" t="s">
        <v>252</v>
      </c>
      <c r="X757">
        <v>1000</v>
      </c>
      <c r="Y757" t="s">
        <v>2009</v>
      </c>
      <c r="Z757" t="s">
        <v>2020</v>
      </c>
      <c r="AB757" t="s">
        <v>13587</v>
      </c>
      <c r="AC757" t="s">
        <v>1754</v>
      </c>
      <c r="AE757">
        <v>6</v>
      </c>
      <c r="AF757" t="s">
        <v>2902</v>
      </c>
      <c r="AG757" t="s">
        <v>1754</v>
      </c>
      <c r="AH757">
        <v>3</v>
      </c>
      <c r="AI757">
        <v>1</v>
      </c>
      <c r="AJ757">
        <v>0</v>
      </c>
      <c r="AK757">
        <v>494.23</v>
      </c>
      <c r="AN757" t="s">
        <v>2926</v>
      </c>
      <c r="AO757">
        <v>60000</v>
      </c>
      <c r="AU757" t="s">
        <v>13051</v>
      </c>
      <c r="AW757" t="s">
        <v>3060</v>
      </c>
    </row>
    <row r="758" spans="1:50">
      <c r="A758" s="1" t="s">
        <v>133</v>
      </c>
      <c r="B758" t="s">
        <v>163</v>
      </c>
      <c r="C758" t="s">
        <v>3968</v>
      </c>
      <c r="D758" t="s">
        <v>298</v>
      </c>
      <c r="F758" t="s">
        <v>7146</v>
      </c>
      <c r="G758" t="s">
        <v>8236</v>
      </c>
      <c r="H758" t="s">
        <v>1255</v>
      </c>
      <c r="I758" t="s">
        <v>1509</v>
      </c>
      <c r="J758" t="s">
        <v>1644</v>
      </c>
      <c r="K758">
        <v>11207</v>
      </c>
      <c r="L758" t="s">
        <v>1671</v>
      </c>
      <c r="M758" t="s">
        <v>1671</v>
      </c>
      <c r="N758" t="s">
        <v>1675</v>
      </c>
      <c r="O758" t="s">
        <v>1952</v>
      </c>
      <c r="P758" t="s">
        <v>1960</v>
      </c>
      <c r="R758" t="s">
        <v>50</v>
      </c>
      <c r="S758" t="s">
        <v>1670</v>
      </c>
      <c r="U758" t="s">
        <v>1972</v>
      </c>
      <c r="V758" t="s">
        <v>1984</v>
      </c>
      <c r="W758" t="s">
        <v>261</v>
      </c>
      <c r="X758">
        <v>1000</v>
      </c>
      <c r="Y758" t="s">
        <v>2009</v>
      </c>
      <c r="Z758" t="s">
        <v>2020</v>
      </c>
      <c r="AB758" t="s">
        <v>13587</v>
      </c>
      <c r="AC758" t="s">
        <v>1754</v>
      </c>
      <c r="AE758">
        <v>6</v>
      </c>
      <c r="AF758" t="s">
        <v>2902</v>
      </c>
      <c r="AG758" t="s">
        <v>1754</v>
      </c>
      <c r="AH758">
        <v>3</v>
      </c>
      <c r="AI758">
        <v>1</v>
      </c>
      <c r="AJ758">
        <v>0</v>
      </c>
      <c r="AK758">
        <v>494.23</v>
      </c>
      <c r="AN758" t="s">
        <v>2926</v>
      </c>
      <c r="AO758">
        <v>60000</v>
      </c>
      <c r="AU758" t="s">
        <v>13051</v>
      </c>
      <c r="AW758" t="s">
        <v>3060</v>
      </c>
    </row>
    <row r="759" spans="1:50">
      <c r="A759" s="1" t="s">
        <v>111</v>
      </c>
      <c r="B759" t="s">
        <v>163</v>
      </c>
      <c r="C759" t="s">
        <v>3969</v>
      </c>
      <c r="D759" t="s">
        <v>6159</v>
      </c>
      <c r="F759" t="s">
        <v>650</v>
      </c>
      <c r="G759" t="s">
        <v>8237</v>
      </c>
      <c r="H759" t="s">
        <v>1260</v>
      </c>
      <c r="I759" t="s">
        <v>1540</v>
      </c>
      <c r="J759" t="s">
        <v>1641</v>
      </c>
      <c r="K759">
        <v>10453</v>
      </c>
      <c r="L759" t="s">
        <v>1670</v>
      </c>
      <c r="M759" t="s">
        <v>1670</v>
      </c>
      <c r="O759" t="s">
        <v>1675</v>
      </c>
      <c r="P759" t="s">
        <v>1959</v>
      </c>
      <c r="R759" t="s">
        <v>50</v>
      </c>
      <c r="S759" t="s">
        <v>1670</v>
      </c>
      <c r="U759" t="s">
        <v>1972</v>
      </c>
      <c r="W759" t="s">
        <v>222</v>
      </c>
      <c r="X759">
        <v>1102.63</v>
      </c>
      <c r="Y759" t="s">
        <v>2006</v>
      </c>
      <c r="Z759" t="s">
        <v>2015</v>
      </c>
      <c r="AB759" t="s">
        <v>13588</v>
      </c>
      <c r="AD759" t="s">
        <v>16081</v>
      </c>
      <c r="AE759">
        <v>44</v>
      </c>
      <c r="AF759" t="s">
        <v>2902</v>
      </c>
      <c r="AG759" t="s">
        <v>1754</v>
      </c>
      <c r="AH759">
        <v>28</v>
      </c>
      <c r="AI759">
        <v>1</v>
      </c>
      <c r="AJ759">
        <v>0</v>
      </c>
      <c r="AK759">
        <v>496.46</v>
      </c>
      <c r="AN759" t="s">
        <v>2927</v>
      </c>
      <c r="AO759">
        <v>62007.92</v>
      </c>
      <c r="AU759" t="s">
        <v>13051</v>
      </c>
      <c r="AW759" t="s">
        <v>3047</v>
      </c>
      <c r="AX759" t="s">
        <v>18685</v>
      </c>
    </row>
    <row r="760" spans="1:50">
      <c r="A760" s="1" t="s">
        <v>91</v>
      </c>
      <c r="B760" t="s">
        <v>163</v>
      </c>
      <c r="C760" t="s">
        <v>3970</v>
      </c>
      <c r="D760" t="s">
        <v>403</v>
      </c>
      <c r="F760" t="s">
        <v>507</v>
      </c>
      <c r="G760" t="s">
        <v>8238</v>
      </c>
      <c r="H760" t="s">
        <v>9496</v>
      </c>
      <c r="I760" t="s">
        <v>11115</v>
      </c>
      <c r="J760" t="s">
        <v>1643</v>
      </c>
      <c r="K760">
        <v>10033</v>
      </c>
      <c r="L760" t="s">
        <v>1670</v>
      </c>
      <c r="M760" t="s">
        <v>1672</v>
      </c>
      <c r="P760" t="s">
        <v>1958</v>
      </c>
      <c r="R760" t="s">
        <v>50</v>
      </c>
      <c r="S760" t="s">
        <v>1671</v>
      </c>
      <c r="U760" t="s">
        <v>1972</v>
      </c>
      <c r="W760" t="s">
        <v>403</v>
      </c>
      <c r="X760">
        <v>2070</v>
      </c>
      <c r="Y760" t="s">
        <v>2008</v>
      </c>
      <c r="Z760" t="s">
        <v>2013</v>
      </c>
      <c r="AB760" t="s">
        <v>13589</v>
      </c>
      <c r="AD760" t="s">
        <v>16082</v>
      </c>
      <c r="AE760">
        <v>91</v>
      </c>
      <c r="AF760" t="s">
        <v>2902</v>
      </c>
      <c r="AG760" t="s">
        <v>1754</v>
      </c>
      <c r="AH760">
        <v>7</v>
      </c>
      <c r="AI760">
        <v>1</v>
      </c>
      <c r="AJ760">
        <v>0</v>
      </c>
      <c r="AK760">
        <v>498.83</v>
      </c>
      <c r="AN760" t="s">
        <v>2926</v>
      </c>
      <c r="AO760">
        <v>62304</v>
      </c>
      <c r="AU760" t="s">
        <v>13051</v>
      </c>
      <c r="AW760" t="s">
        <v>3042</v>
      </c>
      <c r="AX760" t="s">
        <v>18685</v>
      </c>
    </row>
    <row r="761" spans="1:50">
      <c r="A761" s="1" t="s">
        <v>53</v>
      </c>
      <c r="B761" t="s">
        <v>164</v>
      </c>
      <c r="C761" t="s">
        <v>3971</v>
      </c>
      <c r="D761" t="s">
        <v>358</v>
      </c>
      <c r="E761" t="s">
        <v>209</v>
      </c>
      <c r="F761" t="s">
        <v>7147</v>
      </c>
      <c r="G761" t="s">
        <v>8239</v>
      </c>
      <c r="H761" t="s">
        <v>9681</v>
      </c>
      <c r="I761" t="s">
        <v>1543</v>
      </c>
      <c r="J761" t="s">
        <v>1668</v>
      </c>
      <c r="K761">
        <v>11354</v>
      </c>
      <c r="L761" t="s">
        <v>1670</v>
      </c>
      <c r="M761" t="s">
        <v>1670</v>
      </c>
      <c r="N761" t="s">
        <v>1754</v>
      </c>
      <c r="O761" t="s">
        <v>1675</v>
      </c>
      <c r="P761" t="s">
        <v>1958</v>
      </c>
      <c r="Q761" t="s">
        <v>1965</v>
      </c>
      <c r="R761" t="s">
        <v>50</v>
      </c>
      <c r="S761" t="s">
        <v>1671</v>
      </c>
      <c r="U761" t="s">
        <v>1972</v>
      </c>
      <c r="V761" t="s">
        <v>1984</v>
      </c>
      <c r="W761" t="s">
        <v>358</v>
      </c>
      <c r="X761">
        <v>2100</v>
      </c>
      <c r="Y761" t="s">
        <v>2007</v>
      </c>
      <c r="Z761" t="s">
        <v>2028</v>
      </c>
      <c r="AA761" t="s">
        <v>2029</v>
      </c>
      <c r="AB761" t="s">
        <v>13590</v>
      </c>
      <c r="AC761" t="s">
        <v>1754</v>
      </c>
      <c r="AD761" t="s">
        <v>16083</v>
      </c>
      <c r="AE761">
        <v>120</v>
      </c>
      <c r="AF761" t="s">
        <v>2903</v>
      </c>
      <c r="AG761" t="s">
        <v>1754</v>
      </c>
      <c r="AH761">
        <v>1</v>
      </c>
      <c r="AI761">
        <v>2</v>
      </c>
      <c r="AJ761">
        <v>0</v>
      </c>
      <c r="AK761">
        <v>501.22</v>
      </c>
      <c r="AN761" t="s">
        <v>18035</v>
      </c>
      <c r="AO761">
        <v>82500</v>
      </c>
      <c r="AU761">
        <v>1.4</v>
      </c>
      <c r="AV761" t="s">
        <v>209</v>
      </c>
      <c r="AW761" t="s">
        <v>53</v>
      </c>
    </row>
    <row r="762" spans="1:50">
      <c r="A762" s="1" t="s">
        <v>82</v>
      </c>
      <c r="B762" t="s">
        <v>163</v>
      </c>
      <c r="C762" t="s">
        <v>3972</v>
      </c>
      <c r="D762" t="s">
        <v>293</v>
      </c>
      <c r="F762" t="s">
        <v>7148</v>
      </c>
      <c r="G762" t="s">
        <v>8240</v>
      </c>
      <c r="H762" t="s">
        <v>1144</v>
      </c>
      <c r="I762" t="s">
        <v>11116</v>
      </c>
      <c r="J762" t="s">
        <v>1644</v>
      </c>
      <c r="K762">
        <v>11233</v>
      </c>
      <c r="L762" t="s">
        <v>1670</v>
      </c>
      <c r="M762" t="s">
        <v>1671</v>
      </c>
      <c r="O762" t="s">
        <v>1937</v>
      </c>
      <c r="P762" t="s">
        <v>1962</v>
      </c>
      <c r="R762" t="s">
        <v>50</v>
      </c>
      <c r="S762" t="s">
        <v>1670</v>
      </c>
      <c r="U762" t="s">
        <v>1972</v>
      </c>
      <c r="V762" t="s">
        <v>1984</v>
      </c>
      <c r="W762" t="s">
        <v>221</v>
      </c>
      <c r="X762">
        <v>1170.14</v>
      </c>
      <c r="Y762" t="s">
        <v>2009</v>
      </c>
      <c r="Z762" t="s">
        <v>2017</v>
      </c>
      <c r="AB762" t="s">
        <v>13591</v>
      </c>
      <c r="AE762">
        <v>359</v>
      </c>
      <c r="AF762" t="s">
        <v>2902</v>
      </c>
      <c r="AH762">
        <v>19</v>
      </c>
      <c r="AI762">
        <v>2</v>
      </c>
      <c r="AJ762">
        <v>0</v>
      </c>
      <c r="AK762">
        <v>502.66</v>
      </c>
      <c r="AN762" t="s">
        <v>2926</v>
      </c>
      <c r="AO762">
        <v>85000</v>
      </c>
      <c r="AP762" t="s">
        <v>18203</v>
      </c>
      <c r="AU762" t="s">
        <v>13051</v>
      </c>
      <c r="AW762" t="s">
        <v>3059</v>
      </c>
    </row>
    <row r="763" spans="1:50">
      <c r="A763" s="1" t="s">
        <v>82</v>
      </c>
      <c r="B763" t="s">
        <v>163</v>
      </c>
      <c r="C763" t="s">
        <v>3973</v>
      </c>
      <c r="D763" t="s">
        <v>293</v>
      </c>
      <c r="F763" t="s">
        <v>7148</v>
      </c>
      <c r="G763" t="s">
        <v>8240</v>
      </c>
      <c r="H763" t="s">
        <v>1144</v>
      </c>
      <c r="I763" t="s">
        <v>11116</v>
      </c>
      <c r="J763" t="s">
        <v>1644</v>
      </c>
      <c r="K763">
        <v>11233</v>
      </c>
      <c r="L763" t="s">
        <v>1670</v>
      </c>
      <c r="M763" t="s">
        <v>1671</v>
      </c>
      <c r="O763" t="s">
        <v>1938</v>
      </c>
      <c r="P763" t="s">
        <v>1961</v>
      </c>
      <c r="R763" t="s">
        <v>50</v>
      </c>
      <c r="S763" t="s">
        <v>1670</v>
      </c>
      <c r="U763" t="s">
        <v>1972</v>
      </c>
      <c r="V763" t="s">
        <v>1984</v>
      </c>
      <c r="W763" t="s">
        <v>248</v>
      </c>
      <c r="X763">
        <v>1170.14</v>
      </c>
      <c r="Y763" t="s">
        <v>2009</v>
      </c>
      <c r="Z763" t="s">
        <v>2017</v>
      </c>
      <c r="AB763" t="s">
        <v>13591</v>
      </c>
      <c r="AE763">
        <v>359</v>
      </c>
      <c r="AF763" t="s">
        <v>2902</v>
      </c>
      <c r="AH763">
        <v>19</v>
      </c>
      <c r="AI763">
        <v>2</v>
      </c>
      <c r="AJ763">
        <v>0</v>
      </c>
      <c r="AK763">
        <v>502.66</v>
      </c>
      <c r="AN763" t="s">
        <v>2926</v>
      </c>
      <c r="AO763">
        <v>85000</v>
      </c>
      <c r="AP763" t="s">
        <v>18071</v>
      </c>
      <c r="AU763" t="s">
        <v>13051</v>
      </c>
      <c r="AW763" t="s">
        <v>3059</v>
      </c>
    </row>
    <row r="764" spans="1:50">
      <c r="A764" s="1" t="s">
        <v>3158</v>
      </c>
      <c r="B764" t="s">
        <v>164</v>
      </c>
      <c r="C764" t="s">
        <v>3974</v>
      </c>
      <c r="D764" t="s">
        <v>6160</v>
      </c>
      <c r="E764" t="s">
        <v>207</v>
      </c>
      <c r="F764" t="s">
        <v>419</v>
      </c>
      <c r="G764" t="s">
        <v>843</v>
      </c>
      <c r="H764" t="s">
        <v>9640</v>
      </c>
      <c r="I764" t="s">
        <v>1506</v>
      </c>
      <c r="J764" t="s">
        <v>1643</v>
      </c>
      <c r="K764">
        <v>10032</v>
      </c>
      <c r="L764" t="s">
        <v>1670</v>
      </c>
      <c r="M764" t="s">
        <v>1672</v>
      </c>
      <c r="O764" t="s">
        <v>1675</v>
      </c>
      <c r="P764" t="s">
        <v>1958</v>
      </c>
      <c r="Q764" t="s">
        <v>1965</v>
      </c>
      <c r="R764" t="s">
        <v>50</v>
      </c>
      <c r="S764" t="s">
        <v>1671</v>
      </c>
      <c r="U764" t="s">
        <v>1972</v>
      </c>
      <c r="V764" t="s">
        <v>1984</v>
      </c>
      <c r="W764" t="s">
        <v>6160</v>
      </c>
      <c r="X764">
        <v>1136.19</v>
      </c>
      <c r="Y764" t="s">
        <v>2008</v>
      </c>
      <c r="Z764" t="s">
        <v>2013</v>
      </c>
      <c r="AA764" t="s">
        <v>2029</v>
      </c>
      <c r="AB764" t="s">
        <v>13592</v>
      </c>
      <c r="AD764" t="s">
        <v>16084</v>
      </c>
      <c r="AE764">
        <v>53</v>
      </c>
      <c r="AF764" t="s">
        <v>2902</v>
      </c>
      <c r="AG764" t="s">
        <v>1754</v>
      </c>
      <c r="AH764">
        <v>40</v>
      </c>
      <c r="AI764">
        <v>3</v>
      </c>
      <c r="AJ764">
        <v>0</v>
      </c>
      <c r="AK764">
        <v>503.37</v>
      </c>
      <c r="AN764" t="s">
        <v>2926</v>
      </c>
      <c r="AO764">
        <v>104600</v>
      </c>
      <c r="AU764">
        <v>1</v>
      </c>
      <c r="AV764" t="s">
        <v>6160</v>
      </c>
      <c r="AW764" t="s">
        <v>3042</v>
      </c>
    </row>
    <row r="765" spans="1:50">
      <c r="A765" s="1" t="s">
        <v>76</v>
      </c>
      <c r="B765" t="s">
        <v>163</v>
      </c>
      <c r="C765" t="s">
        <v>3975</v>
      </c>
      <c r="D765" t="s">
        <v>183</v>
      </c>
      <c r="F765" t="s">
        <v>546</v>
      </c>
      <c r="G765" t="s">
        <v>8241</v>
      </c>
      <c r="H765" t="s">
        <v>9682</v>
      </c>
      <c r="I765" t="s">
        <v>1538</v>
      </c>
      <c r="J765" t="s">
        <v>1641</v>
      </c>
      <c r="K765">
        <v>10453</v>
      </c>
      <c r="L765" t="s">
        <v>1670</v>
      </c>
      <c r="M765" t="s">
        <v>1670</v>
      </c>
      <c r="N765" t="s">
        <v>12012</v>
      </c>
      <c r="O765" t="s">
        <v>1940</v>
      </c>
      <c r="P765" t="s">
        <v>1958</v>
      </c>
      <c r="R765" t="s">
        <v>50</v>
      </c>
      <c r="S765" t="s">
        <v>1671</v>
      </c>
      <c r="U765" t="s">
        <v>1972</v>
      </c>
      <c r="W765" t="s">
        <v>183</v>
      </c>
      <c r="X765">
        <v>1289.96</v>
      </c>
      <c r="Y765" t="s">
        <v>2006</v>
      </c>
      <c r="Z765" t="s">
        <v>2011</v>
      </c>
      <c r="AB765" t="s">
        <v>13593</v>
      </c>
      <c r="AD765" t="s">
        <v>16085</v>
      </c>
      <c r="AE765">
        <v>225</v>
      </c>
      <c r="AF765" t="s">
        <v>2902</v>
      </c>
      <c r="AG765" t="s">
        <v>1754</v>
      </c>
      <c r="AH765">
        <v>20</v>
      </c>
      <c r="AI765">
        <v>1</v>
      </c>
      <c r="AJ765">
        <v>0</v>
      </c>
      <c r="AK765">
        <v>504.4</v>
      </c>
      <c r="AN765" t="s">
        <v>2926</v>
      </c>
      <c r="AO765">
        <v>63000</v>
      </c>
      <c r="AU765" t="s">
        <v>13051</v>
      </c>
      <c r="AW765" t="s">
        <v>3053</v>
      </c>
      <c r="AX765" t="s">
        <v>18685</v>
      </c>
    </row>
    <row r="766" spans="1:50">
      <c r="A766" s="1" t="s">
        <v>82</v>
      </c>
      <c r="B766" t="s">
        <v>163</v>
      </c>
      <c r="C766" t="s">
        <v>3976</v>
      </c>
      <c r="D766" t="s">
        <v>324</v>
      </c>
      <c r="F766" t="s">
        <v>578</v>
      </c>
      <c r="G766" t="s">
        <v>8242</v>
      </c>
      <c r="H766" t="s">
        <v>1144</v>
      </c>
      <c r="I766" t="s">
        <v>11117</v>
      </c>
      <c r="J766" t="s">
        <v>1644</v>
      </c>
      <c r="K766">
        <v>11233</v>
      </c>
      <c r="L766" t="s">
        <v>1670</v>
      </c>
      <c r="M766" t="s">
        <v>1671</v>
      </c>
      <c r="N766" t="s">
        <v>1754</v>
      </c>
      <c r="O766" t="s">
        <v>1937</v>
      </c>
      <c r="P766" t="s">
        <v>1962</v>
      </c>
      <c r="R766" t="s">
        <v>50</v>
      </c>
      <c r="S766" t="s">
        <v>1670</v>
      </c>
      <c r="U766" t="s">
        <v>1972</v>
      </c>
      <c r="V766" t="s">
        <v>1984</v>
      </c>
      <c r="W766" t="s">
        <v>221</v>
      </c>
      <c r="X766">
        <v>680</v>
      </c>
      <c r="Y766" t="s">
        <v>2009</v>
      </c>
      <c r="AB766" t="s">
        <v>13594</v>
      </c>
      <c r="AE766">
        <v>359</v>
      </c>
      <c r="AF766" t="s">
        <v>2902</v>
      </c>
      <c r="AG766" t="s">
        <v>1754</v>
      </c>
      <c r="AH766">
        <v>3</v>
      </c>
      <c r="AI766">
        <v>1</v>
      </c>
      <c r="AJ766">
        <v>0</v>
      </c>
      <c r="AK766">
        <v>504.4</v>
      </c>
      <c r="AN766" t="s">
        <v>2926</v>
      </c>
      <c r="AO766">
        <v>63000</v>
      </c>
      <c r="AP766" t="s">
        <v>18204</v>
      </c>
      <c r="AU766" t="s">
        <v>13051</v>
      </c>
      <c r="AW766" t="s">
        <v>3060</v>
      </c>
    </row>
    <row r="767" spans="1:50">
      <c r="A767" s="1" t="s">
        <v>82</v>
      </c>
      <c r="B767" t="s">
        <v>163</v>
      </c>
      <c r="C767" t="s">
        <v>3977</v>
      </c>
      <c r="D767" t="s">
        <v>210</v>
      </c>
      <c r="F767" t="s">
        <v>578</v>
      </c>
      <c r="G767" t="s">
        <v>8242</v>
      </c>
      <c r="H767" t="s">
        <v>1144</v>
      </c>
      <c r="I767" t="s">
        <v>11117</v>
      </c>
      <c r="J767" t="s">
        <v>1644</v>
      </c>
      <c r="K767">
        <v>11233</v>
      </c>
      <c r="L767" t="s">
        <v>1670</v>
      </c>
      <c r="M767" t="s">
        <v>1671</v>
      </c>
      <c r="O767" t="s">
        <v>1938</v>
      </c>
      <c r="P767" t="s">
        <v>1961</v>
      </c>
      <c r="R767" t="s">
        <v>50</v>
      </c>
      <c r="S767" t="s">
        <v>1670</v>
      </c>
      <c r="U767" t="s">
        <v>1972</v>
      </c>
      <c r="V767" t="s">
        <v>1984</v>
      </c>
      <c r="W767" t="s">
        <v>248</v>
      </c>
      <c r="X767">
        <v>680</v>
      </c>
      <c r="Y767" t="s">
        <v>2009</v>
      </c>
      <c r="Z767" t="s">
        <v>2017</v>
      </c>
      <c r="AB767" t="s">
        <v>13594</v>
      </c>
      <c r="AE767">
        <v>359</v>
      </c>
      <c r="AF767" t="s">
        <v>2902</v>
      </c>
      <c r="AG767" t="s">
        <v>1754</v>
      </c>
      <c r="AH767">
        <v>3</v>
      </c>
      <c r="AI767">
        <v>1</v>
      </c>
      <c r="AJ767">
        <v>0</v>
      </c>
      <c r="AK767">
        <v>504.4</v>
      </c>
      <c r="AN767" t="s">
        <v>2926</v>
      </c>
      <c r="AO767">
        <v>63000</v>
      </c>
      <c r="AP767" t="s">
        <v>18205</v>
      </c>
      <c r="AU767" t="s">
        <v>13051</v>
      </c>
      <c r="AW767" t="s">
        <v>3059</v>
      </c>
    </row>
    <row r="768" spans="1:50">
      <c r="A768" s="1" t="s">
        <v>111</v>
      </c>
      <c r="B768" t="s">
        <v>163</v>
      </c>
      <c r="C768" t="s">
        <v>3978</v>
      </c>
      <c r="D768" t="s">
        <v>243</v>
      </c>
      <c r="F768" t="s">
        <v>650</v>
      </c>
      <c r="G768" t="s">
        <v>8237</v>
      </c>
      <c r="H768" t="s">
        <v>1260</v>
      </c>
      <c r="I768" t="s">
        <v>1540</v>
      </c>
      <c r="J768" t="s">
        <v>1641</v>
      </c>
      <c r="K768">
        <v>10453</v>
      </c>
      <c r="L768" t="s">
        <v>1670</v>
      </c>
      <c r="M768" t="s">
        <v>1670</v>
      </c>
      <c r="O768" t="s">
        <v>1938</v>
      </c>
      <c r="P768" t="s">
        <v>1961</v>
      </c>
      <c r="R768" t="s">
        <v>50</v>
      </c>
      <c r="S768" t="s">
        <v>1670</v>
      </c>
      <c r="U768" t="s">
        <v>1972</v>
      </c>
      <c r="W768" t="s">
        <v>283</v>
      </c>
      <c r="X768">
        <v>1102.63</v>
      </c>
      <c r="Y768" t="s">
        <v>2006</v>
      </c>
      <c r="Z768" t="s">
        <v>2015</v>
      </c>
      <c r="AB768" t="s">
        <v>13588</v>
      </c>
      <c r="AD768" t="s">
        <v>16081</v>
      </c>
      <c r="AE768" t="s">
        <v>13051</v>
      </c>
      <c r="AF768" t="s">
        <v>2902</v>
      </c>
      <c r="AG768" t="s">
        <v>1754</v>
      </c>
      <c r="AH768">
        <v>28</v>
      </c>
      <c r="AI768">
        <v>1</v>
      </c>
      <c r="AJ768">
        <v>0</v>
      </c>
      <c r="AK768">
        <v>510.77</v>
      </c>
      <c r="AN768" t="s">
        <v>2927</v>
      </c>
      <c r="AO768">
        <v>62007.92</v>
      </c>
      <c r="AU768" t="s">
        <v>13051</v>
      </c>
      <c r="AW768" t="s">
        <v>3047</v>
      </c>
    </row>
    <row r="769" spans="1:50">
      <c r="A769" s="1" t="s">
        <v>111</v>
      </c>
      <c r="B769" t="s">
        <v>163</v>
      </c>
      <c r="C769" t="s">
        <v>3979</v>
      </c>
      <c r="D769" t="s">
        <v>243</v>
      </c>
      <c r="F769" t="s">
        <v>650</v>
      </c>
      <c r="G769" t="s">
        <v>8237</v>
      </c>
      <c r="H769" t="s">
        <v>1260</v>
      </c>
      <c r="I769" t="s">
        <v>1540</v>
      </c>
      <c r="J769" t="s">
        <v>1641</v>
      </c>
      <c r="K769">
        <v>10453</v>
      </c>
      <c r="L769" t="s">
        <v>1670</v>
      </c>
      <c r="M769" t="s">
        <v>1670</v>
      </c>
      <c r="N769" t="s">
        <v>1778</v>
      </c>
      <c r="O769" t="s">
        <v>1939</v>
      </c>
      <c r="P769" t="s">
        <v>1960</v>
      </c>
      <c r="R769" t="s">
        <v>50</v>
      </c>
      <c r="S769" t="s">
        <v>1670</v>
      </c>
      <c r="U769" t="s">
        <v>1972</v>
      </c>
      <c r="W769" t="s">
        <v>283</v>
      </c>
      <c r="X769">
        <v>1102.63</v>
      </c>
      <c r="Y769" t="s">
        <v>2006</v>
      </c>
      <c r="Z769" t="s">
        <v>2015</v>
      </c>
      <c r="AB769" t="s">
        <v>13588</v>
      </c>
      <c r="AD769" t="s">
        <v>16081</v>
      </c>
      <c r="AE769">
        <v>44</v>
      </c>
      <c r="AF769" t="s">
        <v>2902</v>
      </c>
      <c r="AG769" t="s">
        <v>1754</v>
      </c>
      <c r="AH769">
        <v>28</v>
      </c>
      <c r="AI769">
        <v>1</v>
      </c>
      <c r="AJ769">
        <v>0</v>
      </c>
      <c r="AK769">
        <v>510.77</v>
      </c>
      <c r="AN769" t="s">
        <v>2927</v>
      </c>
      <c r="AO769">
        <v>62007.92</v>
      </c>
      <c r="AU769" t="s">
        <v>13051</v>
      </c>
      <c r="AW769" t="s">
        <v>3047</v>
      </c>
    </row>
    <row r="770" spans="1:50">
      <c r="A770" s="1" t="s">
        <v>73</v>
      </c>
      <c r="B770" t="s">
        <v>163</v>
      </c>
      <c r="C770" t="s">
        <v>3980</v>
      </c>
      <c r="D770" t="s">
        <v>270</v>
      </c>
      <c r="F770" t="s">
        <v>7149</v>
      </c>
      <c r="G770" t="s">
        <v>921</v>
      </c>
      <c r="H770" t="s">
        <v>9683</v>
      </c>
      <c r="I770" t="s">
        <v>1575</v>
      </c>
      <c r="J770" t="s">
        <v>1662</v>
      </c>
      <c r="K770">
        <v>11104</v>
      </c>
      <c r="L770" t="s">
        <v>1670</v>
      </c>
      <c r="M770" t="s">
        <v>1670</v>
      </c>
      <c r="N770" t="s">
        <v>12013</v>
      </c>
      <c r="O770" t="s">
        <v>1936</v>
      </c>
      <c r="P770" t="s">
        <v>1960</v>
      </c>
      <c r="R770" t="s">
        <v>50</v>
      </c>
      <c r="S770" t="s">
        <v>1671</v>
      </c>
      <c r="U770" t="s">
        <v>1972</v>
      </c>
      <c r="V770" t="s">
        <v>1984</v>
      </c>
      <c r="W770" t="s">
        <v>270</v>
      </c>
      <c r="X770">
        <v>1308.56</v>
      </c>
      <c r="Y770" t="s">
        <v>2007</v>
      </c>
      <c r="Z770" t="s">
        <v>2014</v>
      </c>
      <c r="AB770" t="s">
        <v>13595</v>
      </c>
      <c r="AC770" t="s">
        <v>15090</v>
      </c>
      <c r="AD770" t="s">
        <v>16086</v>
      </c>
      <c r="AE770">
        <v>8</v>
      </c>
      <c r="AF770" t="s">
        <v>2902</v>
      </c>
      <c r="AG770" t="s">
        <v>1754</v>
      </c>
      <c r="AH770">
        <v>35</v>
      </c>
      <c r="AI770">
        <v>2</v>
      </c>
      <c r="AJ770">
        <v>0</v>
      </c>
      <c r="AK770">
        <v>510.91</v>
      </c>
      <c r="AN770" t="s">
        <v>2926</v>
      </c>
      <c r="AO770">
        <v>84096</v>
      </c>
      <c r="AQ770" t="s">
        <v>2979</v>
      </c>
      <c r="AR770" t="s">
        <v>2017</v>
      </c>
      <c r="AS770" t="s">
        <v>2994</v>
      </c>
      <c r="AT770" t="s">
        <v>18518</v>
      </c>
      <c r="AU770">
        <v>9.1</v>
      </c>
      <c r="AV770" t="s">
        <v>199</v>
      </c>
      <c r="AW770" t="s">
        <v>53</v>
      </c>
    </row>
    <row r="771" spans="1:50">
      <c r="A771" s="1" t="s">
        <v>82</v>
      </c>
      <c r="B771" t="s">
        <v>163</v>
      </c>
      <c r="C771" t="s">
        <v>3981</v>
      </c>
      <c r="D771" t="s">
        <v>226</v>
      </c>
      <c r="F771" t="s">
        <v>427</v>
      </c>
      <c r="G771" t="s">
        <v>8243</v>
      </c>
      <c r="H771" t="s">
        <v>9442</v>
      </c>
      <c r="I771" t="s">
        <v>11118</v>
      </c>
      <c r="J771" t="s">
        <v>1644</v>
      </c>
      <c r="K771">
        <v>11233</v>
      </c>
      <c r="L771" t="s">
        <v>1670</v>
      </c>
      <c r="M771" t="s">
        <v>1671</v>
      </c>
      <c r="O771" t="s">
        <v>1937</v>
      </c>
      <c r="P771" t="s">
        <v>1962</v>
      </c>
      <c r="R771" t="s">
        <v>50</v>
      </c>
      <c r="S771" t="s">
        <v>1670</v>
      </c>
      <c r="U771" t="s">
        <v>1972</v>
      </c>
      <c r="V771" t="s">
        <v>1984</v>
      </c>
      <c r="W771" t="s">
        <v>221</v>
      </c>
      <c r="X771">
        <v>950</v>
      </c>
      <c r="Y771" t="s">
        <v>2009</v>
      </c>
      <c r="Z771" t="s">
        <v>2017</v>
      </c>
      <c r="AB771" t="s">
        <v>13596</v>
      </c>
      <c r="AE771">
        <v>359</v>
      </c>
      <c r="AF771" t="s">
        <v>2902</v>
      </c>
      <c r="AH771">
        <v>9</v>
      </c>
      <c r="AI771">
        <v>1</v>
      </c>
      <c r="AJ771">
        <v>0</v>
      </c>
      <c r="AK771">
        <v>511.84</v>
      </c>
      <c r="AN771" t="s">
        <v>2926</v>
      </c>
      <c r="AO771">
        <v>63929</v>
      </c>
      <c r="AP771" t="s">
        <v>18206</v>
      </c>
      <c r="AU771" t="s">
        <v>13051</v>
      </c>
      <c r="AW771" t="s">
        <v>3059</v>
      </c>
    </row>
    <row r="772" spans="1:50">
      <c r="A772" s="1" t="s">
        <v>82</v>
      </c>
      <c r="B772" t="s">
        <v>163</v>
      </c>
      <c r="C772" t="s">
        <v>3982</v>
      </c>
      <c r="D772" t="s">
        <v>226</v>
      </c>
      <c r="F772" t="s">
        <v>427</v>
      </c>
      <c r="G772" t="s">
        <v>8243</v>
      </c>
      <c r="H772" t="s">
        <v>9442</v>
      </c>
      <c r="I772" t="s">
        <v>11118</v>
      </c>
      <c r="J772" t="s">
        <v>1644</v>
      </c>
      <c r="K772">
        <v>11233</v>
      </c>
      <c r="L772" t="s">
        <v>1670</v>
      </c>
      <c r="M772" t="s">
        <v>1671</v>
      </c>
      <c r="O772" t="s">
        <v>1938</v>
      </c>
      <c r="P772" t="s">
        <v>1961</v>
      </c>
      <c r="R772" t="s">
        <v>50</v>
      </c>
      <c r="S772" t="s">
        <v>1670</v>
      </c>
      <c r="U772" t="s">
        <v>1972</v>
      </c>
      <c r="V772" t="s">
        <v>1984</v>
      </c>
      <c r="W772" t="s">
        <v>248</v>
      </c>
      <c r="X772">
        <v>950</v>
      </c>
      <c r="Y772" t="s">
        <v>2009</v>
      </c>
      <c r="Z772" t="s">
        <v>2017</v>
      </c>
      <c r="AB772" t="s">
        <v>13596</v>
      </c>
      <c r="AE772">
        <v>359</v>
      </c>
      <c r="AF772" t="s">
        <v>2902</v>
      </c>
      <c r="AH772">
        <v>9</v>
      </c>
      <c r="AI772">
        <v>1</v>
      </c>
      <c r="AJ772">
        <v>0</v>
      </c>
      <c r="AK772">
        <v>511.84</v>
      </c>
      <c r="AN772" t="s">
        <v>2926</v>
      </c>
      <c r="AO772">
        <v>63929</v>
      </c>
      <c r="AP772" t="s">
        <v>18071</v>
      </c>
      <c r="AU772" t="s">
        <v>13051</v>
      </c>
      <c r="AW772" t="s">
        <v>3059</v>
      </c>
    </row>
    <row r="773" spans="1:50">
      <c r="A773" s="1" t="s">
        <v>132</v>
      </c>
      <c r="B773" t="s">
        <v>163</v>
      </c>
      <c r="C773" t="s">
        <v>3983</v>
      </c>
      <c r="D773" t="s">
        <v>198</v>
      </c>
      <c r="F773" t="s">
        <v>7150</v>
      </c>
      <c r="G773" t="s">
        <v>8244</v>
      </c>
      <c r="H773" t="s">
        <v>1385</v>
      </c>
      <c r="I773" t="s">
        <v>11119</v>
      </c>
      <c r="J773" t="s">
        <v>1644</v>
      </c>
      <c r="K773">
        <v>11213</v>
      </c>
      <c r="L773" t="s">
        <v>1670</v>
      </c>
      <c r="M773" t="s">
        <v>1670</v>
      </c>
      <c r="N773" t="s">
        <v>1675</v>
      </c>
      <c r="O773" t="s">
        <v>1937</v>
      </c>
      <c r="P773" t="s">
        <v>1962</v>
      </c>
      <c r="R773" t="s">
        <v>50</v>
      </c>
      <c r="S773" t="s">
        <v>1670</v>
      </c>
      <c r="U773" t="s">
        <v>1972</v>
      </c>
      <c r="W773" t="s">
        <v>345</v>
      </c>
      <c r="X773">
        <v>540</v>
      </c>
      <c r="Y773" t="s">
        <v>2009</v>
      </c>
      <c r="Z773" t="s">
        <v>2015</v>
      </c>
      <c r="AB773" t="s">
        <v>13597</v>
      </c>
      <c r="AD773" t="s">
        <v>16087</v>
      </c>
      <c r="AE773">
        <v>6</v>
      </c>
      <c r="AF773" t="s">
        <v>2902</v>
      </c>
      <c r="AG773" t="s">
        <v>1754</v>
      </c>
      <c r="AH773">
        <v>18</v>
      </c>
      <c r="AI773">
        <v>1</v>
      </c>
      <c r="AJ773">
        <v>0</v>
      </c>
      <c r="AK773">
        <v>512.41</v>
      </c>
      <c r="AN773" t="s">
        <v>2926</v>
      </c>
      <c r="AO773">
        <v>64000</v>
      </c>
      <c r="AU773" t="s">
        <v>13051</v>
      </c>
      <c r="AW773" t="s">
        <v>3059</v>
      </c>
      <c r="AX773" t="s">
        <v>18685</v>
      </c>
    </row>
    <row r="774" spans="1:50">
      <c r="A774" s="1" t="s">
        <v>132</v>
      </c>
      <c r="B774" t="s">
        <v>163</v>
      </c>
      <c r="C774" t="s">
        <v>3984</v>
      </c>
      <c r="D774" t="s">
        <v>198</v>
      </c>
      <c r="F774" t="s">
        <v>7150</v>
      </c>
      <c r="G774" t="s">
        <v>8244</v>
      </c>
      <c r="H774" t="s">
        <v>1385</v>
      </c>
      <c r="I774" t="s">
        <v>11119</v>
      </c>
      <c r="J774" t="s">
        <v>1644</v>
      </c>
      <c r="K774">
        <v>11213</v>
      </c>
      <c r="L774" t="s">
        <v>1670</v>
      </c>
      <c r="M774" t="s">
        <v>1670</v>
      </c>
      <c r="N774" t="s">
        <v>1675</v>
      </c>
      <c r="O774" t="s">
        <v>1937</v>
      </c>
      <c r="P774" t="s">
        <v>1962</v>
      </c>
      <c r="R774" t="s">
        <v>50</v>
      </c>
      <c r="S774" t="s">
        <v>1670</v>
      </c>
      <c r="U774" t="s">
        <v>1972</v>
      </c>
      <c r="W774" t="s">
        <v>255</v>
      </c>
      <c r="X774">
        <v>540</v>
      </c>
      <c r="Y774" t="s">
        <v>2009</v>
      </c>
      <c r="Z774" t="s">
        <v>2015</v>
      </c>
      <c r="AB774" t="s">
        <v>13597</v>
      </c>
      <c r="AD774" t="s">
        <v>16087</v>
      </c>
      <c r="AE774">
        <v>6</v>
      </c>
      <c r="AF774" t="s">
        <v>2902</v>
      </c>
      <c r="AG774" t="s">
        <v>1754</v>
      </c>
      <c r="AH774">
        <v>18</v>
      </c>
      <c r="AI774">
        <v>1</v>
      </c>
      <c r="AJ774">
        <v>0</v>
      </c>
      <c r="AK774">
        <v>512.41</v>
      </c>
      <c r="AN774" t="s">
        <v>2926</v>
      </c>
      <c r="AO774">
        <v>64000</v>
      </c>
      <c r="AP774" t="s">
        <v>18207</v>
      </c>
      <c r="AU774" t="s">
        <v>13051</v>
      </c>
      <c r="AW774" t="s">
        <v>3059</v>
      </c>
      <c r="AX774" t="s">
        <v>18685</v>
      </c>
    </row>
    <row r="775" spans="1:50">
      <c r="A775" s="1" t="s">
        <v>132</v>
      </c>
      <c r="B775" t="s">
        <v>163</v>
      </c>
      <c r="C775" t="s">
        <v>3985</v>
      </c>
      <c r="D775" t="s">
        <v>198</v>
      </c>
      <c r="F775" t="s">
        <v>7150</v>
      </c>
      <c r="G775" t="s">
        <v>8244</v>
      </c>
      <c r="H775" t="s">
        <v>1385</v>
      </c>
      <c r="I775" t="s">
        <v>11119</v>
      </c>
      <c r="J775" t="s">
        <v>1644</v>
      </c>
      <c r="K775">
        <v>11213</v>
      </c>
      <c r="L775" t="s">
        <v>1670</v>
      </c>
      <c r="M775" t="s">
        <v>1670</v>
      </c>
      <c r="N775" t="s">
        <v>12014</v>
      </c>
      <c r="O775" t="s">
        <v>1938</v>
      </c>
      <c r="P775" t="s">
        <v>1961</v>
      </c>
      <c r="R775" t="s">
        <v>50</v>
      </c>
      <c r="S775" t="s">
        <v>1670</v>
      </c>
      <c r="U775" t="s">
        <v>1972</v>
      </c>
      <c r="W775" t="s">
        <v>266</v>
      </c>
      <c r="X775">
        <v>540</v>
      </c>
      <c r="Y775" t="s">
        <v>2009</v>
      </c>
      <c r="Z775" t="s">
        <v>2015</v>
      </c>
      <c r="AB775" t="s">
        <v>13597</v>
      </c>
      <c r="AD775" t="s">
        <v>16087</v>
      </c>
      <c r="AE775">
        <v>6</v>
      </c>
      <c r="AF775" t="s">
        <v>2902</v>
      </c>
      <c r="AG775" t="s">
        <v>1754</v>
      </c>
      <c r="AH775">
        <v>18</v>
      </c>
      <c r="AI775">
        <v>1</v>
      </c>
      <c r="AJ775">
        <v>0</v>
      </c>
      <c r="AK775">
        <v>512.41</v>
      </c>
      <c r="AN775" t="s">
        <v>2926</v>
      </c>
      <c r="AO775">
        <v>64000</v>
      </c>
      <c r="AP775" t="s">
        <v>18208</v>
      </c>
      <c r="AU775" t="s">
        <v>13051</v>
      </c>
      <c r="AW775" t="s">
        <v>3059</v>
      </c>
      <c r="AX775" t="s">
        <v>18685</v>
      </c>
    </row>
    <row r="776" spans="1:50">
      <c r="A776" s="1" t="s">
        <v>132</v>
      </c>
      <c r="B776" t="s">
        <v>163</v>
      </c>
      <c r="C776" t="s">
        <v>3986</v>
      </c>
      <c r="D776" t="s">
        <v>198</v>
      </c>
      <c r="F776" t="s">
        <v>7150</v>
      </c>
      <c r="G776" t="s">
        <v>8244</v>
      </c>
      <c r="H776" t="s">
        <v>1385</v>
      </c>
      <c r="I776" t="s">
        <v>11119</v>
      </c>
      <c r="J776" t="s">
        <v>1644</v>
      </c>
      <c r="K776">
        <v>11213</v>
      </c>
      <c r="L776" t="s">
        <v>1670</v>
      </c>
      <c r="M776" t="s">
        <v>1670</v>
      </c>
      <c r="N776" t="s">
        <v>1871</v>
      </c>
      <c r="O776" t="s">
        <v>1939</v>
      </c>
      <c r="P776" t="s">
        <v>1960</v>
      </c>
      <c r="R776" t="s">
        <v>50</v>
      </c>
      <c r="S776" t="s">
        <v>1670</v>
      </c>
      <c r="U776" t="s">
        <v>1972</v>
      </c>
      <c r="W776" t="s">
        <v>266</v>
      </c>
      <c r="X776">
        <v>540</v>
      </c>
      <c r="Y776" t="s">
        <v>2009</v>
      </c>
      <c r="Z776" t="s">
        <v>2015</v>
      </c>
      <c r="AB776" t="s">
        <v>13597</v>
      </c>
      <c r="AD776" t="s">
        <v>16087</v>
      </c>
      <c r="AE776">
        <v>6</v>
      </c>
      <c r="AF776" t="s">
        <v>2902</v>
      </c>
      <c r="AG776" t="s">
        <v>1754</v>
      </c>
      <c r="AH776">
        <v>18</v>
      </c>
      <c r="AI776">
        <v>1</v>
      </c>
      <c r="AJ776">
        <v>0</v>
      </c>
      <c r="AK776">
        <v>512.41</v>
      </c>
      <c r="AN776" t="s">
        <v>2926</v>
      </c>
      <c r="AO776">
        <v>64000</v>
      </c>
      <c r="AP776" t="s">
        <v>18209</v>
      </c>
      <c r="AU776" t="s">
        <v>13051</v>
      </c>
      <c r="AW776" t="s">
        <v>3059</v>
      </c>
      <c r="AX776" t="s">
        <v>18685</v>
      </c>
    </row>
    <row r="777" spans="1:50">
      <c r="A777" s="1" t="s">
        <v>88</v>
      </c>
      <c r="B777" t="s">
        <v>163</v>
      </c>
      <c r="C777" t="s">
        <v>3987</v>
      </c>
      <c r="D777" t="s">
        <v>364</v>
      </c>
      <c r="F777" t="s">
        <v>7150</v>
      </c>
      <c r="G777" t="s">
        <v>8244</v>
      </c>
      <c r="H777" t="s">
        <v>1385</v>
      </c>
      <c r="I777" t="s">
        <v>11119</v>
      </c>
      <c r="J777" t="s">
        <v>1644</v>
      </c>
      <c r="K777">
        <v>11213</v>
      </c>
      <c r="L777" t="s">
        <v>1671</v>
      </c>
      <c r="M777" t="s">
        <v>1672</v>
      </c>
      <c r="N777" t="s">
        <v>12015</v>
      </c>
      <c r="O777" t="s">
        <v>1936</v>
      </c>
      <c r="P777" t="s">
        <v>1960</v>
      </c>
      <c r="R777" t="s">
        <v>50</v>
      </c>
      <c r="S777" t="s">
        <v>1671</v>
      </c>
      <c r="U777" t="s">
        <v>1972</v>
      </c>
      <c r="V777" t="s">
        <v>1984</v>
      </c>
      <c r="W777" t="s">
        <v>327</v>
      </c>
      <c r="X777">
        <v>540</v>
      </c>
      <c r="Y777" t="s">
        <v>2009</v>
      </c>
      <c r="Z777" t="s">
        <v>2020</v>
      </c>
      <c r="AB777" t="s">
        <v>13597</v>
      </c>
      <c r="AC777" t="s">
        <v>1754</v>
      </c>
      <c r="AD777" t="s">
        <v>16087</v>
      </c>
      <c r="AE777">
        <v>6</v>
      </c>
      <c r="AF777" t="s">
        <v>2902</v>
      </c>
      <c r="AG777" t="s">
        <v>1754</v>
      </c>
      <c r="AH777">
        <v>18</v>
      </c>
      <c r="AI777">
        <v>1</v>
      </c>
      <c r="AJ777">
        <v>0</v>
      </c>
      <c r="AK777">
        <v>512.41</v>
      </c>
      <c r="AN777" t="s">
        <v>2926</v>
      </c>
      <c r="AO777">
        <v>64000</v>
      </c>
      <c r="AP777" t="s">
        <v>18210</v>
      </c>
      <c r="AU777">
        <v>0.4</v>
      </c>
      <c r="AV777" t="s">
        <v>1994</v>
      </c>
      <c r="AW777" t="s">
        <v>3060</v>
      </c>
      <c r="AX777" t="s">
        <v>18685</v>
      </c>
    </row>
    <row r="778" spans="1:50">
      <c r="A778" s="1" t="s">
        <v>57</v>
      </c>
      <c r="B778" t="s">
        <v>163</v>
      </c>
      <c r="C778" t="s">
        <v>3988</v>
      </c>
      <c r="D778" t="s">
        <v>274</v>
      </c>
      <c r="F778" t="s">
        <v>7151</v>
      </c>
      <c r="G778" t="s">
        <v>8245</v>
      </c>
      <c r="H778" t="s">
        <v>1112</v>
      </c>
      <c r="I778" t="s">
        <v>11120</v>
      </c>
      <c r="J778" t="s">
        <v>1641</v>
      </c>
      <c r="K778">
        <v>10453</v>
      </c>
      <c r="L778" t="s">
        <v>1670</v>
      </c>
      <c r="M778" t="s">
        <v>1670</v>
      </c>
      <c r="O778" t="s">
        <v>1938</v>
      </c>
      <c r="P778" t="s">
        <v>1961</v>
      </c>
      <c r="R778" t="s">
        <v>50</v>
      </c>
      <c r="S778" t="s">
        <v>1670</v>
      </c>
      <c r="U778" t="s">
        <v>1972</v>
      </c>
      <c r="W778" t="s">
        <v>392</v>
      </c>
      <c r="X778">
        <v>1500</v>
      </c>
      <c r="Y778" t="s">
        <v>2006</v>
      </c>
      <c r="Z778" t="s">
        <v>2016</v>
      </c>
      <c r="AB778" t="s">
        <v>13598</v>
      </c>
      <c r="AD778" t="s">
        <v>16088</v>
      </c>
      <c r="AE778">
        <v>170</v>
      </c>
      <c r="AF778" t="s">
        <v>2902</v>
      </c>
      <c r="AG778" t="s">
        <v>1754</v>
      </c>
      <c r="AH778">
        <v>2</v>
      </c>
      <c r="AI778">
        <v>2</v>
      </c>
      <c r="AJ778">
        <v>0</v>
      </c>
      <c r="AK778">
        <v>514.49</v>
      </c>
      <c r="AO778">
        <v>87000</v>
      </c>
      <c r="AU778" t="s">
        <v>13051</v>
      </c>
      <c r="AW778" t="s">
        <v>3045</v>
      </c>
    </row>
    <row r="779" spans="1:50">
      <c r="A779" s="1" t="s">
        <v>57</v>
      </c>
      <c r="B779" t="s">
        <v>163</v>
      </c>
      <c r="C779" t="s">
        <v>3989</v>
      </c>
      <c r="D779" t="s">
        <v>274</v>
      </c>
      <c r="F779" t="s">
        <v>7151</v>
      </c>
      <c r="G779" t="s">
        <v>8245</v>
      </c>
      <c r="H779" t="s">
        <v>1112</v>
      </c>
      <c r="I779" t="s">
        <v>11120</v>
      </c>
      <c r="J779" t="s">
        <v>1641</v>
      </c>
      <c r="K779">
        <v>10453</v>
      </c>
      <c r="L779" t="s">
        <v>1670</v>
      </c>
      <c r="M779" t="s">
        <v>1670</v>
      </c>
      <c r="N779" t="s">
        <v>1677</v>
      </c>
      <c r="O779" t="s">
        <v>1939</v>
      </c>
      <c r="P779" t="s">
        <v>1960</v>
      </c>
      <c r="R779" t="s">
        <v>50</v>
      </c>
      <c r="S779" t="s">
        <v>1670</v>
      </c>
      <c r="U779" t="s">
        <v>1972</v>
      </c>
      <c r="W779" t="s">
        <v>392</v>
      </c>
      <c r="X779">
        <v>1500</v>
      </c>
      <c r="Y779" t="s">
        <v>2006</v>
      </c>
      <c r="Z779" t="s">
        <v>2016</v>
      </c>
      <c r="AB779" t="s">
        <v>13598</v>
      </c>
      <c r="AD779" t="s">
        <v>16088</v>
      </c>
      <c r="AE779">
        <v>170</v>
      </c>
      <c r="AF779" t="s">
        <v>2902</v>
      </c>
      <c r="AG779" t="s">
        <v>1754</v>
      </c>
      <c r="AH779">
        <v>2</v>
      </c>
      <c r="AI779">
        <v>2</v>
      </c>
      <c r="AJ779">
        <v>0</v>
      </c>
      <c r="AK779">
        <v>514.49</v>
      </c>
      <c r="AO779">
        <v>87000</v>
      </c>
      <c r="AU779" t="s">
        <v>13051</v>
      </c>
      <c r="AW779" t="s">
        <v>3045</v>
      </c>
    </row>
    <row r="780" spans="1:50">
      <c r="A780" s="1" t="s">
        <v>91</v>
      </c>
      <c r="B780" t="s">
        <v>164</v>
      </c>
      <c r="C780" t="s">
        <v>3990</v>
      </c>
      <c r="D780" t="s">
        <v>261</v>
      </c>
      <c r="E780" t="s">
        <v>266</v>
      </c>
      <c r="F780" t="s">
        <v>7152</v>
      </c>
      <c r="G780" t="s">
        <v>8246</v>
      </c>
      <c r="H780" t="s">
        <v>9684</v>
      </c>
      <c r="I780" t="s">
        <v>11121</v>
      </c>
      <c r="J780" t="s">
        <v>1643</v>
      </c>
      <c r="K780">
        <v>10040</v>
      </c>
      <c r="L780" t="s">
        <v>1671</v>
      </c>
      <c r="M780" t="s">
        <v>1670</v>
      </c>
      <c r="O780" t="s">
        <v>1941</v>
      </c>
      <c r="P780" t="s">
        <v>1958</v>
      </c>
      <c r="Q780" t="s">
        <v>1965</v>
      </c>
      <c r="R780" t="s">
        <v>50</v>
      </c>
      <c r="S780" t="s">
        <v>1671</v>
      </c>
      <c r="U780" t="s">
        <v>1972</v>
      </c>
      <c r="W780" t="s">
        <v>261</v>
      </c>
      <c r="X780">
        <v>1625</v>
      </c>
      <c r="Y780" t="s">
        <v>2008</v>
      </c>
      <c r="Z780" t="s">
        <v>2013</v>
      </c>
      <c r="AA780" t="s">
        <v>2029</v>
      </c>
      <c r="AB780" t="s">
        <v>13599</v>
      </c>
      <c r="AD780" t="s">
        <v>16089</v>
      </c>
      <c r="AE780">
        <v>47</v>
      </c>
      <c r="AF780" t="s">
        <v>2904</v>
      </c>
      <c r="AG780" t="s">
        <v>1754</v>
      </c>
      <c r="AH780" t="s">
        <v>13051</v>
      </c>
      <c r="AI780">
        <v>2</v>
      </c>
      <c r="AJ780">
        <v>0</v>
      </c>
      <c r="AK780">
        <v>516.4</v>
      </c>
      <c r="AN780" t="s">
        <v>2926</v>
      </c>
      <c r="AO780">
        <v>85000</v>
      </c>
      <c r="AU780">
        <v>0.8</v>
      </c>
      <c r="AV780" t="s">
        <v>316</v>
      </c>
      <c r="AW780" t="s">
        <v>3042</v>
      </c>
      <c r="AX780" t="s">
        <v>18685</v>
      </c>
    </row>
    <row r="781" spans="1:50">
      <c r="A781" s="1" t="s">
        <v>135</v>
      </c>
      <c r="B781" t="s">
        <v>163</v>
      </c>
      <c r="C781" t="s">
        <v>3991</v>
      </c>
      <c r="D781" t="s">
        <v>242</v>
      </c>
      <c r="F781" t="s">
        <v>7153</v>
      </c>
      <c r="G781" t="s">
        <v>8247</v>
      </c>
      <c r="H781" t="s">
        <v>9425</v>
      </c>
      <c r="I781" t="s">
        <v>1538</v>
      </c>
      <c r="J781" t="s">
        <v>1644</v>
      </c>
      <c r="K781">
        <v>11216</v>
      </c>
      <c r="L781" t="s">
        <v>1670</v>
      </c>
      <c r="M781" t="s">
        <v>1670</v>
      </c>
      <c r="O781" t="s">
        <v>1675</v>
      </c>
      <c r="P781" t="s">
        <v>1962</v>
      </c>
      <c r="R781" t="s">
        <v>50</v>
      </c>
      <c r="U781" t="s">
        <v>1972</v>
      </c>
      <c r="W781" t="s">
        <v>284</v>
      </c>
      <c r="X781">
        <v>1390</v>
      </c>
      <c r="Y781" t="s">
        <v>2009</v>
      </c>
      <c r="Z781" t="s">
        <v>2016</v>
      </c>
      <c r="AB781" t="s">
        <v>13600</v>
      </c>
      <c r="AD781" t="s">
        <v>16090</v>
      </c>
      <c r="AE781">
        <v>82</v>
      </c>
      <c r="AF781" t="s">
        <v>2902</v>
      </c>
      <c r="AG781" t="s">
        <v>1754</v>
      </c>
      <c r="AH781">
        <v>7</v>
      </c>
      <c r="AI781">
        <v>2</v>
      </c>
      <c r="AJ781">
        <v>0</v>
      </c>
      <c r="AK781">
        <v>516.4</v>
      </c>
      <c r="AL781" t="s">
        <v>218</v>
      </c>
      <c r="AM781" t="s">
        <v>18031</v>
      </c>
      <c r="AN781" t="s">
        <v>2926</v>
      </c>
      <c r="AO781">
        <v>85000</v>
      </c>
      <c r="AP781" t="s">
        <v>18069</v>
      </c>
      <c r="AU781" t="s">
        <v>13051</v>
      </c>
      <c r="AW781" t="s">
        <v>3060</v>
      </c>
    </row>
    <row r="782" spans="1:50">
      <c r="A782" s="1" t="s">
        <v>135</v>
      </c>
      <c r="B782" t="s">
        <v>163</v>
      </c>
      <c r="C782" t="s">
        <v>3992</v>
      </c>
      <c r="D782" t="s">
        <v>242</v>
      </c>
      <c r="F782" t="s">
        <v>7153</v>
      </c>
      <c r="G782" t="s">
        <v>8247</v>
      </c>
      <c r="H782" t="s">
        <v>9425</v>
      </c>
      <c r="I782" t="s">
        <v>1538</v>
      </c>
      <c r="J782" t="s">
        <v>1644</v>
      </c>
      <c r="K782">
        <v>11216</v>
      </c>
      <c r="L782" t="s">
        <v>1670</v>
      </c>
      <c r="M782" t="s">
        <v>1670</v>
      </c>
      <c r="O782" t="s">
        <v>1952</v>
      </c>
      <c r="P782" t="s">
        <v>1960</v>
      </c>
      <c r="R782" t="s">
        <v>50</v>
      </c>
      <c r="U782" t="s">
        <v>1972</v>
      </c>
      <c r="W782" t="s">
        <v>284</v>
      </c>
      <c r="X782">
        <v>1390.98</v>
      </c>
      <c r="Y782" t="s">
        <v>2009</v>
      </c>
      <c r="Z782" t="s">
        <v>2016</v>
      </c>
      <c r="AB782" t="s">
        <v>13600</v>
      </c>
      <c r="AD782" t="s">
        <v>16090</v>
      </c>
      <c r="AE782">
        <v>82</v>
      </c>
      <c r="AF782" t="s">
        <v>2902</v>
      </c>
      <c r="AG782" t="s">
        <v>1754</v>
      </c>
      <c r="AH782">
        <v>7</v>
      </c>
      <c r="AI782">
        <v>2</v>
      </c>
      <c r="AJ782">
        <v>0</v>
      </c>
      <c r="AK782">
        <v>516.4</v>
      </c>
      <c r="AL782" t="s">
        <v>218</v>
      </c>
      <c r="AM782" t="s">
        <v>18031</v>
      </c>
      <c r="AN782" t="s">
        <v>2926</v>
      </c>
      <c r="AO782">
        <v>85000</v>
      </c>
      <c r="AP782" t="s">
        <v>18069</v>
      </c>
      <c r="AU782" t="s">
        <v>13051</v>
      </c>
      <c r="AW782" t="s">
        <v>3060</v>
      </c>
    </row>
    <row r="783" spans="1:50">
      <c r="A783" s="1" t="s">
        <v>101</v>
      </c>
      <c r="B783" t="s">
        <v>163</v>
      </c>
      <c r="C783" t="s">
        <v>3993</v>
      </c>
      <c r="D783" t="s">
        <v>174</v>
      </c>
      <c r="F783" t="s">
        <v>473</v>
      </c>
      <c r="G783" t="s">
        <v>963</v>
      </c>
      <c r="H783" t="s">
        <v>1466</v>
      </c>
      <c r="I783">
        <v>8</v>
      </c>
      <c r="J783" t="s">
        <v>1643</v>
      </c>
      <c r="K783">
        <v>10029</v>
      </c>
      <c r="L783" t="s">
        <v>1670</v>
      </c>
      <c r="M783" t="s">
        <v>1670</v>
      </c>
      <c r="N783" t="s">
        <v>1931</v>
      </c>
      <c r="O783" t="s">
        <v>1939</v>
      </c>
      <c r="P783" t="s">
        <v>1960</v>
      </c>
      <c r="R783" t="s">
        <v>50</v>
      </c>
      <c r="S783" t="s">
        <v>1670</v>
      </c>
      <c r="U783" t="s">
        <v>1972</v>
      </c>
      <c r="V783" t="s">
        <v>1984</v>
      </c>
      <c r="W783" t="s">
        <v>174</v>
      </c>
      <c r="X783">
        <v>932.17</v>
      </c>
      <c r="Y783" t="s">
        <v>2008</v>
      </c>
      <c r="Z783" t="s">
        <v>2016</v>
      </c>
      <c r="AB783" t="s">
        <v>13601</v>
      </c>
      <c r="AD783" t="s">
        <v>16091</v>
      </c>
      <c r="AE783">
        <v>6</v>
      </c>
      <c r="AF783" t="s">
        <v>2902</v>
      </c>
      <c r="AG783" t="s">
        <v>1754</v>
      </c>
      <c r="AH783">
        <v>23</v>
      </c>
      <c r="AI783">
        <v>4</v>
      </c>
      <c r="AJ783">
        <v>1</v>
      </c>
      <c r="AK783">
        <v>516.66</v>
      </c>
      <c r="AN783" t="s">
        <v>2927</v>
      </c>
      <c r="AO783">
        <v>152000</v>
      </c>
      <c r="AU783">
        <v>1.25</v>
      </c>
      <c r="AV783" t="s">
        <v>325</v>
      </c>
      <c r="AW783" t="s">
        <v>3051</v>
      </c>
    </row>
    <row r="784" spans="1:50">
      <c r="A784" s="1" t="s">
        <v>52</v>
      </c>
      <c r="B784" t="s">
        <v>164</v>
      </c>
      <c r="C784" t="s">
        <v>3994</v>
      </c>
      <c r="D784" t="s">
        <v>203</v>
      </c>
      <c r="E784" t="s">
        <v>390</v>
      </c>
      <c r="F784" t="s">
        <v>7154</v>
      </c>
      <c r="G784" t="s">
        <v>8248</v>
      </c>
      <c r="H784" t="s">
        <v>9685</v>
      </c>
      <c r="I784" t="s">
        <v>1522</v>
      </c>
      <c r="J784" t="s">
        <v>1641</v>
      </c>
      <c r="K784">
        <v>10468</v>
      </c>
      <c r="L784" t="s">
        <v>1670</v>
      </c>
      <c r="M784" t="s">
        <v>1672</v>
      </c>
      <c r="N784" t="s">
        <v>12016</v>
      </c>
      <c r="O784" t="s">
        <v>1938</v>
      </c>
      <c r="P784" t="s">
        <v>1958</v>
      </c>
      <c r="Q784" t="s">
        <v>1965</v>
      </c>
      <c r="R784" t="s">
        <v>50</v>
      </c>
      <c r="S784" t="s">
        <v>1671</v>
      </c>
      <c r="U784" t="s">
        <v>1972</v>
      </c>
      <c r="W784" t="s">
        <v>390</v>
      </c>
      <c r="X784">
        <v>834.53</v>
      </c>
      <c r="Y784" t="s">
        <v>2006</v>
      </c>
      <c r="Z784" t="s">
        <v>2011</v>
      </c>
      <c r="AA784" t="s">
        <v>2029</v>
      </c>
      <c r="AB784" t="s">
        <v>13602</v>
      </c>
      <c r="AE784" t="s">
        <v>13051</v>
      </c>
      <c r="AF784" t="s">
        <v>2904</v>
      </c>
      <c r="AH784">
        <v>43</v>
      </c>
      <c r="AI784">
        <v>1</v>
      </c>
      <c r="AJ784">
        <v>0</v>
      </c>
      <c r="AK784">
        <v>520.42</v>
      </c>
      <c r="AN784" t="s">
        <v>2926</v>
      </c>
      <c r="AO784">
        <v>65000</v>
      </c>
      <c r="AU784">
        <v>0.5</v>
      </c>
      <c r="AV784" t="s">
        <v>390</v>
      </c>
      <c r="AW784" t="s">
        <v>52</v>
      </c>
      <c r="AX784" t="s">
        <v>18685</v>
      </c>
    </row>
    <row r="785" spans="1:50">
      <c r="A785" s="1" t="s">
        <v>57</v>
      </c>
      <c r="B785" t="s">
        <v>164</v>
      </c>
      <c r="C785" t="s">
        <v>3995</v>
      </c>
      <c r="D785" t="s">
        <v>1999</v>
      </c>
      <c r="E785" t="s">
        <v>400</v>
      </c>
      <c r="F785" t="s">
        <v>7155</v>
      </c>
      <c r="G785" t="s">
        <v>8249</v>
      </c>
      <c r="H785" t="s">
        <v>9686</v>
      </c>
      <c r="I785" t="s">
        <v>1550</v>
      </c>
      <c r="J785" t="s">
        <v>1643</v>
      </c>
      <c r="K785">
        <v>10034</v>
      </c>
      <c r="L785" t="s">
        <v>1670</v>
      </c>
      <c r="M785" t="s">
        <v>1672</v>
      </c>
      <c r="P785" t="s">
        <v>1958</v>
      </c>
      <c r="Q785" t="s">
        <v>1965</v>
      </c>
      <c r="R785" t="s">
        <v>50</v>
      </c>
      <c r="S785" t="s">
        <v>1671</v>
      </c>
      <c r="U785" t="s">
        <v>1972</v>
      </c>
      <c r="W785" t="s">
        <v>400</v>
      </c>
      <c r="X785">
        <v>816.63</v>
      </c>
      <c r="Y785" t="s">
        <v>2006</v>
      </c>
      <c r="Z785" t="s">
        <v>2015</v>
      </c>
      <c r="AA785" t="s">
        <v>2029</v>
      </c>
      <c r="AB785" t="s">
        <v>13603</v>
      </c>
      <c r="AD785" t="s">
        <v>16092</v>
      </c>
      <c r="AE785" t="s">
        <v>13051</v>
      </c>
      <c r="AF785" t="s">
        <v>2904</v>
      </c>
      <c r="AG785" t="s">
        <v>1754</v>
      </c>
      <c r="AH785">
        <v>20</v>
      </c>
      <c r="AI785">
        <v>1</v>
      </c>
      <c r="AJ785">
        <v>0</v>
      </c>
      <c r="AK785">
        <v>520.42</v>
      </c>
      <c r="AN785" t="s">
        <v>2926</v>
      </c>
      <c r="AO785">
        <v>65000</v>
      </c>
      <c r="AU785">
        <v>0.1</v>
      </c>
      <c r="AV785" t="s">
        <v>400</v>
      </c>
      <c r="AW785" t="s">
        <v>3046</v>
      </c>
      <c r="AX785" t="s">
        <v>18685</v>
      </c>
    </row>
    <row r="786" spans="1:50">
      <c r="A786" s="1" t="s">
        <v>94</v>
      </c>
      <c r="B786" t="s">
        <v>164</v>
      </c>
      <c r="C786" t="s">
        <v>3996</v>
      </c>
      <c r="D786" t="s">
        <v>338</v>
      </c>
      <c r="E786" t="s">
        <v>337</v>
      </c>
      <c r="F786" t="s">
        <v>7156</v>
      </c>
      <c r="G786" t="s">
        <v>8250</v>
      </c>
      <c r="H786" t="s">
        <v>9637</v>
      </c>
      <c r="I786" t="s">
        <v>1637</v>
      </c>
      <c r="J786" t="s">
        <v>1643</v>
      </c>
      <c r="K786">
        <v>10033</v>
      </c>
      <c r="L786" t="s">
        <v>1670</v>
      </c>
      <c r="M786" t="s">
        <v>1670</v>
      </c>
      <c r="O786" t="s">
        <v>1941</v>
      </c>
      <c r="P786" t="s">
        <v>1958</v>
      </c>
      <c r="Q786" t="s">
        <v>1965</v>
      </c>
      <c r="R786" t="s">
        <v>50</v>
      </c>
      <c r="S786" t="s">
        <v>1670</v>
      </c>
      <c r="U786" t="s">
        <v>1972</v>
      </c>
      <c r="W786" t="s">
        <v>338</v>
      </c>
      <c r="X786">
        <v>1200</v>
      </c>
      <c r="Y786" t="s">
        <v>2008</v>
      </c>
      <c r="Z786" t="s">
        <v>2028</v>
      </c>
      <c r="AA786" t="s">
        <v>2029</v>
      </c>
      <c r="AB786" t="s">
        <v>13604</v>
      </c>
      <c r="AD786" t="s">
        <v>16093</v>
      </c>
      <c r="AE786">
        <v>60</v>
      </c>
      <c r="AF786" t="s">
        <v>2902</v>
      </c>
      <c r="AG786" t="s">
        <v>1754</v>
      </c>
      <c r="AH786">
        <v>22</v>
      </c>
      <c r="AI786">
        <v>1</v>
      </c>
      <c r="AJ786">
        <v>0</v>
      </c>
      <c r="AK786">
        <v>520.42</v>
      </c>
      <c r="AN786" t="s">
        <v>2926</v>
      </c>
      <c r="AO786">
        <v>65000</v>
      </c>
      <c r="AU786">
        <v>0.01</v>
      </c>
      <c r="AV786" t="s">
        <v>337</v>
      </c>
      <c r="AW786" t="s">
        <v>3042</v>
      </c>
      <c r="AX786" t="s">
        <v>18685</v>
      </c>
    </row>
    <row r="787" spans="1:50">
      <c r="A787" s="1" t="s">
        <v>125</v>
      </c>
      <c r="B787" t="s">
        <v>163</v>
      </c>
      <c r="C787" t="s">
        <v>3997</v>
      </c>
      <c r="D787" t="s">
        <v>240</v>
      </c>
      <c r="F787" t="s">
        <v>7157</v>
      </c>
      <c r="G787" t="s">
        <v>8251</v>
      </c>
      <c r="H787" t="s">
        <v>9687</v>
      </c>
      <c r="I787" t="s">
        <v>11122</v>
      </c>
      <c r="J787" t="s">
        <v>1644</v>
      </c>
      <c r="K787">
        <v>11230</v>
      </c>
      <c r="L787" t="s">
        <v>1670</v>
      </c>
      <c r="M787" t="s">
        <v>1670</v>
      </c>
      <c r="N787" t="s">
        <v>12017</v>
      </c>
      <c r="O787" t="s">
        <v>1936</v>
      </c>
      <c r="P787" t="s">
        <v>1960</v>
      </c>
      <c r="R787" t="s">
        <v>50</v>
      </c>
      <c r="S787" t="s">
        <v>1671</v>
      </c>
      <c r="U787" t="s">
        <v>1972</v>
      </c>
      <c r="W787" t="s">
        <v>255</v>
      </c>
      <c r="X787">
        <v>558.89</v>
      </c>
      <c r="Y787" t="s">
        <v>2009</v>
      </c>
      <c r="Z787" t="s">
        <v>2014</v>
      </c>
      <c r="AB787" t="s">
        <v>13605</v>
      </c>
      <c r="AD787" t="s">
        <v>16094</v>
      </c>
      <c r="AE787" t="s">
        <v>13051</v>
      </c>
      <c r="AF787" t="s">
        <v>2902</v>
      </c>
      <c r="AH787">
        <v>39</v>
      </c>
      <c r="AI787">
        <v>1</v>
      </c>
      <c r="AJ787">
        <v>0</v>
      </c>
      <c r="AK787">
        <v>520.42</v>
      </c>
      <c r="AL787" t="s">
        <v>255</v>
      </c>
      <c r="AM787" t="s">
        <v>18031</v>
      </c>
      <c r="AN787" t="s">
        <v>2927</v>
      </c>
      <c r="AO787">
        <v>65000</v>
      </c>
      <c r="AR787" t="s">
        <v>2988</v>
      </c>
      <c r="AS787" t="s">
        <v>2992</v>
      </c>
      <c r="AT787" t="s">
        <v>18519</v>
      </c>
      <c r="AU787">
        <v>0.5</v>
      </c>
      <c r="AV787" t="s">
        <v>385</v>
      </c>
      <c r="AW787" t="s">
        <v>158</v>
      </c>
    </row>
    <row r="788" spans="1:50">
      <c r="A788" s="1" t="s">
        <v>61</v>
      </c>
      <c r="B788" t="s">
        <v>163</v>
      </c>
      <c r="C788" t="s">
        <v>3998</v>
      </c>
      <c r="D788" t="s">
        <v>286</v>
      </c>
      <c r="F788" t="s">
        <v>7158</v>
      </c>
      <c r="G788" t="s">
        <v>8252</v>
      </c>
      <c r="H788" t="s">
        <v>9605</v>
      </c>
      <c r="I788" t="s">
        <v>11123</v>
      </c>
      <c r="J788" t="s">
        <v>1644</v>
      </c>
      <c r="K788">
        <v>11225</v>
      </c>
      <c r="L788" t="s">
        <v>1670</v>
      </c>
      <c r="M788" t="s">
        <v>1670</v>
      </c>
      <c r="N788" t="s">
        <v>11969</v>
      </c>
      <c r="O788" t="s">
        <v>1938</v>
      </c>
      <c r="P788" t="s">
        <v>1960</v>
      </c>
      <c r="R788" t="s">
        <v>50</v>
      </c>
      <c r="S788" t="s">
        <v>1670</v>
      </c>
      <c r="U788" t="s">
        <v>1972</v>
      </c>
      <c r="W788" t="s">
        <v>208</v>
      </c>
      <c r="X788">
        <v>1740.79</v>
      </c>
      <c r="Y788" t="s">
        <v>2009</v>
      </c>
      <c r="Z788" t="s">
        <v>2015</v>
      </c>
      <c r="AB788" t="s">
        <v>13606</v>
      </c>
      <c r="AD788" t="s">
        <v>16095</v>
      </c>
      <c r="AE788">
        <v>89</v>
      </c>
      <c r="AF788" t="s">
        <v>2902</v>
      </c>
      <c r="AH788">
        <v>7</v>
      </c>
      <c r="AI788">
        <v>1</v>
      </c>
      <c r="AJ788">
        <v>0</v>
      </c>
      <c r="AK788">
        <v>520.42</v>
      </c>
      <c r="AN788" t="s">
        <v>2926</v>
      </c>
      <c r="AO788">
        <v>65000</v>
      </c>
      <c r="AU788" t="s">
        <v>13051</v>
      </c>
      <c r="AW788" t="s">
        <v>158</v>
      </c>
    </row>
    <row r="789" spans="1:50">
      <c r="A789" s="1" t="s">
        <v>57</v>
      </c>
      <c r="B789" t="s">
        <v>163</v>
      </c>
      <c r="C789" t="s">
        <v>3999</v>
      </c>
      <c r="D789" t="s">
        <v>183</v>
      </c>
      <c r="F789" t="s">
        <v>7159</v>
      </c>
      <c r="G789" t="s">
        <v>8253</v>
      </c>
      <c r="H789" t="s">
        <v>1112</v>
      </c>
      <c r="I789" t="s">
        <v>1638</v>
      </c>
      <c r="J789" t="s">
        <v>1641</v>
      </c>
      <c r="K789">
        <v>10453</v>
      </c>
      <c r="L789" t="s">
        <v>1670</v>
      </c>
      <c r="M789" t="s">
        <v>1670</v>
      </c>
      <c r="N789" t="s">
        <v>1677</v>
      </c>
      <c r="O789" t="s">
        <v>1939</v>
      </c>
      <c r="P789" t="s">
        <v>1960</v>
      </c>
      <c r="R789" t="s">
        <v>50</v>
      </c>
      <c r="S789" t="s">
        <v>1670</v>
      </c>
      <c r="U789" t="s">
        <v>1972</v>
      </c>
      <c r="W789" t="s">
        <v>283</v>
      </c>
      <c r="X789">
        <v>450</v>
      </c>
      <c r="Y789" t="s">
        <v>2006</v>
      </c>
      <c r="Z789" t="s">
        <v>2016</v>
      </c>
      <c r="AB789" t="s">
        <v>13607</v>
      </c>
      <c r="AD789" t="s">
        <v>16096</v>
      </c>
      <c r="AE789">
        <v>170</v>
      </c>
      <c r="AF789" t="s">
        <v>2902</v>
      </c>
      <c r="AG789" t="s">
        <v>1754</v>
      </c>
      <c r="AH789">
        <v>1</v>
      </c>
      <c r="AI789">
        <v>1</v>
      </c>
      <c r="AJ789">
        <v>0</v>
      </c>
      <c r="AK789">
        <v>520.42</v>
      </c>
      <c r="AN789" t="s">
        <v>2926</v>
      </c>
      <c r="AO789">
        <v>65000</v>
      </c>
      <c r="AU789" t="s">
        <v>13051</v>
      </c>
      <c r="AW789" t="s">
        <v>3045</v>
      </c>
    </row>
    <row r="790" spans="1:50">
      <c r="A790" s="1" t="s">
        <v>52</v>
      </c>
      <c r="B790" t="s">
        <v>164</v>
      </c>
      <c r="C790" t="s">
        <v>4000</v>
      </c>
      <c r="D790" t="s">
        <v>187</v>
      </c>
      <c r="E790" t="s">
        <v>265</v>
      </c>
      <c r="F790" t="s">
        <v>7160</v>
      </c>
      <c r="G790" t="s">
        <v>8254</v>
      </c>
      <c r="H790" t="s">
        <v>1136</v>
      </c>
      <c r="I790" t="s">
        <v>1486</v>
      </c>
      <c r="J790" t="s">
        <v>1641</v>
      </c>
      <c r="K790">
        <v>10457</v>
      </c>
      <c r="L790" t="s">
        <v>1670</v>
      </c>
      <c r="M790" t="s">
        <v>1670</v>
      </c>
      <c r="O790" t="s">
        <v>1939</v>
      </c>
      <c r="P790" t="s">
        <v>1958</v>
      </c>
      <c r="Q790" t="s">
        <v>1965</v>
      </c>
      <c r="R790" t="s">
        <v>50</v>
      </c>
      <c r="S790" t="s">
        <v>1670</v>
      </c>
      <c r="U790" t="s">
        <v>1972</v>
      </c>
      <c r="W790" t="s">
        <v>359</v>
      </c>
      <c r="X790">
        <v>1284.72</v>
      </c>
      <c r="Y790" t="s">
        <v>2006</v>
      </c>
      <c r="Z790" t="s">
        <v>2015</v>
      </c>
      <c r="AA790" t="s">
        <v>2029</v>
      </c>
      <c r="AB790" t="s">
        <v>13608</v>
      </c>
      <c r="AD790" t="s">
        <v>16097</v>
      </c>
      <c r="AE790">
        <v>47</v>
      </c>
      <c r="AF790" t="s">
        <v>2902</v>
      </c>
      <c r="AG790" t="s">
        <v>1754</v>
      </c>
      <c r="AH790">
        <v>7</v>
      </c>
      <c r="AI790">
        <v>2</v>
      </c>
      <c r="AJ790">
        <v>2</v>
      </c>
      <c r="AK790">
        <v>525.9</v>
      </c>
      <c r="AN790" t="s">
        <v>2926</v>
      </c>
      <c r="AO790">
        <v>132000</v>
      </c>
      <c r="AU790">
        <v>0.5</v>
      </c>
      <c r="AV790" t="s">
        <v>265</v>
      </c>
      <c r="AW790" t="s">
        <v>3046</v>
      </c>
    </row>
    <row r="791" spans="1:50">
      <c r="A791" s="1" t="s">
        <v>52</v>
      </c>
      <c r="B791" t="s">
        <v>163</v>
      </c>
      <c r="C791" t="s">
        <v>4001</v>
      </c>
      <c r="D791" t="s">
        <v>187</v>
      </c>
      <c r="F791" t="s">
        <v>7160</v>
      </c>
      <c r="G791" t="s">
        <v>8254</v>
      </c>
      <c r="H791" t="s">
        <v>1136</v>
      </c>
      <c r="I791" t="s">
        <v>1486</v>
      </c>
      <c r="J791" t="s">
        <v>1641</v>
      </c>
      <c r="K791">
        <v>10457</v>
      </c>
      <c r="L791" t="s">
        <v>1670</v>
      </c>
      <c r="M791" t="s">
        <v>1670</v>
      </c>
      <c r="N791" t="s">
        <v>1695</v>
      </c>
      <c r="O791" t="s">
        <v>1938</v>
      </c>
      <c r="P791" t="s">
        <v>1961</v>
      </c>
      <c r="R791" t="s">
        <v>50</v>
      </c>
      <c r="S791" t="s">
        <v>1670</v>
      </c>
      <c r="U791" t="s">
        <v>1972</v>
      </c>
      <c r="W791" t="s">
        <v>359</v>
      </c>
      <c r="X791">
        <v>1284.72</v>
      </c>
      <c r="Y791" t="s">
        <v>2006</v>
      </c>
      <c r="Z791" t="s">
        <v>2015</v>
      </c>
      <c r="AB791" t="s">
        <v>13608</v>
      </c>
      <c r="AD791" t="s">
        <v>16097</v>
      </c>
      <c r="AE791">
        <v>47</v>
      </c>
      <c r="AF791" t="s">
        <v>2902</v>
      </c>
      <c r="AG791" t="s">
        <v>1754</v>
      </c>
      <c r="AH791">
        <v>7</v>
      </c>
      <c r="AI791">
        <v>2</v>
      </c>
      <c r="AJ791">
        <v>2</v>
      </c>
      <c r="AK791">
        <v>525.9</v>
      </c>
      <c r="AN791" t="s">
        <v>2926</v>
      </c>
      <c r="AO791">
        <v>132000</v>
      </c>
      <c r="AU791">
        <v>0.7</v>
      </c>
      <c r="AV791" t="s">
        <v>258</v>
      </c>
      <c r="AW791" t="s">
        <v>3046</v>
      </c>
    </row>
    <row r="792" spans="1:50">
      <c r="A792" s="1" t="s">
        <v>61</v>
      </c>
      <c r="B792" t="s">
        <v>163</v>
      </c>
      <c r="C792" t="s">
        <v>4002</v>
      </c>
      <c r="D792" t="s">
        <v>324</v>
      </c>
      <c r="F792" t="s">
        <v>420</v>
      </c>
      <c r="G792" t="s">
        <v>8255</v>
      </c>
      <c r="H792" t="s">
        <v>9605</v>
      </c>
      <c r="J792" t="s">
        <v>1644</v>
      </c>
      <c r="K792">
        <v>11225</v>
      </c>
      <c r="L792" t="s">
        <v>1670</v>
      </c>
      <c r="M792" t="s">
        <v>1670</v>
      </c>
      <c r="N792" t="s">
        <v>11970</v>
      </c>
      <c r="O792" t="s">
        <v>1938</v>
      </c>
      <c r="P792" t="s">
        <v>1961</v>
      </c>
      <c r="R792" t="s">
        <v>50</v>
      </c>
      <c r="S792" t="s">
        <v>1670</v>
      </c>
      <c r="U792" t="s">
        <v>1972</v>
      </c>
      <c r="W792" t="s">
        <v>208</v>
      </c>
      <c r="X792">
        <v>1552.37</v>
      </c>
      <c r="Y792" t="s">
        <v>2009</v>
      </c>
      <c r="Z792" t="s">
        <v>2015</v>
      </c>
      <c r="AB792" t="s">
        <v>13609</v>
      </c>
      <c r="AD792" t="s">
        <v>16098</v>
      </c>
      <c r="AE792">
        <v>89</v>
      </c>
      <c r="AF792" t="s">
        <v>2902</v>
      </c>
      <c r="AH792">
        <v>3</v>
      </c>
      <c r="AI792">
        <v>1</v>
      </c>
      <c r="AJ792">
        <v>0</v>
      </c>
      <c r="AK792">
        <v>528.42</v>
      </c>
      <c r="AN792" t="s">
        <v>2926</v>
      </c>
      <c r="AO792">
        <v>66000</v>
      </c>
      <c r="AU792">
        <v>0.2</v>
      </c>
      <c r="AV792" t="s">
        <v>286</v>
      </c>
      <c r="AW792" t="s">
        <v>158</v>
      </c>
    </row>
    <row r="793" spans="1:50">
      <c r="A793" s="1" t="s">
        <v>61</v>
      </c>
      <c r="B793" t="s">
        <v>163</v>
      </c>
      <c r="C793" t="s">
        <v>4003</v>
      </c>
      <c r="D793" t="s">
        <v>286</v>
      </c>
      <c r="F793" t="s">
        <v>420</v>
      </c>
      <c r="G793" t="s">
        <v>8255</v>
      </c>
      <c r="H793" t="s">
        <v>9605</v>
      </c>
      <c r="J793" t="s">
        <v>1644</v>
      </c>
      <c r="K793">
        <v>11225</v>
      </c>
      <c r="L793" t="s">
        <v>1670</v>
      </c>
      <c r="M793" t="s">
        <v>1670</v>
      </c>
      <c r="N793" t="s">
        <v>11969</v>
      </c>
      <c r="O793" t="s">
        <v>1938</v>
      </c>
      <c r="P793" t="s">
        <v>1960</v>
      </c>
      <c r="R793" t="s">
        <v>50</v>
      </c>
      <c r="S793" t="s">
        <v>1670</v>
      </c>
      <c r="U793" t="s">
        <v>1972</v>
      </c>
      <c r="W793" t="s">
        <v>208</v>
      </c>
      <c r="X793">
        <v>1552.37</v>
      </c>
      <c r="Y793" t="s">
        <v>2009</v>
      </c>
      <c r="Z793" t="s">
        <v>2015</v>
      </c>
      <c r="AB793" t="s">
        <v>13609</v>
      </c>
      <c r="AD793" t="s">
        <v>16098</v>
      </c>
      <c r="AE793">
        <v>89</v>
      </c>
      <c r="AF793" t="s">
        <v>2902</v>
      </c>
      <c r="AH793">
        <v>3</v>
      </c>
      <c r="AI793">
        <v>1</v>
      </c>
      <c r="AJ793">
        <v>0</v>
      </c>
      <c r="AK793">
        <v>528.42</v>
      </c>
      <c r="AN793" t="s">
        <v>2926</v>
      </c>
      <c r="AO793">
        <v>66000</v>
      </c>
      <c r="AU793" t="s">
        <v>13051</v>
      </c>
      <c r="AW793" t="s">
        <v>158</v>
      </c>
    </row>
    <row r="794" spans="1:50">
      <c r="A794" s="1" t="s">
        <v>135</v>
      </c>
      <c r="B794" t="s">
        <v>164</v>
      </c>
      <c r="C794" t="s">
        <v>4004</v>
      </c>
      <c r="D794" t="s">
        <v>173</v>
      </c>
      <c r="E794" t="s">
        <v>320</v>
      </c>
      <c r="F794" t="s">
        <v>7161</v>
      </c>
      <c r="G794" t="s">
        <v>8256</v>
      </c>
      <c r="H794" t="s">
        <v>9425</v>
      </c>
      <c r="I794" t="s">
        <v>1502</v>
      </c>
      <c r="J794" t="s">
        <v>1644</v>
      </c>
      <c r="K794">
        <v>11216</v>
      </c>
      <c r="L794" t="s">
        <v>1670</v>
      </c>
      <c r="M794" t="s">
        <v>1670</v>
      </c>
      <c r="O794" t="s">
        <v>1675</v>
      </c>
      <c r="P794" t="s">
        <v>1962</v>
      </c>
      <c r="Q794" t="s">
        <v>1968</v>
      </c>
      <c r="R794" t="s">
        <v>50</v>
      </c>
      <c r="U794" t="s">
        <v>1972</v>
      </c>
      <c r="W794" t="s">
        <v>408</v>
      </c>
      <c r="X794">
        <v>1630</v>
      </c>
      <c r="Y794" t="s">
        <v>2009</v>
      </c>
      <c r="Z794" t="s">
        <v>2016</v>
      </c>
      <c r="AA794" t="s">
        <v>2029</v>
      </c>
      <c r="AB794" t="s">
        <v>13610</v>
      </c>
      <c r="AD794" t="s">
        <v>16099</v>
      </c>
      <c r="AE794">
        <v>8</v>
      </c>
      <c r="AF794" t="s">
        <v>2902</v>
      </c>
      <c r="AG794" t="s">
        <v>1754</v>
      </c>
      <c r="AH794">
        <v>2</v>
      </c>
      <c r="AI794">
        <v>1</v>
      </c>
      <c r="AJ794">
        <v>0</v>
      </c>
      <c r="AK794">
        <v>535.42</v>
      </c>
      <c r="AL794" t="s">
        <v>218</v>
      </c>
      <c r="AM794" t="s">
        <v>18031</v>
      </c>
      <c r="AN794" t="s">
        <v>2926</v>
      </c>
      <c r="AO794">
        <v>65000</v>
      </c>
      <c r="AP794" t="s">
        <v>18069</v>
      </c>
      <c r="AU794">
        <v>0.2</v>
      </c>
      <c r="AV794" t="s">
        <v>353</v>
      </c>
      <c r="AW794" t="s">
        <v>3060</v>
      </c>
    </row>
    <row r="795" spans="1:50">
      <c r="A795" s="1" t="s">
        <v>135</v>
      </c>
      <c r="B795" t="s">
        <v>163</v>
      </c>
      <c r="C795" t="s">
        <v>4005</v>
      </c>
      <c r="D795" t="s">
        <v>284</v>
      </c>
      <c r="F795" t="s">
        <v>682</v>
      </c>
      <c r="G795" t="s">
        <v>8257</v>
      </c>
      <c r="H795" t="s">
        <v>9425</v>
      </c>
      <c r="I795" t="s">
        <v>1618</v>
      </c>
      <c r="J795" t="s">
        <v>1644</v>
      </c>
      <c r="K795">
        <v>11216</v>
      </c>
      <c r="L795" t="s">
        <v>1670</v>
      </c>
      <c r="M795" t="s">
        <v>1670</v>
      </c>
      <c r="O795" t="s">
        <v>1675</v>
      </c>
      <c r="P795" t="s">
        <v>1962</v>
      </c>
      <c r="R795" t="s">
        <v>50</v>
      </c>
      <c r="U795" t="s">
        <v>1972</v>
      </c>
      <c r="W795" t="s">
        <v>225</v>
      </c>
      <c r="X795">
        <v>2450</v>
      </c>
      <c r="Y795" t="s">
        <v>2009</v>
      </c>
      <c r="Z795" t="s">
        <v>2016</v>
      </c>
      <c r="AB795" t="s">
        <v>13611</v>
      </c>
      <c r="AE795">
        <v>82</v>
      </c>
      <c r="AF795" t="s">
        <v>2902</v>
      </c>
      <c r="AG795" t="s">
        <v>1754</v>
      </c>
      <c r="AH795">
        <v>1</v>
      </c>
      <c r="AI795">
        <v>1</v>
      </c>
      <c r="AJ795">
        <v>0</v>
      </c>
      <c r="AK795">
        <v>535.42</v>
      </c>
      <c r="AL795" t="s">
        <v>218</v>
      </c>
      <c r="AM795" t="s">
        <v>18031</v>
      </c>
      <c r="AN795" t="s">
        <v>2926</v>
      </c>
      <c r="AO795">
        <v>65000</v>
      </c>
      <c r="AP795" t="s">
        <v>18069</v>
      </c>
      <c r="AU795" t="s">
        <v>13051</v>
      </c>
      <c r="AW795" t="s">
        <v>3060</v>
      </c>
    </row>
    <row r="796" spans="1:50">
      <c r="A796" s="1" t="s">
        <v>57</v>
      </c>
      <c r="B796" t="s">
        <v>163</v>
      </c>
      <c r="C796" t="s">
        <v>4006</v>
      </c>
      <c r="D796" t="s">
        <v>363</v>
      </c>
      <c r="F796" t="s">
        <v>7162</v>
      </c>
      <c r="G796" t="s">
        <v>8258</v>
      </c>
      <c r="H796" t="s">
        <v>1379</v>
      </c>
      <c r="I796" t="s">
        <v>1581</v>
      </c>
      <c r="J796" t="s">
        <v>1641</v>
      </c>
      <c r="K796">
        <v>10468</v>
      </c>
      <c r="L796" t="s">
        <v>1670</v>
      </c>
      <c r="M796" t="s">
        <v>1670</v>
      </c>
      <c r="O796" t="s">
        <v>1949</v>
      </c>
      <c r="P796" t="s">
        <v>1961</v>
      </c>
      <c r="R796" t="s">
        <v>50</v>
      </c>
      <c r="S796" t="s">
        <v>1670</v>
      </c>
      <c r="U796" t="s">
        <v>1972</v>
      </c>
      <c r="W796" t="s">
        <v>216</v>
      </c>
      <c r="X796">
        <v>1613.2</v>
      </c>
      <c r="Y796" t="s">
        <v>2006</v>
      </c>
      <c r="Z796" t="s">
        <v>2015</v>
      </c>
      <c r="AB796" t="s">
        <v>13612</v>
      </c>
      <c r="AD796" t="s">
        <v>16100</v>
      </c>
      <c r="AE796">
        <v>58</v>
      </c>
      <c r="AF796" t="s">
        <v>2902</v>
      </c>
      <c r="AG796" t="s">
        <v>1754</v>
      </c>
      <c r="AH796">
        <v>20</v>
      </c>
      <c r="AI796">
        <v>1</v>
      </c>
      <c r="AJ796">
        <v>0</v>
      </c>
      <c r="AK796">
        <v>535.42</v>
      </c>
      <c r="AN796" t="s">
        <v>2927</v>
      </c>
      <c r="AO796">
        <v>65000</v>
      </c>
      <c r="AU796">
        <v>0.5</v>
      </c>
      <c r="AV796" t="s">
        <v>363</v>
      </c>
      <c r="AW796" t="s">
        <v>3046</v>
      </c>
    </row>
    <row r="797" spans="1:50">
      <c r="A797" s="1" t="s">
        <v>135</v>
      </c>
      <c r="B797" t="s">
        <v>163</v>
      </c>
      <c r="C797" t="s">
        <v>4007</v>
      </c>
      <c r="D797" t="s">
        <v>284</v>
      </c>
      <c r="F797" t="s">
        <v>682</v>
      </c>
      <c r="G797" t="s">
        <v>8257</v>
      </c>
      <c r="H797" t="s">
        <v>9425</v>
      </c>
      <c r="I797" t="s">
        <v>1618</v>
      </c>
      <c r="J797" t="s">
        <v>1644</v>
      </c>
      <c r="K797">
        <v>11216</v>
      </c>
      <c r="L797" t="s">
        <v>1670</v>
      </c>
      <c r="M797" t="s">
        <v>1670</v>
      </c>
      <c r="O797" t="s">
        <v>1952</v>
      </c>
      <c r="P797" t="s">
        <v>1960</v>
      </c>
      <c r="R797" t="s">
        <v>50</v>
      </c>
      <c r="S797" t="s">
        <v>1670</v>
      </c>
      <c r="U797" t="s">
        <v>1972</v>
      </c>
      <c r="W797" t="s">
        <v>225</v>
      </c>
      <c r="X797">
        <v>2450</v>
      </c>
      <c r="Y797" t="s">
        <v>2009</v>
      </c>
      <c r="Z797" t="s">
        <v>2016</v>
      </c>
      <c r="AB797" t="s">
        <v>13611</v>
      </c>
      <c r="AE797">
        <v>82</v>
      </c>
      <c r="AF797" t="s">
        <v>2902</v>
      </c>
      <c r="AG797" t="s">
        <v>1754</v>
      </c>
      <c r="AH797">
        <v>1</v>
      </c>
      <c r="AI797">
        <v>1</v>
      </c>
      <c r="AJ797">
        <v>0</v>
      </c>
      <c r="AK797">
        <v>535.42</v>
      </c>
      <c r="AL797" t="s">
        <v>218</v>
      </c>
      <c r="AM797" t="s">
        <v>18031</v>
      </c>
      <c r="AN797" t="s">
        <v>2926</v>
      </c>
      <c r="AO797">
        <v>65000</v>
      </c>
      <c r="AP797" t="s">
        <v>18069</v>
      </c>
      <c r="AU797" t="s">
        <v>13051</v>
      </c>
      <c r="AW797" t="s">
        <v>3060</v>
      </c>
    </row>
    <row r="798" spans="1:50">
      <c r="A798" s="1" t="s">
        <v>57</v>
      </c>
      <c r="B798" t="s">
        <v>163</v>
      </c>
      <c r="C798" t="s">
        <v>4008</v>
      </c>
      <c r="D798" t="s">
        <v>363</v>
      </c>
      <c r="F798" t="s">
        <v>7162</v>
      </c>
      <c r="G798" t="s">
        <v>8258</v>
      </c>
      <c r="H798" t="s">
        <v>1379</v>
      </c>
      <c r="I798" t="s">
        <v>1581</v>
      </c>
      <c r="J798" t="s">
        <v>1641</v>
      </c>
      <c r="K798">
        <v>10468</v>
      </c>
      <c r="L798" t="s">
        <v>1670</v>
      </c>
      <c r="M798" t="s">
        <v>1670</v>
      </c>
      <c r="N798" t="s">
        <v>1718</v>
      </c>
      <c r="O798" t="s">
        <v>1939</v>
      </c>
      <c r="P798" t="s">
        <v>1960</v>
      </c>
      <c r="R798" t="s">
        <v>50</v>
      </c>
      <c r="S798" t="s">
        <v>1670</v>
      </c>
      <c r="U798" t="s">
        <v>1972</v>
      </c>
      <c r="V798" t="s">
        <v>1984</v>
      </c>
      <c r="W798" t="s">
        <v>363</v>
      </c>
      <c r="X798">
        <v>1613.2</v>
      </c>
      <c r="Y798" t="s">
        <v>2006</v>
      </c>
      <c r="Z798" t="s">
        <v>2015</v>
      </c>
      <c r="AB798" t="s">
        <v>13612</v>
      </c>
      <c r="AD798" t="s">
        <v>16100</v>
      </c>
      <c r="AE798">
        <v>58</v>
      </c>
      <c r="AF798" t="s">
        <v>2902</v>
      </c>
      <c r="AG798" t="s">
        <v>1754</v>
      </c>
      <c r="AH798">
        <v>20</v>
      </c>
      <c r="AI798">
        <v>1</v>
      </c>
      <c r="AJ798">
        <v>0</v>
      </c>
      <c r="AK798">
        <v>535.42</v>
      </c>
      <c r="AN798" t="s">
        <v>2927</v>
      </c>
      <c r="AO798">
        <v>65000</v>
      </c>
      <c r="AU798">
        <v>0.5</v>
      </c>
      <c r="AV798" t="s">
        <v>363</v>
      </c>
      <c r="AW798" t="s">
        <v>3046</v>
      </c>
    </row>
    <row r="799" spans="1:50">
      <c r="A799" s="1" t="s">
        <v>64</v>
      </c>
      <c r="B799" t="s">
        <v>163</v>
      </c>
      <c r="C799" t="s">
        <v>4009</v>
      </c>
      <c r="D799" t="s">
        <v>305</v>
      </c>
      <c r="F799" t="s">
        <v>7163</v>
      </c>
      <c r="G799" t="s">
        <v>7131</v>
      </c>
      <c r="H799" t="s">
        <v>1243</v>
      </c>
      <c r="I799" t="s">
        <v>11124</v>
      </c>
      <c r="J799" t="s">
        <v>1643</v>
      </c>
      <c r="K799">
        <v>10033</v>
      </c>
      <c r="L799" t="s">
        <v>1670</v>
      </c>
      <c r="M799" t="s">
        <v>1670</v>
      </c>
      <c r="O799" t="s">
        <v>1939</v>
      </c>
      <c r="P799" t="s">
        <v>1960</v>
      </c>
      <c r="R799" t="s">
        <v>50</v>
      </c>
      <c r="S799" t="s">
        <v>1670</v>
      </c>
      <c r="U799" t="s">
        <v>1972</v>
      </c>
      <c r="W799" t="s">
        <v>305</v>
      </c>
      <c r="X799">
        <v>2595</v>
      </c>
      <c r="Y799" t="s">
        <v>2008</v>
      </c>
      <c r="Z799" t="s">
        <v>2016</v>
      </c>
      <c r="AB799" t="s">
        <v>13613</v>
      </c>
      <c r="AD799" t="s">
        <v>16101</v>
      </c>
      <c r="AE799">
        <v>232</v>
      </c>
      <c r="AF799" t="s">
        <v>2902</v>
      </c>
      <c r="AG799" t="s">
        <v>1754</v>
      </c>
      <c r="AH799">
        <v>1</v>
      </c>
      <c r="AI799">
        <v>1</v>
      </c>
      <c r="AJ799">
        <v>0</v>
      </c>
      <c r="AK799">
        <v>535.42</v>
      </c>
      <c r="AN799" t="s">
        <v>2926</v>
      </c>
      <c r="AO799">
        <v>65000</v>
      </c>
      <c r="AU799">
        <v>0.1</v>
      </c>
      <c r="AV799" t="s">
        <v>1999</v>
      </c>
      <c r="AW799" t="s">
        <v>3042</v>
      </c>
    </row>
    <row r="800" spans="1:50">
      <c r="A800" s="1" t="s">
        <v>58</v>
      </c>
      <c r="B800" t="s">
        <v>163</v>
      </c>
      <c r="C800" t="s">
        <v>4010</v>
      </c>
      <c r="D800" t="s">
        <v>171</v>
      </c>
      <c r="F800" t="s">
        <v>7164</v>
      </c>
      <c r="G800" t="s">
        <v>7252</v>
      </c>
      <c r="H800" t="s">
        <v>1113</v>
      </c>
      <c r="I800" t="s">
        <v>1484</v>
      </c>
      <c r="J800" t="s">
        <v>1641</v>
      </c>
      <c r="K800">
        <v>10452</v>
      </c>
      <c r="L800" t="s">
        <v>1670</v>
      </c>
      <c r="M800" t="s">
        <v>1672</v>
      </c>
      <c r="O800" t="s">
        <v>1938</v>
      </c>
      <c r="P800" t="s">
        <v>1962</v>
      </c>
      <c r="R800" t="s">
        <v>50</v>
      </c>
      <c r="S800" t="s">
        <v>1670</v>
      </c>
      <c r="U800" t="s">
        <v>1972</v>
      </c>
      <c r="W800" t="s">
        <v>293</v>
      </c>
      <c r="X800">
        <v>1477.27</v>
      </c>
      <c r="Y800" t="s">
        <v>2006</v>
      </c>
      <c r="Z800" t="s">
        <v>2015</v>
      </c>
      <c r="AB800" t="s">
        <v>13614</v>
      </c>
      <c r="AD800" t="s">
        <v>16102</v>
      </c>
      <c r="AE800">
        <v>41</v>
      </c>
      <c r="AF800" t="s">
        <v>2902</v>
      </c>
      <c r="AG800" t="s">
        <v>1754</v>
      </c>
      <c r="AH800">
        <v>12</v>
      </c>
      <c r="AI800">
        <v>1</v>
      </c>
      <c r="AJ800">
        <v>0</v>
      </c>
      <c r="AK800">
        <v>536.4299999999999</v>
      </c>
      <c r="AN800" t="s">
        <v>2926</v>
      </c>
      <c r="AO800">
        <v>67000</v>
      </c>
      <c r="AU800" t="s">
        <v>13051</v>
      </c>
      <c r="AW800" t="s">
        <v>3046</v>
      </c>
      <c r="AX800" t="s">
        <v>18685</v>
      </c>
    </row>
    <row r="801" spans="1:50">
      <c r="A801" s="1" t="s">
        <v>135</v>
      </c>
      <c r="B801" t="s">
        <v>163</v>
      </c>
      <c r="C801" t="s">
        <v>4011</v>
      </c>
      <c r="D801" t="s">
        <v>362</v>
      </c>
      <c r="F801" t="s">
        <v>7165</v>
      </c>
      <c r="G801" t="s">
        <v>8259</v>
      </c>
      <c r="H801" t="s">
        <v>9425</v>
      </c>
      <c r="I801" t="s">
        <v>1548</v>
      </c>
      <c r="J801" t="s">
        <v>1644</v>
      </c>
      <c r="K801">
        <v>11216</v>
      </c>
      <c r="L801" t="s">
        <v>1670</v>
      </c>
      <c r="M801" t="s">
        <v>1670</v>
      </c>
      <c r="N801" t="s">
        <v>1675</v>
      </c>
      <c r="O801" t="s">
        <v>1937</v>
      </c>
      <c r="P801" t="s">
        <v>1962</v>
      </c>
      <c r="R801" t="s">
        <v>50</v>
      </c>
      <c r="S801" t="s">
        <v>1670</v>
      </c>
      <c r="U801" t="s">
        <v>1972</v>
      </c>
      <c r="W801" t="s">
        <v>6208</v>
      </c>
      <c r="X801">
        <v>2300</v>
      </c>
      <c r="Y801" t="s">
        <v>2009</v>
      </c>
      <c r="Z801" t="s">
        <v>2016</v>
      </c>
      <c r="AB801" t="s">
        <v>13615</v>
      </c>
      <c r="AD801" t="s">
        <v>16103</v>
      </c>
      <c r="AE801">
        <v>8</v>
      </c>
      <c r="AF801" t="s">
        <v>2902</v>
      </c>
      <c r="AG801" t="s">
        <v>1754</v>
      </c>
      <c r="AH801">
        <v>2</v>
      </c>
      <c r="AI801">
        <v>2</v>
      </c>
      <c r="AJ801">
        <v>2</v>
      </c>
      <c r="AK801">
        <v>537.85</v>
      </c>
      <c r="AL801" t="s">
        <v>218</v>
      </c>
      <c r="AM801" t="s">
        <v>18031</v>
      </c>
      <c r="AN801" t="s">
        <v>2926</v>
      </c>
      <c r="AO801">
        <v>135000</v>
      </c>
      <c r="AP801" t="s">
        <v>18069</v>
      </c>
      <c r="AU801" t="s">
        <v>13051</v>
      </c>
      <c r="AW801" t="s">
        <v>3060</v>
      </c>
    </row>
    <row r="802" spans="1:50">
      <c r="A802" s="1" t="s">
        <v>62</v>
      </c>
      <c r="B802" t="s">
        <v>163</v>
      </c>
      <c r="C802" t="s">
        <v>4012</v>
      </c>
      <c r="D802" t="s">
        <v>401</v>
      </c>
      <c r="F802" t="s">
        <v>525</v>
      </c>
      <c r="G802" t="s">
        <v>8260</v>
      </c>
      <c r="H802" t="s">
        <v>9688</v>
      </c>
      <c r="I802" t="s">
        <v>1525</v>
      </c>
      <c r="J802" t="s">
        <v>1644</v>
      </c>
      <c r="K802">
        <v>11213</v>
      </c>
      <c r="L802" t="s">
        <v>1670</v>
      </c>
      <c r="M802" t="s">
        <v>1672</v>
      </c>
      <c r="O802" t="s">
        <v>1936</v>
      </c>
      <c r="P802" t="s">
        <v>1960</v>
      </c>
      <c r="R802" t="s">
        <v>50</v>
      </c>
      <c r="S802" t="s">
        <v>1671</v>
      </c>
      <c r="U802" t="s">
        <v>1972</v>
      </c>
      <c r="W802" t="s">
        <v>401</v>
      </c>
      <c r="X802" t="s">
        <v>13051</v>
      </c>
      <c r="Y802" t="s">
        <v>2009</v>
      </c>
      <c r="AB802" t="s">
        <v>13616</v>
      </c>
      <c r="AD802" t="s">
        <v>16104</v>
      </c>
      <c r="AE802" t="s">
        <v>13051</v>
      </c>
      <c r="AH802" t="s">
        <v>13051</v>
      </c>
      <c r="AI802">
        <v>1</v>
      </c>
      <c r="AJ802">
        <v>0</v>
      </c>
      <c r="AK802">
        <v>541.23</v>
      </c>
      <c r="AO802">
        <v>67600</v>
      </c>
      <c r="AU802">
        <v>3</v>
      </c>
      <c r="AV802" t="s">
        <v>400</v>
      </c>
      <c r="AW802" t="s">
        <v>158</v>
      </c>
    </row>
    <row r="803" spans="1:50">
      <c r="A803" s="1" t="s">
        <v>135</v>
      </c>
      <c r="B803" t="s">
        <v>163</v>
      </c>
      <c r="C803" t="s">
        <v>4013</v>
      </c>
      <c r="D803" t="s">
        <v>284</v>
      </c>
      <c r="F803" t="s">
        <v>7166</v>
      </c>
      <c r="G803" t="s">
        <v>8261</v>
      </c>
      <c r="H803" t="s">
        <v>9425</v>
      </c>
      <c r="I803" t="s">
        <v>11125</v>
      </c>
      <c r="J803" t="s">
        <v>1644</v>
      </c>
      <c r="K803">
        <v>11216</v>
      </c>
      <c r="L803" t="s">
        <v>1670</v>
      </c>
      <c r="M803" t="s">
        <v>1670</v>
      </c>
      <c r="O803" t="s">
        <v>1675</v>
      </c>
      <c r="P803" t="s">
        <v>1962</v>
      </c>
      <c r="R803" t="s">
        <v>50</v>
      </c>
      <c r="U803" t="s">
        <v>1972</v>
      </c>
      <c r="W803" t="s">
        <v>225</v>
      </c>
      <c r="X803">
        <v>1575</v>
      </c>
      <c r="Y803" t="s">
        <v>2009</v>
      </c>
      <c r="Z803" t="s">
        <v>2016</v>
      </c>
      <c r="AB803" t="s">
        <v>13617</v>
      </c>
      <c r="AD803" t="s">
        <v>16105</v>
      </c>
      <c r="AE803">
        <v>82</v>
      </c>
      <c r="AF803" t="s">
        <v>2902</v>
      </c>
      <c r="AG803" t="s">
        <v>1754</v>
      </c>
      <c r="AH803">
        <v>2</v>
      </c>
      <c r="AI803">
        <v>1</v>
      </c>
      <c r="AJ803">
        <v>0</v>
      </c>
      <c r="AK803">
        <v>543.66</v>
      </c>
      <c r="AL803" t="s">
        <v>218</v>
      </c>
      <c r="AM803" t="s">
        <v>18031</v>
      </c>
      <c r="AN803" t="s">
        <v>2926</v>
      </c>
      <c r="AO803">
        <v>66000</v>
      </c>
      <c r="AP803" t="s">
        <v>18069</v>
      </c>
      <c r="AU803" t="s">
        <v>13051</v>
      </c>
      <c r="AW803" t="s">
        <v>3060</v>
      </c>
    </row>
    <row r="804" spans="1:50">
      <c r="A804" s="1" t="s">
        <v>135</v>
      </c>
      <c r="B804" t="s">
        <v>163</v>
      </c>
      <c r="C804" t="s">
        <v>4014</v>
      </c>
      <c r="D804" t="s">
        <v>284</v>
      </c>
      <c r="F804" t="s">
        <v>7166</v>
      </c>
      <c r="G804" t="s">
        <v>8261</v>
      </c>
      <c r="H804" t="s">
        <v>9425</v>
      </c>
      <c r="I804" t="s">
        <v>11125</v>
      </c>
      <c r="J804" t="s">
        <v>1644</v>
      </c>
      <c r="K804">
        <v>11216</v>
      </c>
      <c r="L804" t="s">
        <v>1670</v>
      </c>
      <c r="M804" t="s">
        <v>1670</v>
      </c>
      <c r="O804" t="s">
        <v>1952</v>
      </c>
      <c r="P804" t="s">
        <v>1960</v>
      </c>
      <c r="R804" t="s">
        <v>50</v>
      </c>
      <c r="S804" t="s">
        <v>1670</v>
      </c>
      <c r="U804" t="s">
        <v>1972</v>
      </c>
      <c r="W804" t="s">
        <v>225</v>
      </c>
      <c r="X804">
        <v>1575</v>
      </c>
      <c r="Y804" t="s">
        <v>2009</v>
      </c>
      <c r="Z804" t="s">
        <v>2016</v>
      </c>
      <c r="AB804" t="s">
        <v>13617</v>
      </c>
      <c r="AD804" t="s">
        <v>16105</v>
      </c>
      <c r="AE804">
        <v>82</v>
      </c>
      <c r="AF804" t="s">
        <v>2902</v>
      </c>
      <c r="AG804" t="s">
        <v>1754</v>
      </c>
      <c r="AH804">
        <v>2</v>
      </c>
      <c r="AI804">
        <v>1</v>
      </c>
      <c r="AJ804">
        <v>0</v>
      </c>
      <c r="AK804">
        <v>543.66</v>
      </c>
      <c r="AL804" t="s">
        <v>218</v>
      </c>
      <c r="AM804" t="s">
        <v>18031</v>
      </c>
      <c r="AN804" t="s">
        <v>2926</v>
      </c>
      <c r="AO804">
        <v>66000</v>
      </c>
      <c r="AP804" t="s">
        <v>18069</v>
      </c>
      <c r="AU804" t="s">
        <v>13051</v>
      </c>
      <c r="AW804" t="s">
        <v>3060</v>
      </c>
    </row>
    <row r="805" spans="1:50">
      <c r="A805" s="1" t="s">
        <v>135</v>
      </c>
      <c r="B805" t="s">
        <v>163</v>
      </c>
      <c r="C805" t="s">
        <v>4015</v>
      </c>
      <c r="D805" t="s">
        <v>173</v>
      </c>
      <c r="F805" t="s">
        <v>508</v>
      </c>
      <c r="G805" t="s">
        <v>7973</v>
      </c>
      <c r="H805" t="s">
        <v>9425</v>
      </c>
      <c r="I805" t="s">
        <v>11126</v>
      </c>
      <c r="J805" t="s">
        <v>1644</v>
      </c>
      <c r="K805">
        <v>11216</v>
      </c>
      <c r="L805" t="s">
        <v>1670</v>
      </c>
      <c r="M805" t="s">
        <v>1670</v>
      </c>
      <c r="O805" t="s">
        <v>1675</v>
      </c>
      <c r="P805" t="s">
        <v>1962</v>
      </c>
      <c r="R805" t="s">
        <v>50</v>
      </c>
      <c r="U805" t="s">
        <v>1972</v>
      </c>
      <c r="W805" t="s">
        <v>225</v>
      </c>
      <c r="X805">
        <v>2100</v>
      </c>
      <c r="Y805" t="s">
        <v>2009</v>
      </c>
      <c r="Z805" t="s">
        <v>2016</v>
      </c>
      <c r="AB805" t="s">
        <v>13618</v>
      </c>
      <c r="AD805" t="s">
        <v>16106</v>
      </c>
      <c r="AE805">
        <v>82</v>
      </c>
      <c r="AF805" t="s">
        <v>2902</v>
      </c>
      <c r="AG805" t="s">
        <v>1754</v>
      </c>
      <c r="AH805">
        <v>4</v>
      </c>
      <c r="AI805">
        <v>2</v>
      </c>
      <c r="AJ805">
        <v>0</v>
      </c>
      <c r="AK805">
        <v>543.74</v>
      </c>
      <c r="AN805" t="s">
        <v>2926</v>
      </c>
      <c r="AO805">
        <v>89500</v>
      </c>
      <c r="AP805" t="s">
        <v>18069</v>
      </c>
      <c r="AU805" t="s">
        <v>13051</v>
      </c>
      <c r="AW805" t="s">
        <v>3060</v>
      </c>
    </row>
    <row r="806" spans="1:50">
      <c r="A806" s="1" t="s">
        <v>135</v>
      </c>
      <c r="B806" t="s">
        <v>163</v>
      </c>
      <c r="C806" t="s">
        <v>4016</v>
      </c>
      <c r="D806" t="s">
        <v>173</v>
      </c>
      <c r="F806" t="s">
        <v>508</v>
      </c>
      <c r="G806" t="s">
        <v>7973</v>
      </c>
      <c r="H806" t="s">
        <v>9425</v>
      </c>
      <c r="I806" t="s">
        <v>11126</v>
      </c>
      <c r="J806" t="s">
        <v>1644</v>
      </c>
      <c r="K806">
        <v>11216</v>
      </c>
      <c r="L806" t="s">
        <v>1670</v>
      </c>
      <c r="M806" t="s">
        <v>1670</v>
      </c>
      <c r="O806" t="s">
        <v>1952</v>
      </c>
      <c r="P806" t="s">
        <v>1960</v>
      </c>
      <c r="R806" t="s">
        <v>50</v>
      </c>
      <c r="S806" t="s">
        <v>1670</v>
      </c>
      <c r="U806" t="s">
        <v>1972</v>
      </c>
      <c r="W806" t="s">
        <v>225</v>
      </c>
      <c r="X806">
        <v>2100</v>
      </c>
      <c r="Y806" t="s">
        <v>2009</v>
      </c>
      <c r="Z806" t="s">
        <v>2016</v>
      </c>
      <c r="AB806" t="s">
        <v>13618</v>
      </c>
      <c r="AD806" t="s">
        <v>16106</v>
      </c>
      <c r="AE806">
        <v>82</v>
      </c>
      <c r="AF806" t="s">
        <v>2902</v>
      </c>
      <c r="AG806" t="s">
        <v>1754</v>
      </c>
      <c r="AH806">
        <v>4</v>
      </c>
      <c r="AI806">
        <v>2</v>
      </c>
      <c r="AJ806">
        <v>0</v>
      </c>
      <c r="AK806">
        <v>543.74</v>
      </c>
      <c r="AN806" t="s">
        <v>2926</v>
      </c>
      <c r="AO806">
        <v>89500</v>
      </c>
      <c r="AP806" t="s">
        <v>18069</v>
      </c>
      <c r="AU806" t="s">
        <v>13051</v>
      </c>
      <c r="AW806" t="s">
        <v>3060</v>
      </c>
    </row>
    <row r="807" spans="1:50">
      <c r="A807" s="1" t="s">
        <v>57</v>
      </c>
      <c r="B807" t="s">
        <v>163</v>
      </c>
      <c r="C807" t="s">
        <v>4017</v>
      </c>
      <c r="D807" t="s">
        <v>170</v>
      </c>
      <c r="F807" t="s">
        <v>453</v>
      </c>
      <c r="G807" t="s">
        <v>8262</v>
      </c>
      <c r="H807" t="s">
        <v>1112</v>
      </c>
      <c r="I807" t="s">
        <v>1477</v>
      </c>
      <c r="J807" t="s">
        <v>1641</v>
      </c>
      <c r="K807">
        <v>10453</v>
      </c>
      <c r="L807" t="s">
        <v>1670</v>
      </c>
      <c r="M807" t="s">
        <v>1670</v>
      </c>
      <c r="O807" t="s">
        <v>1938</v>
      </c>
      <c r="P807" t="s">
        <v>1961</v>
      </c>
      <c r="R807" t="s">
        <v>50</v>
      </c>
      <c r="S807" t="s">
        <v>1670</v>
      </c>
      <c r="U807" t="s">
        <v>1972</v>
      </c>
      <c r="W807" t="s">
        <v>283</v>
      </c>
      <c r="X807">
        <v>1120.87</v>
      </c>
      <c r="Y807" t="s">
        <v>2006</v>
      </c>
      <c r="Z807" t="s">
        <v>2015</v>
      </c>
      <c r="AB807" t="s">
        <v>13619</v>
      </c>
      <c r="AD807" t="s">
        <v>16107</v>
      </c>
      <c r="AE807">
        <v>167</v>
      </c>
      <c r="AF807" t="s">
        <v>2902</v>
      </c>
      <c r="AG807" t="s">
        <v>1754</v>
      </c>
      <c r="AH807">
        <v>18</v>
      </c>
      <c r="AI807">
        <v>1</v>
      </c>
      <c r="AJ807">
        <v>0</v>
      </c>
      <c r="AK807">
        <v>544.4400000000001</v>
      </c>
      <c r="AN807" t="s">
        <v>2926</v>
      </c>
      <c r="AO807">
        <v>68000</v>
      </c>
      <c r="AU807" t="s">
        <v>13051</v>
      </c>
      <c r="AW807" t="s">
        <v>3046</v>
      </c>
    </row>
    <row r="808" spans="1:50">
      <c r="A808" s="1" t="s">
        <v>118</v>
      </c>
      <c r="B808" t="s">
        <v>163</v>
      </c>
      <c r="C808" t="s">
        <v>4018</v>
      </c>
      <c r="D808" t="s">
        <v>404</v>
      </c>
      <c r="F808" t="s">
        <v>720</v>
      </c>
      <c r="G808" t="s">
        <v>6782</v>
      </c>
      <c r="H808" t="s">
        <v>9397</v>
      </c>
      <c r="I808" t="s">
        <v>1550</v>
      </c>
      <c r="J808" t="s">
        <v>1641</v>
      </c>
      <c r="K808">
        <v>10452</v>
      </c>
      <c r="L808" t="s">
        <v>1670</v>
      </c>
      <c r="M808" t="s">
        <v>1672</v>
      </c>
      <c r="O808" t="s">
        <v>1938</v>
      </c>
      <c r="P808" t="s">
        <v>1961</v>
      </c>
      <c r="R808" t="s">
        <v>50</v>
      </c>
      <c r="S808" t="s">
        <v>1670</v>
      </c>
      <c r="U808" t="s">
        <v>1972</v>
      </c>
      <c r="W808" t="s">
        <v>1991</v>
      </c>
      <c r="X808">
        <v>1113.95</v>
      </c>
      <c r="Y808" t="s">
        <v>2006</v>
      </c>
      <c r="Z808" t="s">
        <v>2015</v>
      </c>
      <c r="AB808" t="s">
        <v>13620</v>
      </c>
      <c r="AD808" t="s">
        <v>16108</v>
      </c>
      <c r="AE808">
        <v>52</v>
      </c>
      <c r="AF808" t="s">
        <v>2902</v>
      </c>
      <c r="AG808" t="s">
        <v>1754</v>
      </c>
      <c r="AH808">
        <v>36</v>
      </c>
      <c r="AI808">
        <v>1</v>
      </c>
      <c r="AJ808">
        <v>0</v>
      </c>
      <c r="AK808">
        <v>544.4400000000001</v>
      </c>
      <c r="AN808" t="s">
        <v>2926</v>
      </c>
      <c r="AO808">
        <v>68000</v>
      </c>
      <c r="AU808" t="s">
        <v>13051</v>
      </c>
      <c r="AW808" t="s">
        <v>3045</v>
      </c>
      <c r="AX808" t="s">
        <v>18685</v>
      </c>
    </row>
    <row r="809" spans="1:50">
      <c r="A809" s="1" t="s">
        <v>57</v>
      </c>
      <c r="B809" t="s">
        <v>163</v>
      </c>
      <c r="C809" t="s">
        <v>4019</v>
      </c>
      <c r="D809" t="s">
        <v>170</v>
      </c>
      <c r="F809" t="s">
        <v>453</v>
      </c>
      <c r="G809" t="s">
        <v>8262</v>
      </c>
      <c r="H809" t="s">
        <v>1112</v>
      </c>
      <c r="I809" t="s">
        <v>1477</v>
      </c>
      <c r="J809" t="s">
        <v>1641</v>
      </c>
      <c r="K809">
        <v>10453</v>
      </c>
      <c r="L809" t="s">
        <v>1670</v>
      </c>
      <c r="M809" t="s">
        <v>1670</v>
      </c>
      <c r="N809" t="s">
        <v>1677</v>
      </c>
      <c r="O809" t="s">
        <v>1939</v>
      </c>
      <c r="P809" t="s">
        <v>1960</v>
      </c>
      <c r="R809" t="s">
        <v>50</v>
      </c>
      <c r="S809" t="s">
        <v>1670</v>
      </c>
      <c r="U809" t="s">
        <v>1972</v>
      </c>
      <c r="W809" t="s">
        <v>283</v>
      </c>
      <c r="X809">
        <v>1120.87</v>
      </c>
      <c r="Y809" t="s">
        <v>2006</v>
      </c>
      <c r="Z809" t="s">
        <v>2015</v>
      </c>
      <c r="AB809" t="s">
        <v>13619</v>
      </c>
      <c r="AD809" t="s">
        <v>16107</v>
      </c>
      <c r="AE809">
        <v>167</v>
      </c>
      <c r="AF809" t="s">
        <v>2902</v>
      </c>
      <c r="AG809" t="s">
        <v>1754</v>
      </c>
      <c r="AH809">
        <v>18</v>
      </c>
      <c r="AI809">
        <v>1</v>
      </c>
      <c r="AJ809">
        <v>0</v>
      </c>
      <c r="AK809">
        <v>544.4400000000001</v>
      </c>
      <c r="AN809" t="s">
        <v>2926</v>
      </c>
      <c r="AO809">
        <v>68000</v>
      </c>
      <c r="AU809" t="s">
        <v>13051</v>
      </c>
      <c r="AW809" t="s">
        <v>3046</v>
      </c>
    </row>
    <row r="810" spans="1:50">
      <c r="A810" s="1" t="s">
        <v>135</v>
      </c>
      <c r="B810" t="s">
        <v>163</v>
      </c>
      <c r="C810" t="s">
        <v>4020</v>
      </c>
      <c r="D810" t="s">
        <v>173</v>
      </c>
      <c r="F810" t="s">
        <v>6851</v>
      </c>
      <c r="G810" t="s">
        <v>8263</v>
      </c>
      <c r="H810" t="s">
        <v>9425</v>
      </c>
      <c r="I810" t="s">
        <v>11126</v>
      </c>
      <c r="J810" t="s">
        <v>1644</v>
      </c>
      <c r="K810">
        <v>11216</v>
      </c>
      <c r="L810" t="s">
        <v>1670</v>
      </c>
      <c r="M810" t="s">
        <v>1670</v>
      </c>
      <c r="O810" t="s">
        <v>1675</v>
      </c>
      <c r="P810" t="s">
        <v>1962</v>
      </c>
      <c r="R810" t="s">
        <v>50</v>
      </c>
      <c r="S810" t="s">
        <v>1670</v>
      </c>
      <c r="U810" t="s">
        <v>1972</v>
      </c>
      <c r="W810" t="s">
        <v>225</v>
      </c>
      <c r="X810">
        <v>2100</v>
      </c>
      <c r="Y810" t="s">
        <v>2009</v>
      </c>
      <c r="Z810" t="s">
        <v>2016</v>
      </c>
      <c r="AB810" t="s">
        <v>13449</v>
      </c>
      <c r="AD810" t="s">
        <v>16109</v>
      </c>
      <c r="AE810">
        <v>82</v>
      </c>
      <c r="AF810" t="s">
        <v>2902</v>
      </c>
      <c r="AG810" t="s">
        <v>1754</v>
      </c>
      <c r="AH810">
        <v>4</v>
      </c>
      <c r="AI810">
        <v>2</v>
      </c>
      <c r="AJ810">
        <v>0</v>
      </c>
      <c r="AK810">
        <v>546.78</v>
      </c>
      <c r="AN810" t="s">
        <v>2926</v>
      </c>
      <c r="AO810">
        <v>90000</v>
      </c>
      <c r="AP810" t="s">
        <v>18069</v>
      </c>
      <c r="AU810" t="s">
        <v>13051</v>
      </c>
      <c r="AW810" t="s">
        <v>3060</v>
      </c>
    </row>
    <row r="811" spans="1:50">
      <c r="A811" s="1" t="s">
        <v>135</v>
      </c>
      <c r="B811" t="s">
        <v>163</v>
      </c>
      <c r="C811" t="s">
        <v>4021</v>
      </c>
      <c r="D811" t="s">
        <v>173</v>
      </c>
      <c r="F811" t="s">
        <v>6851</v>
      </c>
      <c r="G811" t="s">
        <v>8263</v>
      </c>
      <c r="H811" t="s">
        <v>9425</v>
      </c>
      <c r="I811" t="s">
        <v>11126</v>
      </c>
      <c r="J811" t="s">
        <v>1644</v>
      </c>
      <c r="K811">
        <v>11216</v>
      </c>
      <c r="L811" t="s">
        <v>1670</v>
      </c>
      <c r="M811" t="s">
        <v>1670</v>
      </c>
      <c r="O811" t="s">
        <v>1952</v>
      </c>
      <c r="P811" t="s">
        <v>1960</v>
      </c>
      <c r="R811" t="s">
        <v>50</v>
      </c>
      <c r="S811" t="s">
        <v>1670</v>
      </c>
      <c r="U811" t="s">
        <v>1972</v>
      </c>
      <c r="W811" t="s">
        <v>225</v>
      </c>
      <c r="X811">
        <v>2100</v>
      </c>
      <c r="Y811" t="s">
        <v>2009</v>
      </c>
      <c r="Z811" t="s">
        <v>2016</v>
      </c>
      <c r="AB811" t="s">
        <v>13449</v>
      </c>
      <c r="AD811" t="s">
        <v>16109</v>
      </c>
      <c r="AE811">
        <v>82</v>
      </c>
      <c r="AF811" t="s">
        <v>2902</v>
      </c>
      <c r="AG811" t="s">
        <v>1754</v>
      </c>
      <c r="AH811">
        <v>4</v>
      </c>
      <c r="AI811">
        <v>2</v>
      </c>
      <c r="AJ811">
        <v>0</v>
      </c>
      <c r="AK811">
        <v>546.78</v>
      </c>
      <c r="AN811" t="s">
        <v>2926</v>
      </c>
      <c r="AO811">
        <v>90000</v>
      </c>
      <c r="AP811" t="s">
        <v>18069</v>
      </c>
      <c r="AU811" t="s">
        <v>13051</v>
      </c>
      <c r="AW811" t="s">
        <v>3060</v>
      </c>
    </row>
    <row r="812" spans="1:50">
      <c r="A812" s="1" t="s">
        <v>58</v>
      </c>
      <c r="B812" t="s">
        <v>163</v>
      </c>
      <c r="C812" t="s">
        <v>4022</v>
      </c>
      <c r="D812" t="s">
        <v>383</v>
      </c>
      <c r="F812" t="s">
        <v>7164</v>
      </c>
      <c r="G812" t="s">
        <v>7252</v>
      </c>
      <c r="H812" t="s">
        <v>1113</v>
      </c>
      <c r="I812" t="s">
        <v>1484</v>
      </c>
      <c r="J812" t="s">
        <v>1641</v>
      </c>
      <c r="K812">
        <v>10452</v>
      </c>
      <c r="L812" t="s">
        <v>1670</v>
      </c>
      <c r="M812" t="s">
        <v>1670</v>
      </c>
      <c r="N812" t="s">
        <v>12018</v>
      </c>
      <c r="O812" t="s">
        <v>1940</v>
      </c>
      <c r="P812" t="s">
        <v>1960</v>
      </c>
      <c r="R812" t="s">
        <v>50</v>
      </c>
      <c r="S812" t="s">
        <v>1671</v>
      </c>
      <c r="U812" t="s">
        <v>1972</v>
      </c>
      <c r="V812" t="s">
        <v>1984</v>
      </c>
      <c r="W812" t="s">
        <v>359</v>
      </c>
      <c r="X812">
        <v>1477.27</v>
      </c>
      <c r="Y812" t="s">
        <v>2006</v>
      </c>
      <c r="Z812" t="s">
        <v>2020</v>
      </c>
      <c r="AB812" t="s">
        <v>13614</v>
      </c>
      <c r="AD812" t="s">
        <v>16102</v>
      </c>
      <c r="AE812">
        <v>41</v>
      </c>
      <c r="AF812" t="s">
        <v>2902</v>
      </c>
      <c r="AG812" t="s">
        <v>1754</v>
      </c>
      <c r="AH812">
        <v>12</v>
      </c>
      <c r="AI812">
        <v>1</v>
      </c>
      <c r="AJ812">
        <v>0</v>
      </c>
      <c r="AK812">
        <v>551.89</v>
      </c>
      <c r="AN812" t="s">
        <v>2926</v>
      </c>
      <c r="AO812">
        <v>67000</v>
      </c>
      <c r="AU812">
        <v>28.85</v>
      </c>
      <c r="AV812" t="s">
        <v>403</v>
      </c>
      <c r="AW812" t="s">
        <v>3046</v>
      </c>
    </row>
    <row r="813" spans="1:50">
      <c r="A813" s="1" t="s">
        <v>58</v>
      </c>
      <c r="B813" t="s">
        <v>163</v>
      </c>
      <c r="C813" t="s">
        <v>4023</v>
      </c>
      <c r="D813" t="s">
        <v>172</v>
      </c>
      <c r="F813" t="s">
        <v>7164</v>
      </c>
      <c r="G813" t="s">
        <v>7252</v>
      </c>
      <c r="H813" t="s">
        <v>1113</v>
      </c>
      <c r="I813" t="s">
        <v>1484</v>
      </c>
      <c r="J813" t="s">
        <v>1641</v>
      </c>
      <c r="K813">
        <v>10452</v>
      </c>
      <c r="L813" t="s">
        <v>1670</v>
      </c>
      <c r="M813" t="s">
        <v>1670</v>
      </c>
      <c r="N813" t="s">
        <v>1678</v>
      </c>
      <c r="O813" t="s">
        <v>1939</v>
      </c>
      <c r="P813" t="s">
        <v>1960</v>
      </c>
      <c r="R813" t="s">
        <v>50</v>
      </c>
      <c r="S813" t="s">
        <v>1670</v>
      </c>
      <c r="U813" t="s">
        <v>1972</v>
      </c>
      <c r="W813" t="s">
        <v>359</v>
      </c>
      <c r="X813">
        <v>1477.27</v>
      </c>
      <c r="Y813" t="s">
        <v>2006</v>
      </c>
      <c r="Z813" t="s">
        <v>2016</v>
      </c>
      <c r="AB813" t="s">
        <v>13614</v>
      </c>
      <c r="AD813" t="s">
        <v>16102</v>
      </c>
      <c r="AE813">
        <v>41</v>
      </c>
      <c r="AF813" t="s">
        <v>2902</v>
      </c>
      <c r="AG813" t="s">
        <v>1754</v>
      </c>
      <c r="AH813">
        <v>12</v>
      </c>
      <c r="AI813">
        <v>1</v>
      </c>
      <c r="AJ813">
        <v>0</v>
      </c>
      <c r="AK813">
        <v>551.89</v>
      </c>
      <c r="AN813" t="s">
        <v>2926</v>
      </c>
      <c r="AO813">
        <v>67000</v>
      </c>
      <c r="AU813" t="s">
        <v>13051</v>
      </c>
      <c r="AW813" t="s">
        <v>3046</v>
      </c>
    </row>
    <row r="814" spans="1:50">
      <c r="A814" s="1" t="s">
        <v>140</v>
      </c>
      <c r="B814" t="s">
        <v>163</v>
      </c>
      <c r="C814" t="s">
        <v>4024</v>
      </c>
      <c r="D814" t="s">
        <v>364</v>
      </c>
      <c r="F814" t="s">
        <v>6991</v>
      </c>
      <c r="G814" t="s">
        <v>8071</v>
      </c>
      <c r="H814" t="s">
        <v>9689</v>
      </c>
      <c r="I814" t="s">
        <v>11127</v>
      </c>
      <c r="J814" t="s">
        <v>1660</v>
      </c>
      <c r="K814">
        <v>11377</v>
      </c>
      <c r="L814" t="s">
        <v>1670</v>
      </c>
      <c r="M814" t="s">
        <v>1672</v>
      </c>
      <c r="N814" t="s">
        <v>12019</v>
      </c>
      <c r="O814" t="s">
        <v>1940</v>
      </c>
      <c r="P814" t="s">
        <v>1960</v>
      </c>
      <c r="R814" t="s">
        <v>50</v>
      </c>
      <c r="S814" t="s">
        <v>1671</v>
      </c>
      <c r="U814" t="s">
        <v>1972</v>
      </c>
      <c r="V814" t="s">
        <v>1984</v>
      </c>
      <c r="W814" t="s">
        <v>13036</v>
      </c>
      <c r="X814">
        <v>864.95</v>
      </c>
      <c r="Y814" t="s">
        <v>2007</v>
      </c>
      <c r="Z814" t="s">
        <v>2015</v>
      </c>
      <c r="AB814" t="s">
        <v>13621</v>
      </c>
      <c r="AC814" t="s">
        <v>15077</v>
      </c>
      <c r="AD814" t="s">
        <v>16110</v>
      </c>
      <c r="AE814">
        <v>15</v>
      </c>
      <c r="AF814" t="s">
        <v>2902</v>
      </c>
      <c r="AG814" t="s">
        <v>1754</v>
      </c>
      <c r="AH814">
        <v>5</v>
      </c>
      <c r="AI814">
        <v>1</v>
      </c>
      <c r="AJ814">
        <v>0</v>
      </c>
      <c r="AK814">
        <v>555.04</v>
      </c>
      <c r="AN814" t="s">
        <v>2927</v>
      </c>
      <c r="AO814">
        <v>69324.60000000001</v>
      </c>
      <c r="AU814">
        <v>4.25</v>
      </c>
      <c r="AV814" t="s">
        <v>396</v>
      </c>
      <c r="AW814" t="s">
        <v>140</v>
      </c>
      <c r="AX814" t="s">
        <v>18685</v>
      </c>
    </row>
    <row r="815" spans="1:50">
      <c r="A815" s="1" t="s">
        <v>135</v>
      </c>
      <c r="B815" t="s">
        <v>163</v>
      </c>
      <c r="C815" t="s">
        <v>4025</v>
      </c>
      <c r="D815" t="s">
        <v>242</v>
      </c>
      <c r="F815" t="s">
        <v>7062</v>
      </c>
      <c r="G815" t="s">
        <v>8264</v>
      </c>
      <c r="H815" t="s">
        <v>9425</v>
      </c>
      <c r="I815" t="s">
        <v>1622</v>
      </c>
      <c r="J815" t="s">
        <v>1644</v>
      </c>
      <c r="K815">
        <v>11216</v>
      </c>
      <c r="L815" t="s">
        <v>1670</v>
      </c>
      <c r="M815" t="s">
        <v>1672</v>
      </c>
      <c r="P815" t="s">
        <v>1962</v>
      </c>
      <c r="R815" t="s">
        <v>50</v>
      </c>
      <c r="S815" t="s">
        <v>1670</v>
      </c>
      <c r="U815" t="s">
        <v>1972</v>
      </c>
      <c r="W815" t="s">
        <v>344</v>
      </c>
      <c r="X815">
        <v>1400</v>
      </c>
      <c r="Y815" t="s">
        <v>2009</v>
      </c>
      <c r="Z815" t="s">
        <v>2016</v>
      </c>
      <c r="AB815" t="s">
        <v>13622</v>
      </c>
      <c r="AE815">
        <v>82</v>
      </c>
      <c r="AF815" t="s">
        <v>2902</v>
      </c>
      <c r="AG815" t="s">
        <v>1754</v>
      </c>
      <c r="AH815">
        <v>3</v>
      </c>
      <c r="AI815">
        <v>1</v>
      </c>
      <c r="AJ815">
        <v>0</v>
      </c>
      <c r="AK815">
        <v>556.01</v>
      </c>
      <c r="AN815" t="s">
        <v>2926</v>
      </c>
      <c r="AO815">
        <v>67500</v>
      </c>
      <c r="AP815" t="s">
        <v>1962</v>
      </c>
      <c r="AU815">
        <v>1.3</v>
      </c>
      <c r="AV815" t="s">
        <v>179</v>
      </c>
      <c r="AW815" t="s">
        <v>3060</v>
      </c>
    </row>
    <row r="816" spans="1:50">
      <c r="A816" s="1" t="s">
        <v>135</v>
      </c>
      <c r="B816" t="s">
        <v>163</v>
      </c>
      <c r="C816" t="s">
        <v>4026</v>
      </c>
      <c r="D816" t="s">
        <v>242</v>
      </c>
      <c r="F816" t="s">
        <v>7062</v>
      </c>
      <c r="G816" t="s">
        <v>8264</v>
      </c>
      <c r="H816" t="s">
        <v>9425</v>
      </c>
      <c r="I816" t="s">
        <v>1622</v>
      </c>
      <c r="J816" t="s">
        <v>1644</v>
      </c>
      <c r="K816">
        <v>11216</v>
      </c>
      <c r="L816" t="s">
        <v>1670</v>
      </c>
      <c r="M816" t="s">
        <v>1672</v>
      </c>
      <c r="O816" t="s">
        <v>1952</v>
      </c>
      <c r="P816" t="s">
        <v>1960</v>
      </c>
      <c r="R816" t="s">
        <v>50</v>
      </c>
      <c r="S816" t="s">
        <v>1670</v>
      </c>
      <c r="U816" t="s">
        <v>1972</v>
      </c>
      <c r="W816" t="s">
        <v>344</v>
      </c>
      <c r="X816">
        <v>1400</v>
      </c>
      <c r="Y816" t="s">
        <v>2009</v>
      </c>
      <c r="Z816" t="s">
        <v>2016</v>
      </c>
      <c r="AB816" t="s">
        <v>13622</v>
      </c>
      <c r="AE816">
        <v>82</v>
      </c>
      <c r="AF816" t="s">
        <v>2908</v>
      </c>
      <c r="AG816" t="s">
        <v>1754</v>
      </c>
      <c r="AH816">
        <v>3</v>
      </c>
      <c r="AI816">
        <v>1</v>
      </c>
      <c r="AJ816">
        <v>0</v>
      </c>
      <c r="AK816">
        <v>556.01</v>
      </c>
      <c r="AN816" t="s">
        <v>2926</v>
      </c>
      <c r="AO816">
        <v>67500</v>
      </c>
      <c r="AU816" t="s">
        <v>13051</v>
      </c>
      <c r="AW816" t="s">
        <v>3060</v>
      </c>
    </row>
    <row r="817" spans="1:50">
      <c r="A817" s="1" t="s">
        <v>97</v>
      </c>
      <c r="B817" t="s">
        <v>164</v>
      </c>
      <c r="C817" t="s">
        <v>4027</v>
      </c>
      <c r="D817" t="s">
        <v>2000</v>
      </c>
      <c r="E817" t="s">
        <v>2000</v>
      </c>
      <c r="F817" t="s">
        <v>7167</v>
      </c>
      <c r="G817" t="s">
        <v>634</v>
      </c>
      <c r="H817" t="s">
        <v>9690</v>
      </c>
      <c r="I817" t="s">
        <v>1507</v>
      </c>
      <c r="J817" t="s">
        <v>1643</v>
      </c>
      <c r="K817">
        <v>10040</v>
      </c>
      <c r="L817" t="s">
        <v>1670</v>
      </c>
      <c r="M817" t="s">
        <v>1670</v>
      </c>
      <c r="O817" t="s">
        <v>1938</v>
      </c>
      <c r="P817" t="s">
        <v>1958</v>
      </c>
      <c r="Q817" t="s">
        <v>1965</v>
      </c>
      <c r="R817" t="s">
        <v>50</v>
      </c>
      <c r="S817" t="s">
        <v>1671</v>
      </c>
      <c r="U817" t="s">
        <v>1972</v>
      </c>
      <c r="W817" t="s">
        <v>2000</v>
      </c>
      <c r="X817">
        <v>1550</v>
      </c>
      <c r="Y817" t="s">
        <v>2008</v>
      </c>
      <c r="Z817" t="s">
        <v>2013</v>
      </c>
      <c r="AA817" t="s">
        <v>2029</v>
      </c>
      <c r="AB817" t="s">
        <v>13623</v>
      </c>
      <c r="AD817" t="s">
        <v>16111</v>
      </c>
      <c r="AE817">
        <v>39</v>
      </c>
      <c r="AF817" t="s">
        <v>2902</v>
      </c>
      <c r="AG817" t="s">
        <v>1754</v>
      </c>
      <c r="AH817">
        <v>7</v>
      </c>
      <c r="AI817">
        <v>1</v>
      </c>
      <c r="AJ817">
        <v>0</v>
      </c>
      <c r="AK817">
        <v>556.84</v>
      </c>
      <c r="AN817" t="s">
        <v>2926</v>
      </c>
      <c r="AO817">
        <v>67600</v>
      </c>
      <c r="AU817">
        <v>2.1</v>
      </c>
      <c r="AV817" t="s">
        <v>2000</v>
      </c>
      <c r="AW817" t="s">
        <v>3042</v>
      </c>
      <c r="AX817" t="s">
        <v>18685</v>
      </c>
    </row>
    <row r="818" spans="1:50">
      <c r="A818" s="1" t="s">
        <v>97</v>
      </c>
      <c r="B818" t="s">
        <v>163</v>
      </c>
      <c r="C818" t="s">
        <v>4028</v>
      </c>
      <c r="D818" t="s">
        <v>226</v>
      </c>
      <c r="F818" t="s">
        <v>419</v>
      </c>
      <c r="G818" t="s">
        <v>8265</v>
      </c>
      <c r="H818" t="s">
        <v>9691</v>
      </c>
      <c r="I818" t="s">
        <v>1540</v>
      </c>
      <c r="J818" t="s">
        <v>1643</v>
      </c>
      <c r="K818">
        <v>10040</v>
      </c>
      <c r="L818" t="s">
        <v>1670</v>
      </c>
      <c r="M818" t="s">
        <v>1670</v>
      </c>
      <c r="O818" t="s">
        <v>1941</v>
      </c>
      <c r="P818" t="s">
        <v>1958</v>
      </c>
      <c r="R818" t="s">
        <v>50</v>
      </c>
      <c r="S818" t="s">
        <v>1671</v>
      </c>
      <c r="U818" t="s">
        <v>1972</v>
      </c>
      <c r="W818" t="s">
        <v>226</v>
      </c>
      <c r="X818">
        <v>1065</v>
      </c>
      <c r="Y818" t="s">
        <v>2008</v>
      </c>
      <c r="Z818" t="s">
        <v>2013</v>
      </c>
      <c r="AB818" t="s">
        <v>13624</v>
      </c>
      <c r="AD818" t="s">
        <v>16112</v>
      </c>
      <c r="AE818">
        <v>30</v>
      </c>
      <c r="AF818" t="s">
        <v>2902</v>
      </c>
      <c r="AG818" t="s">
        <v>1754</v>
      </c>
      <c r="AH818">
        <v>21</v>
      </c>
      <c r="AI818">
        <v>3</v>
      </c>
      <c r="AJ818">
        <v>0</v>
      </c>
      <c r="AK818">
        <v>557.9</v>
      </c>
      <c r="AN818" t="s">
        <v>2926</v>
      </c>
      <c r="AO818">
        <v>119000</v>
      </c>
      <c r="AU818">
        <v>1.5</v>
      </c>
      <c r="AV818" t="s">
        <v>322</v>
      </c>
      <c r="AW818" t="s">
        <v>3042</v>
      </c>
      <c r="AX818" t="s">
        <v>18685</v>
      </c>
    </row>
    <row r="819" spans="1:50">
      <c r="A819" s="1" t="s">
        <v>118</v>
      </c>
      <c r="B819" t="s">
        <v>163</v>
      </c>
      <c r="C819" t="s">
        <v>4029</v>
      </c>
      <c r="D819" t="s">
        <v>404</v>
      </c>
      <c r="F819" t="s">
        <v>7168</v>
      </c>
      <c r="G819" t="s">
        <v>8266</v>
      </c>
      <c r="H819" t="s">
        <v>9397</v>
      </c>
      <c r="I819" t="s">
        <v>1522</v>
      </c>
      <c r="J819" t="s">
        <v>1641</v>
      </c>
      <c r="K819">
        <v>10452</v>
      </c>
      <c r="L819" t="s">
        <v>1670</v>
      </c>
      <c r="M819" t="s">
        <v>1672</v>
      </c>
      <c r="O819" t="s">
        <v>1938</v>
      </c>
      <c r="P819" t="s">
        <v>1961</v>
      </c>
      <c r="R819" t="s">
        <v>50</v>
      </c>
      <c r="S819" t="s">
        <v>1670</v>
      </c>
      <c r="U819" t="s">
        <v>1972</v>
      </c>
      <c r="W819" t="s">
        <v>1991</v>
      </c>
      <c r="X819">
        <v>1800</v>
      </c>
      <c r="Y819" t="s">
        <v>2006</v>
      </c>
      <c r="Z819" t="s">
        <v>2015</v>
      </c>
      <c r="AB819" t="s">
        <v>13625</v>
      </c>
      <c r="AD819" t="s">
        <v>16113</v>
      </c>
      <c r="AE819">
        <v>52</v>
      </c>
      <c r="AG819" t="s">
        <v>1754</v>
      </c>
      <c r="AH819">
        <v>1</v>
      </c>
      <c r="AI819">
        <v>2</v>
      </c>
      <c r="AJ819">
        <v>0</v>
      </c>
      <c r="AK819">
        <v>561.8</v>
      </c>
      <c r="AN819" t="s">
        <v>2926</v>
      </c>
      <c r="AO819">
        <v>95000</v>
      </c>
      <c r="AU819" t="s">
        <v>13051</v>
      </c>
      <c r="AW819" t="s">
        <v>3045</v>
      </c>
      <c r="AX819" t="s">
        <v>18685</v>
      </c>
    </row>
    <row r="820" spans="1:50">
      <c r="A820" s="1" t="s">
        <v>94</v>
      </c>
      <c r="B820" t="s">
        <v>163</v>
      </c>
      <c r="C820" t="s">
        <v>4030</v>
      </c>
      <c r="D820" t="s">
        <v>326</v>
      </c>
      <c r="F820" t="s">
        <v>422</v>
      </c>
      <c r="G820" t="s">
        <v>8267</v>
      </c>
      <c r="H820" t="s">
        <v>9541</v>
      </c>
      <c r="I820">
        <v>53</v>
      </c>
      <c r="J820" t="s">
        <v>1643</v>
      </c>
      <c r="K820">
        <v>10034</v>
      </c>
      <c r="L820" t="s">
        <v>1670</v>
      </c>
      <c r="M820" t="s">
        <v>1670</v>
      </c>
      <c r="O820" t="s">
        <v>1939</v>
      </c>
      <c r="P820" t="s">
        <v>1963</v>
      </c>
      <c r="R820" t="s">
        <v>50</v>
      </c>
      <c r="S820" t="s">
        <v>1670</v>
      </c>
      <c r="U820" t="s">
        <v>1972</v>
      </c>
      <c r="W820" t="s">
        <v>186</v>
      </c>
      <c r="X820">
        <v>2012.58</v>
      </c>
      <c r="Y820" t="s">
        <v>2008</v>
      </c>
      <c r="Z820" t="s">
        <v>2013</v>
      </c>
      <c r="AB820" t="s">
        <v>13626</v>
      </c>
      <c r="AD820" t="s">
        <v>16114</v>
      </c>
      <c r="AE820">
        <v>20</v>
      </c>
      <c r="AF820" t="s">
        <v>2902</v>
      </c>
      <c r="AG820" t="s">
        <v>1754</v>
      </c>
      <c r="AH820">
        <v>9</v>
      </c>
      <c r="AI820">
        <v>3</v>
      </c>
      <c r="AJ820">
        <v>0</v>
      </c>
      <c r="AK820">
        <v>565.4</v>
      </c>
      <c r="AM820" t="s">
        <v>18031</v>
      </c>
      <c r="AN820" t="s">
        <v>2926</v>
      </c>
      <c r="AO820">
        <v>120600</v>
      </c>
      <c r="AU820" t="s">
        <v>13051</v>
      </c>
      <c r="AW820" t="s">
        <v>3075</v>
      </c>
    </row>
    <row r="821" spans="1:50">
      <c r="A821" s="1" t="s">
        <v>105</v>
      </c>
      <c r="B821" t="s">
        <v>163</v>
      </c>
      <c r="C821" t="s">
        <v>4031</v>
      </c>
      <c r="D821" t="s">
        <v>350</v>
      </c>
      <c r="F821" t="s">
        <v>7169</v>
      </c>
      <c r="G821" t="s">
        <v>8268</v>
      </c>
      <c r="H821" t="s">
        <v>9692</v>
      </c>
      <c r="I821">
        <v>2</v>
      </c>
      <c r="J821" t="s">
        <v>1641</v>
      </c>
      <c r="K821">
        <v>10458</v>
      </c>
      <c r="L821" t="s">
        <v>1670</v>
      </c>
      <c r="M821" t="s">
        <v>1670</v>
      </c>
      <c r="O821" t="s">
        <v>1941</v>
      </c>
      <c r="P821" t="s">
        <v>1958</v>
      </c>
      <c r="R821" t="s">
        <v>50</v>
      </c>
      <c r="S821" t="s">
        <v>1670</v>
      </c>
      <c r="U821" t="s">
        <v>1972</v>
      </c>
      <c r="W821" t="s">
        <v>1991</v>
      </c>
      <c r="X821">
        <v>1340</v>
      </c>
      <c r="Y821" t="s">
        <v>2006</v>
      </c>
      <c r="Z821" t="s">
        <v>2015</v>
      </c>
      <c r="AB821" t="s">
        <v>13627</v>
      </c>
      <c r="AD821" t="s">
        <v>16115</v>
      </c>
      <c r="AE821">
        <v>48</v>
      </c>
      <c r="AF821" t="s">
        <v>2902</v>
      </c>
      <c r="AG821" t="s">
        <v>1754</v>
      </c>
      <c r="AH821">
        <v>30</v>
      </c>
      <c r="AI821">
        <v>4</v>
      </c>
      <c r="AJ821">
        <v>0</v>
      </c>
      <c r="AK821">
        <v>566.99</v>
      </c>
      <c r="AN821" t="s">
        <v>2926</v>
      </c>
      <c r="AO821">
        <v>146000</v>
      </c>
      <c r="AU821">
        <v>1</v>
      </c>
      <c r="AV821" t="s">
        <v>350</v>
      </c>
      <c r="AW821" t="s">
        <v>98</v>
      </c>
      <c r="AX821" t="s">
        <v>18685</v>
      </c>
    </row>
    <row r="822" spans="1:50">
      <c r="A822" s="1" t="s">
        <v>82</v>
      </c>
      <c r="B822" t="s">
        <v>163</v>
      </c>
      <c r="C822" t="s">
        <v>4032</v>
      </c>
      <c r="D822" t="s">
        <v>190</v>
      </c>
      <c r="F822" t="s">
        <v>7170</v>
      </c>
      <c r="G822" t="s">
        <v>8269</v>
      </c>
      <c r="H822" t="s">
        <v>9420</v>
      </c>
      <c r="I822" t="s">
        <v>11128</v>
      </c>
      <c r="J822" t="s">
        <v>1644</v>
      </c>
      <c r="K822">
        <v>11233</v>
      </c>
      <c r="L822" t="s">
        <v>1670</v>
      </c>
      <c r="M822" t="s">
        <v>1671</v>
      </c>
      <c r="O822" t="s">
        <v>1937</v>
      </c>
      <c r="P822" t="s">
        <v>1962</v>
      </c>
      <c r="R822" t="s">
        <v>50</v>
      </c>
      <c r="S822" t="s">
        <v>1670</v>
      </c>
      <c r="U822" t="s">
        <v>1972</v>
      </c>
      <c r="V822" t="s">
        <v>1984</v>
      </c>
      <c r="W822" t="s">
        <v>221</v>
      </c>
      <c r="X822">
        <v>989.35</v>
      </c>
      <c r="Y822" t="s">
        <v>2009</v>
      </c>
      <c r="Z822" t="s">
        <v>2017</v>
      </c>
      <c r="AB822" t="s">
        <v>13628</v>
      </c>
      <c r="AE822">
        <v>359</v>
      </c>
      <c r="AF822" t="s">
        <v>2902</v>
      </c>
      <c r="AG822" t="s">
        <v>1754</v>
      </c>
      <c r="AH822">
        <v>16</v>
      </c>
      <c r="AI822">
        <v>2</v>
      </c>
      <c r="AJ822">
        <v>0</v>
      </c>
      <c r="AK822">
        <v>567.71</v>
      </c>
      <c r="AN822" t="s">
        <v>2926</v>
      </c>
      <c r="AO822">
        <v>96000</v>
      </c>
      <c r="AP822" t="s">
        <v>18211</v>
      </c>
      <c r="AU822" t="s">
        <v>13051</v>
      </c>
      <c r="AW822" t="s">
        <v>3059</v>
      </c>
    </row>
    <row r="823" spans="1:50">
      <c r="A823" s="1" t="s">
        <v>82</v>
      </c>
      <c r="B823" t="s">
        <v>163</v>
      </c>
      <c r="C823" t="s">
        <v>4033</v>
      </c>
      <c r="D823" t="s">
        <v>190</v>
      </c>
      <c r="F823" t="s">
        <v>7170</v>
      </c>
      <c r="G823" t="s">
        <v>8269</v>
      </c>
      <c r="H823" t="s">
        <v>9420</v>
      </c>
      <c r="I823" t="s">
        <v>11128</v>
      </c>
      <c r="J823" t="s">
        <v>1644</v>
      </c>
      <c r="K823">
        <v>11233</v>
      </c>
      <c r="L823" t="s">
        <v>1670</v>
      </c>
      <c r="M823" t="s">
        <v>1671</v>
      </c>
      <c r="O823" t="s">
        <v>1938</v>
      </c>
      <c r="P823" t="s">
        <v>1961</v>
      </c>
      <c r="R823" t="s">
        <v>50</v>
      </c>
      <c r="S823" t="s">
        <v>1670</v>
      </c>
      <c r="U823" t="s">
        <v>1972</v>
      </c>
      <c r="V823" t="s">
        <v>1984</v>
      </c>
      <c r="W823" t="s">
        <v>248</v>
      </c>
      <c r="X823">
        <v>989.35</v>
      </c>
      <c r="Y823" t="s">
        <v>2009</v>
      </c>
      <c r="Z823" t="s">
        <v>2017</v>
      </c>
      <c r="AB823" t="s">
        <v>13628</v>
      </c>
      <c r="AE823">
        <v>359</v>
      </c>
      <c r="AF823" t="s">
        <v>2902</v>
      </c>
      <c r="AG823" t="s">
        <v>1754</v>
      </c>
      <c r="AH823">
        <v>16</v>
      </c>
      <c r="AI823">
        <v>2</v>
      </c>
      <c r="AJ823">
        <v>0</v>
      </c>
      <c r="AK823">
        <v>567.71</v>
      </c>
      <c r="AN823" t="s">
        <v>2926</v>
      </c>
      <c r="AO823">
        <v>96000</v>
      </c>
      <c r="AP823" t="s">
        <v>18212</v>
      </c>
      <c r="AU823" t="s">
        <v>13051</v>
      </c>
      <c r="AW823" t="s">
        <v>3059</v>
      </c>
    </row>
    <row r="824" spans="1:50">
      <c r="A824" s="1" t="s">
        <v>135</v>
      </c>
      <c r="B824" t="s">
        <v>163</v>
      </c>
      <c r="C824" t="s">
        <v>4034</v>
      </c>
      <c r="D824" t="s">
        <v>284</v>
      </c>
      <c r="F824" t="s">
        <v>7171</v>
      </c>
      <c r="G824" t="s">
        <v>868</v>
      </c>
      <c r="H824" t="s">
        <v>9425</v>
      </c>
      <c r="I824" t="s">
        <v>11114</v>
      </c>
      <c r="J824" t="s">
        <v>1644</v>
      </c>
      <c r="K824">
        <v>11216</v>
      </c>
      <c r="L824" t="s">
        <v>1670</v>
      </c>
      <c r="M824" t="s">
        <v>1670</v>
      </c>
      <c r="O824" t="s">
        <v>1675</v>
      </c>
      <c r="P824" t="s">
        <v>1962</v>
      </c>
      <c r="R824" t="s">
        <v>50</v>
      </c>
      <c r="S824" t="s">
        <v>1670</v>
      </c>
      <c r="U824" t="s">
        <v>1972</v>
      </c>
      <c r="W824" t="s">
        <v>225</v>
      </c>
      <c r="X824">
        <v>2200</v>
      </c>
      <c r="Y824" t="s">
        <v>2009</v>
      </c>
      <c r="Z824" t="s">
        <v>2016</v>
      </c>
      <c r="AB824" t="s">
        <v>13629</v>
      </c>
      <c r="AD824" t="s">
        <v>16116</v>
      </c>
      <c r="AE824">
        <v>82</v>
      </c>
      <c r="AF824" t="s">
        <v>2902</v>
      </c>
      <c r="AG824" t="s">
        <v>1754</v>
      </c>
      <c r="AH824">
        <v>1</v>
      </c>
      <c r="AI824">
        <v>1</v>
      </c>
      <c r="AJ824">
        <v>0</v>
      </c>
      <c r="AK824">
        <v>568.37</v>
      </c>
      <c r="AN824" t="s">
        <v>2926</v>
      </c>
      <c r="AO824">
        <v>69000</v>
      </c>
      <c r="AP824" t="s">
        <v>2953</v>
      </c>
      <c r="AU824" t="s">
        <v>13051</v>
      </c>
      <c r="AW824" t="s">
        <v>3060</v>
      </c>
    </row>
    <row r="825" spans="1:50">
      <c r="A825" s="1" t="s">
        <v>135</v>
      </c>
      <c r="B825" t="s">
        <v>163</v>
      </c>
      <c r="C825" t="s">
        <v>4035</v>
      </c>
      <c r="D825" t="s">
        <v>284</v>
      </c>
      <c r="F825" t="s">
        <v>7171</v>
      </c>
      <c r="G825" t="s">
        <v>868</v>
      </c>
      <c r="H825" t="s">
        <v>9425</v>
      </c>
      <c r="I825" t="s">
        <v>11114</v>
      </c>
      <c r="J825" t="s">
        <v>1644</v>
      </c>
      <c r="K825">
        <v>11216</v>
      </c>
      <c r="L825" t="s">
        <v>1670</v>
      </c>
      <c r="M825" t="s">
        <v>1670</v>
      </c>
      <c r="O825" t="s">
        <v>1952</v>
      </c>
      <c r="P825" t="s">
        <v>1960</v>
      </c>
      <c r="R825" t="s">
        <v>50</v>
      </c>
      <c r="S825" t="s">
        <v>1670</v>
      </c>
      <c r="U825" t="s">
        <v>1972</v>
      </c>
      <c r="W825" t="s">
        <v>225</v>
      </c>
      <c r="X825">
        <v>2200</v>
      </c>
      <c r="Y825" t="s">
        <v>2009</v>
      </c>
      <c r="Z825" t="s">
        <v>2016</v>
      </c>
      <c r="AB825" t="s">
        <v>13629</v>
      </c>
      <c r="AD825" t="s">
        <v>16116</v>
      </c>
      <c r="AE825">
        <v>82</v>
      </c>
      <c r="AF825" t="s">
        <v>2902</v>
      </c>
      <c r="AG825" t="s">
        <v>1754</v>
      </c>
      <c r="AH825">
        <v>1</v>
      </c>
      <c r="AI825">
        <v>1</v>
      </c>
      <c r="AJ825">
        <v>0</v>
      </c>
      <c r="AK825">
        <v>568.37</v>
      </c>
      <c r="AN825" t="s">
        <v>2926</v>
      </c>
      <c r="AO825">
        <v>69000</v>
      </c>
      <c r="AP825" t="s">
        <v>18069</v>
      </c>
      <c r="AU825" t="s">
        <v>13051</v>
      </c>
      <c r="AW825" t="s">
        <v>3060</v>
      </c>
    </row>
    <row r="826" spans="1:50">
      <c r="A826" s="1" t="s">
        <v>89</v>
      </c>
      <c r="B826" t="s">
        <v>164</v>
      </c>
      <c r="C826" t="s">
        <v>4036</v>
      </c>
      <c r="D826" t="s">
        <v>166</v>
      </c>
      <c r="E826" t="s">
        <v>211</v>
      </c>
      <c r="F826" t="s">
        <v>7172</v>
      </c>
      <c r="G826" t="s">
        <v>8270</v>
      </c>
      <c r="H826" t="s">
        <v>9693</v>
      </c>
      <c r="I826">
        <v>1704</v>
      </c>
      <c r="J826" t="s">
        <v>1656</v>
      </c>
      <c r="K826">
        <v>11101</v>
      </c>
      <c r="L826" t="s">
        <v>1670</v>
      </c>
      <c r="M826" t="s">
        <v>1670</v>
      </c>
      <c r="N826" t="s">
        <v>1691</v>
      </c>
      <c r="O826" t="s">
        <v>1675</v>
      </c>
      <c r="P826" t="s">
        <v>1958</v>
      </c>
      <c r="Q826" t="s">
        <v>1965</v>
      </c>
      <c r="R826" t="s">
        <v>51</v>
      </c>
      <c r="S826" t="s">
        <v>1671</v>
      </c>
      <c r="U826" t="s">
        <v>1980</v>
      </c>
      <c r="V826" t="s">
        <v>1984</v>
      </c>
      <c r="W826" t="s">
        <v>166</v>
      </c>
      <c r="X826">
        <v>3000</v>
      </c>
      <c r="Y826" t="s">
        <v>2007</v>
      </c>
      <c r="Z826" t="s">
        <v>2012</v>
      </c>
      <c r="AA826" t="s">
        <v>2029</v>
      </c>
      <c r="AB826" t="s">
        <v>13630</v>
      </c>
      <c r="AD826" t="s">
        <v>16117</v>
      </c>
      <c r="AE826">
        <v>60</v>
      </c>
      <c r="AF826" t="s">
        <v>2902</v>
      </c>
      <c r="AG826" t="s">
        <v>1754</v>
      </c>
      <c r="AH826">
        <v>5</v>
      </c>
      <c r="AI826">
        <v>1</v>
      </c>
      <c r="AJ826">
        <v>0</v>
      </c>
      <c r="AK826">
        <v>576.61</v>
      </c>
      <c r="AL826" t="s">
        <v>2923</v>
      </c>
      <c r="AM826" t="s">
        <v>2924</v>
      </c>
      <c r="AN826" t="s">
        <v>2926</v>
      </c>
      <c r="AO826">
        <v>70000</v>
      </c>
      <c r="AU826">
        <v>2.05</v>
      </c>
      <c r="AV826" t="s">
        <v>278</v>
      </c>
      <c r="AW826" t="s">
        <v>89</v>
      </c>
    </row>
    <row r="827" spans="1:50">
      <c r="A827" s="1" t="s">
        <v>135</v>
      </c>
      <c r="B827" t="s">
        <v>163</v>
      </c>
      <c r="C827" t="s">
        <v>4037</v>
      </c>
      <c r="D827" t="s">
        <v>173</v>
      </c>
      <c r="F827" t="s">
        <v>7173</v>
      </c>
      <c r="G827" t="s">
        <v>1054</v>
      </c>
      <c r="H827" t="s">
        <v>9425</v>
      </c>
      <c r="I827" t="s">
        <v>1541</v>
      </c>
      <c r="J827" t="s">
        <v>1644</v>
      </c>
      <c r="K827">
        <v>11216</v>
      </c>
      <c r="L827" t="s">
        <v>1670</v>
      </c>
      <c r="M827" t="s">
        <v>1670</v>
      </c>
      <c r="O827" t="s">
        <v>1675</v>
      </c>
      <c r="P827" t="s">
        <v>1962</v>
      </c>
      <c r="R827" t="s">
        <v>50</v>
      </c>
      <c r="S827" t="s">
        <v>1670</v>
      </c>
      <c r="U827" t="s">
        <v>1972</v>
      </c>
      <c r="W827" t="s">
        <v>197</v>
      </c>
      <c r="X827">
        <v>1500</v>
      </c>
      <c r="Y827" t="s">
        <v>2009</v>
      </c>
      <c r="Z827" t="s">
        <v>2016</v>
      </c>
      <c r="AB827" t="s">
        <v>13631</v>
      </c>
      <c r="AE827">
        <v>8</v>
      </c>
      <c r="AF827" t="s">
        <v>2902</v>
      </c>
      <c r="AG827" t="s">
        <v>1754</v>
      </c>
      <c r="AH827">
        <v>1</v>
      </c>
      <c r="AI827">
        <v>1</v>
      </c>
      <c r="AJ827">
        <v>0</v>
      </c>
      <c r="AK827">
        <v>576.61</v>
      </c>
      <c r="AN827" t="s">
        <v>2926</v>
      </c>
      <c r="AO827">
        <v>70000</v>
      </c>
      <c r="AP827" t="s">
        <v>18069</v>
      </c>
      <c r="AU827" t="s">
        <v>13051</v>
      </c>
      <c r="AW827" t="s">
        <v>3060</v>
      </c>
    </row>
    <row r="828" spans="1:50">
      <c r="A828" s="1" t="s">
        <v>130</v>
      </c>
      <c r="B828" t="s">
        <v>164</v>
      </c>
      <c r="C828" t="s">
        <v>4038</v>
      </c>
      <c r="D828" t="s">
        <v>271</v>
      </c>
      <c r="E828" t="s">
        <v>359</v>
      </c>
      <c r="F828" t="s">
        <v>429</v>
      </c>
      <c r="G828" t="s">
        <v>868</v>
      </c>
      <c r="H828" t="s">
        <v>9510</v>
      </c>
      <c r="I828" t="s">
        <v>10957</v>
      </c>
      <c r="J828" t="s">
        <v>1644</v>
      </c>
      <c r="K828">
        <v>11233</v>
      </c>
      <c r="L828" t="s">
        <v>1670</v>
      </c>
      <c r="M828" t="s">
        <v>1670</v>
      </c>
      <c r="N828" t="s">
        <v>11904</v>
      </c>
      <c r="O828" t="s">
        <v>1938</v>
      </c>
      <c r="P828" t="s">
        <v>1961</v>
      </c>
      <c r="Q828" t="s">
        <v>1970</v>
      </c>
      <c r="R828" t="s">
        <v>50</v>
      </c>
      <c r="S828" t="s">
        <v>1670</v>
      </c>
      <c r="U828" t="s">
        <v>1972</v>
      </c>
      <c r="W828" t="s">
        <v>1989</v>
      </c>
      <c r="X828">
        <v>840</v>
      </c>
      <c r="Y828" t="s">
        <v>2009</v>
      </c>
      <c r="Z828" t="s">
        <v>2025</v>
      </c>
      <c r="AA828" t="s">
        <v>2030</v>
      </c>
      <c r="AB828" t="s">
        <v>13632</v>
      </c>
      <c r="AD828" t="s">
        <v>16118</v>
      </c>
      <c r="AE828">
        <v>7</v>
      </c>
      <c r="AF828" t="s">
        <v>2902</v>
      </c>
      <c r="AG828" t="s">
        <v>1754</v>
      </c>
      <c r="AH828">
        <v>30</v>
      </c>
      <c r="AI828">
        <v>1</v>
      </c>
      <c r="AJ828">
        <v>0</v>
      </c>
      <c r="AK828">
        <v>576.61</v>
      </c>
      <c r="AN828" t="s">
        <v>2926</v>
      </c>
      <c r="AO828">
        <v>70000</v>
      </c>
      <c r="AR828" t="s">
        <v>18452</v>
      </c>
      <c r="AU828">
        <v>0.5</v>
      </c>
      <c r="AV828" t="s">
        <v>271</v>
      </c>
      <c r="AW828" t="s">
        <v>3059</v>
      </c>
    </row>
    <row r="829" spans="1:50">
      <c r="A829" s="1" t="s">
        <v>130</v>
      </c>
      <c r="B829" t="s">
        <v>164</v>
      </c>
      <c r="C829" t="s">
        <v>4039</v>
      </c>
      <c r="D829" t="s">
        <v>271</v>
      </c>
      <c r="E829" t="s">
        <v>249</v>
      </c>
      <c r="F829" t="s">
        <v>429</v>
      </c>
      <c r="G829" t="s">
        <v>868</v>
      </c>
      <c r="H829" t="s">
        <v>9510</v>
      </c>
      <c r="I829" t="s">
        <v>10957</v>
      </c>
      <c r="J829" t="s">
        <v>1644</v>
      </c>
      <c r="K829">
        <v>11233</v>
      </c>
      <c r="L829" t="s">
        <v>1670</v>
      </c>
      <c r="M829" t="s">
        <v>1670</v>
      </c>
      <c r="N829" t="s">
        <v>12020</v>
      </c>
      <c r="O829" t="s">
        <v>1938</v>
      </c>
      <c r="P829" t="s">
        <v>1961</v>
      </c>
      <c r="Q829" t="s">
        <v>1970</v>
      </c>
      <c r="R829" t="s">
        <v>50</v>
      </c>
      <c r="S829" t="s">
        <v>1670</v>
      </c>
      <c r="U829" t="s">
        <v>1972</v>
      </c>
      <c r="W829" t="s">
        <v>252</v>
      </c>
      <c r="X829">
        <v>840</v>
      </c>
      <c r="Y829" t="s">
        <v>2009</v>
      </c>
      <c r="Z829" t="s">
        <v>2025</v>
      </c>
      <c r="AA829" t="s">
        <v>2031</v>
      </c>
      <c r="AB829" t="s">
        <v>13632</v>
      </c>
      <c r="AD829" t="s">
        <v>16118</v>
      </c>
      <c r="AE829">
        <v>7</v>
      </c>
      <c r="AF829" t="s">
        <v>2902</v>
      </c>
      <c r="AG829" t="s">
        <v>1754</v>
      </c>
      <c r="AH829">
        <v>30</v>
      </c>
      <c r="AI829">
        <v>1</v>
      </c>
      <c r="AJ829">
        <v>0</v>
      </c>
      <c r="AK829">
        <v>576.61</v>
      </c>
      <c r="AN829" t="s">
        <v>2926</v>
      </c>
      <c r="AO829">
        <v>70000</v>
      </c>
      <c r="AU829">
        <v>0.5</v>
      </c>
      <c r="AV829" t="s">
        <v>290</v>
      </c>
      <c r="AW829" t="s">
        <v>3059</v>
      </c>
      <c r="AX829" t="s">
        <v>18685</v>
      </c>
    </row>
    <row r="830" spans="1:50">
      <c r="A830" s="1" t="s">
        <v>135</v>
      </c>
      <c r="B830" t="s">
        <v>163</v>
      </c>
      <c r="C830" t="s">
        <v>4040</v>
      </c>
      <c r="D830" t="s">
        <v>173</v>
      </c>
      <c r="F830" t="s">
        <v>7173</v>
      </c>
      <c r="G830" t="s">
        <v>1054</v>
      </c>
      <c r="H830" t="s">
        <v>9425</v>
      </c>
      <c r="I830" t="s">
        <v>1541</v>
      </c>
      <c r="J830" t="s">
        <v>1644</v>
      </c>
      <c r="K830">
        <v>11216</v>
      </c>
      <c r="L830" t="s">
        <v>1670</v>
      </c>
      <c r="M830" t="s">
        <v>1670</v>
      </c>
      <c r="O830" t="s">
        <v>1952</v>
      </c>
      <c r="P830" t="s">
        <v>1960</v>
      </c>
      <c r="R830" t="s">
        <v>50</v>
      </c>
      <c r="S830" t="s">
        <v>1670</v>
      </c>
      <c r="U830" t="s">
        <v>1972</v>
      </c>
      <c r="W830" t="s">
        <v>197</v>
      </c>
      <c r="X830">
        <v>1500</v>
      </c>
      <c r="Y830" t="s">
        <v>2009</v>
      </c>
      <c r="Z830" t="s">
        <v>2016</v>
      </c>
      <c r="AB830" t="s">
        <v>13631</v>
      </c>
      <c r="AE830">
        <v>8</v>
      </c>
      <c r="AF830" t="s">
        <v>2902</v>
      </c>
      <c r="AG830" t="s">
        <v>1754</v>
      </c>
      <c r="AH830">
        <v>1</v>
      </c>
      <c r="AI830">
        <v>1</v>
      </c>
      <c r="AJ830">
        <v>0</v>
      </c>
      <c r="AK830">
        <v>576.61</v>
      </c>
      <c r="AN830" t="s">
        <v>2926</v>
      </c>
      <c r="AO830">
        <v>70000</v>
      </c>
      <c r="AP830" t="s">
        <v>18069</v>
      </c>
      <c r="AU830" t="s">
        <v>13051</v>
      </c>
      <c r="AW830" t="s">
        <v>3060</v>
      </c>
    </row>
    <row r="831" spans="1:50">
      <c r="A831" s="1" t="s">
        <v>94</v>
      </c>
      <c r="B831" t="s">
        <v>164</v>
      </c>
      <c r="C831" t="s">
        <v>4041</v>
      </c>
      <c r="D831" t="s">
        <v>338</v>
      </c>
      <c r="E831" t="s">
        <v>337</v>
      </c>
      <c r="F831" t="s">
        <v>7174</v>
      </c>
      <c r="G831" t="s">
        <v>945</v>
      </c>
      <c r="H831" t="s">
        <v>9637</v>
      </c>
      <c r="I831" t="s">
        <v>1490</v>
      </c>
      <c r="J831" t="s">
        <v>1643</v>
      </c>
      <c r="K831">
        <v>10033</v>
      </c>
      <c r="L831" t="s">
        <v>1670</v>
      </c>
      <c r="M831" t="s">
        <v>1670</v>
      </c>
      <c r="O831" t="s">
        <v>1941</v>
      </c>
      <c r="P831" t="s">
        <v>1958</v>
      </c>
      <c r="Q831" t="s">
        <v>1965</v>
      </c>
      <c r="R831" t="s">
        <v>50</v>
      </c>
      <c r="S831" t="s">
        <v>1670</v>
      </c>
      <c r="U831" t="s">
        <v>1972</v>
      </c>
      <c r="W831" t="s">
        <v>338</v>
      </c>
      <c r="X831">
        <v>1450</v>
      </c>
      <c r="Y831" t="s">
        <v>2008</v>
      </c>
      <c r="Z831" t="s">
        <v>2028</v>
      </c>
      <c r="AA831" t="s">
        <v>2029</v>
      </c>
      <c r="AB831" t="s">
        <v>13633</v>
      </c>
      <c r="AD831" t="s">
        <v>16119</v>
      </c>
      <c r="AE831">
        <v>60</v>
      </c>
      <c r="AF831" t="s">
        <v>2902</v>
      </c>
      <c r="AG831" t="s">
        <v>1754</v>
      </c>
      <c r="AH831">
        <v>27</v>
      </c>
      <c r="AI831">
        <v>3</v>
      </c>
      <c r="AJ831">
        <v>0</v>
      </c>
      <c r="AK831">
        <v>576.65</v>
      </c>
      <c r="AN831" t="s">
        <v>2926</v>
      </c>
      <c r="AO831">
        <v>123000</v>
      </c>
      <c r="AU831">
        <v>0.01</v>
      </c>
      <c r="AV831" t="s">
        <v>379</v>
      </c>
      <c r="AW831" t="s">
        <v>3042</v>
      </c>
      <c r="AX831" t="s">
        <v>18685</v>
      </c>
    </row>
    <row r="832" spans="1:50">
      <c r="A832" s="1" t="s">
        <v>135</v>
      </c>
      <c r="B832" t="s">
        <v>163</v>
      </c>
      <c r="C832" t="s">
        <v>4042</v>
      </c>
      <c r="D832" t="s">
        <v>284</v>
      </c>
      <c r="F832" t="s">
        <v>7175</v>
      </c>
      <c r="G832" t="s">
        <v>799</v>
      </c>
      <c r="H832" t="s">
        <v>9425</v>
      </c>
      <c r="I832" t="s">
        <v>1539</v>
      </c>
      <c r="J832" t="s">
        <v>1644</v>
      </c>
      <c r="K832">
        <v>11216</v>
      </c>
      <c r="L832" t="s">
        <v>1670</v>
      </c>
      <c r="M832" t="s">
        <v>1670</v>
      </c>
      <c r="O832" t="s">
        <v>1675</v>
      </c>
      <c r="P832" t="s">
        <v>1962</v>
      </c>
      <c r="R832" t="s">
        <v>50</v>
      </c>
      <c r="S832" t="s">
        <v>1670</v>
      </c>
      <c r="U832" t="s">
        <v>1972</v>
      </c>
      <c r="W832" t="s">
        <v>228</v>
      </c>
      <c r="X832">
        <v>1350</v>
      </c>
      <c r="Y832" t="s">
        <v>2009</v>
      </c>
      <c r="Z832" t="s">
        <v>2016</v>
      </c>
      <c r="AB832" t="s">
        <v>13634</v>
      </c>
      <c r="AD832" t="s">
        <v>16120</v>
      </c>
      <c r="AE832">
        <v>82</v>
      </c>
      <c r="AF832" t="s">
        <v>2902</v>
      </c>
      <c r="AG832" t="s">
        <v>1754</v>
      </c>
      <c r="AH832">
        <v>1</v>
      </c>
      <c r="AI832">
        <v>1</v>
      </c>
      <c r="AJ832">
        <v>0</v>
      </c>
      <c r="AK832">
        <v>577.11</v>
      </c>
      <c r="AN832" t="s">
        <v>2926</v>
      </c>
      <c r="AO832">
        <v>70061</v>
      </c>
      <c r="AP832" t="s">
        <v>18069</v>
      </c>
      <c r="AU832">
        <v>0.1</v>
      </c>
      <c r="AV832" t="s">
        <v>322</v>
      </c>
      <c r="AW832" t="s">
        <v>3060</v>
      </c>
    </row>
    <row r="833" spans="1:50">
      <c r="A833" s="1" t="s">
        <v>135</v>
      </c>
      <c r="B833" t="s">
        <v>163</v>
      </c>
      <c r="C833" t="s">
        <v>4043</v>
      </c>
      <c r="D833" t="s">
        <v>284</v>
      </c>
      <c r="F833" t="s">
        <v>7175</v>
      </c>
      <c r="G833" t="s">
        <v>799</v>
      </c>
      <c r="H833" t="s">
        <v>9425</v>
      </c>
      <c r="I833" t="s">
        <v>1539</v>
      </c>
      <c r="J833" t="s">
        <v>1644</v>
      </c>
      <c r="K833">
        <v>11216</v>
      </c>
      <c r="L833" t="s">
        <v>1670</v>
      </c>
      <c r="M833" t="s">
        <v>1670</v>
      </c>
      <c r="O833" t="s">
        <v>1952</v>
      </c>
      <c r="P833" t="s">
        <v>1960</v>
      </c>
      <c r="R833" t="s">
        <v>50</v>
      </c>
      <c r="S833" t="s">
        <v>1670</v>
      </c>
      <c r="U833" t="s">
        <v>1972</v>
      </c>
      <c r="W833" t="s">
        <v>228</v>
      </c>
      <c r="X833">
        <v>1350</v>
      </c>
      <c r="Y833" t="s">
        <v>2009</v>
      </c>
      <c r="Z833" t="s">
        <v>2016</v>
      </c>
      <c r="AB833" t="s">
        <v>13634</v>
      </c>
      <c r="AD833" t="s">
        <v>16120</v>
      </c>
      <c r="AE833">
        <v>82</v>
      </c>
      <c r="AF833" t="s">
        <v>2902</v>
      </c>
      <c r="AG833" t="s">
        <v>1754</v>
      </c>
      <c r="AH833">
        <v>1</v>
      </c>
      <c r="AI833">
        <v>1</v>
      </c>
      <c r="AJ833">
        <v>0</v>
      </c>
      <c r="AK833">
        <v>577.11</v>
      </c>
      <c r="AN833" t="s">
        <v>2926</v>
      </c>
      <c r="AO833">
        <v>70061</v>
      </c>
      <c r="AP833" t="s">
        <v>18069</v>
      </c>
      <c r="AU833" t="s">
        <v>13051</v>
      </c>
      <c r="AW833" t="s">
        <v>3060</v>
      </c>
    </row>
    <row r="834" spans="1:50">
      <c r="A834" s="1" t="s">
        <v>153</v>
      </c>
      <c r="B834" t="s">
        <v>164</v>
      </c>
      <c r="C834" t="s">
        <v>4044</v>
      </c>
      <c r="D834" t="s">
        <v>353</v>
      </c>
      <c r="E834" t="s">
        <v>390</v>
      </c>
      <c r="F834" t="s">
        <v>6931</v>
      </c>
      <c r="G834" t="s">
        <v>8271</v>
      </c>
      <c r="H834" t="s">
        <v>9694</v>
      </c>
      <c r="I834" t="s">
        <v>11015</v>
      </c>
      <c r="J834" t="s">
        <v>1641</v>
      </c>
      <c r="K834">
        <v>10462</v>
      </c>
      <c r="L834" t="s">
        <v>1670</v>
      </c>
      <c r="M834" t="s">
        <v>1670</v>
      </c>
      <c r="O834" t="s">
        <v>1938</v>
      </c>
      <c r="P834" t="s">
        <v>1958</v>
      </c>
      <c r="Q834" t="s">
        <v>1965</v>
      </c>
      <c r="R834" t="s">
        <v>50</v>
      </c>
      <c r="S834" t="s">
        <v>1671</v>
      </c>
      <c r="U834" t="s">
        <v>1972</v>
      </c>
      <c r="W834" t="s">
        <v>353</v>
      </c>
      <c r="X834">
        <v>1900</v>
      </c>
      <c r="Y834" t="s">
        <v>2006</v>
      </c>
      <c r="Z834" t="s">
        <v>2015</v>
      </c>
      <c r="AA834" t="s">
        <v>2029</v>
      </c>
      <c r="AB834" t="s">
        <v>13635</v>
      </c>
      <c r="AD834" t="s">
        <v>16121</v>
      </c>
      <c r="AE834">
        <v>133</v>
      </c>
      <c r="AF834" t="s">
        <v>2902</v>
      </c>
      <c r="AG834" t="s">
        <v>1754</v>
      </c>
      <c r="AH834">
        <v>5</v>
      </c>
      <c r="AI834">
        <v>2</v>
      </c>
      <c r="AJ834">
        <v>2</v>
      </c>
      <c r="AK834">
        <v>578.64</v>
      </c>
      <c r="AN834" t="s">
        <v>2926</v>
      </c>
      <c r="AO834">
        <v>149000</v>
      </c>
      <c r="AU834">
        <v>0.1</v>
      </c>
      <c r="AV834" t="s">
        <v>390</v>
      </c>
      <c r="AW834" t="s">
        <v>3046</v>
      </c>
    </row>
    <row r="835" spans="1:50">
      <c r="A835" s="1" t="s">
        <v>97</v>
      </c>
      <c r="B835" t="s">
        <v>163</v>
      </c>
      <c r="C835" t="s">
        <v>4045</v>
      </c>
      <c r="D835" t="s">
        <v>201</v>
      </c>
      <c r="F835" t="s">
        <v>614</v>
      </c>
      <c r="G835" t="s">
        <v>8272</v>
      </c>
      <c r="H835" t="s">
        <v>1216</v>
      </c>
      <c r="I835" t="s">
        <v>1571</v>
      </c>
      <c r="J835" t="s">
        <v>1643</v>
      </c>
      <c r="K835">
        <v>10034</v>
      </c>
      <c r="L835" t="s">
        <v>1670</v>
      </c>
      <c r="M835" t="s">
        <v>1670</v>
      </c>
      <c r="N835" t="s">
        <v>11864</v>
      </c>
      <c r="O835" t="s">
        <v>1939</v>
      </c>
      <c r="P835" t="s">
        <v>1960</v>
      </c>
      <c r="R835" t="s">
        <v>50</v>
      </c>
      <c r="S835" t="s">
        <v>1670</v>
      </c>
      <c r="U835" t="s">
        <v>1972</v>
      </c>
      <c r="W835" t="s">
        <v>201</v>
      </c>
      <c r="X835">
        <v>1595</v>
      </c>
      <c r="Y835" t="s">
        <v>2008</v>
      </c>
      <c r="Z835" t="s">
        <v>2013</v>
      </c>
      <c r="AB835" t="s">
        <v>13636</v>
      </c>
      <c r="AE835">
        <v>67</v>
      </c>
      <c r="AF835" t="s">
        <v>2902</v>
      </c>
      <c r="AG835" t="s">
        <v>1754</v>
      </c>
      <c r="AH835">
        <v>1</v>
      </c>
      <c r="AI835">
        <v>1</v>
      </c>
      <c r="AJ835">
        <v>0</v>
      </c>
      <c r="AK835">
        <v>589.36</v>
      </c>
      <c r="AN835" t="s">
        <v>2926</v>
      </c>
      <c r="AO835">
        <v>71548</v>
      </c>
      <c r="AU835">
        <v>0.2</v>
      </c>
      <c r="AV835" t="s">
        <v>298</v>
      </c>
      <c r="AW835" t="s">
        <v>3042</v>
      </c>
      <c r="AX835" t="s">
        <v>18685</v>
      </c>
    </row>
    <row r="836" spans="1:50">
      <c r="A836" s="1" t="s">
        <v>64</v>
      </c>
      <c r="B836" t="s">
        <v>164</v>
      </c>
      <c r="C836" t="s">
        <v>4046</v>
      </c>
      <c r="D836" t="s">
        <v>181</v>
      </c>
      <c r="E836" t="s">
        <v>266</v>
      </c>
      <c r="F836" t="s">
        <v>7176</v>
      </c>
      <c r="G836" t="s">
        <v>8023</v>
      </c>
      <c r="H836" t="s">
        <v>9695</v>
      </c>
      <c r="I836" t="s">
        <v>11129</v>
      </c>
      <c r="J836" t="s">
        <v>1643</v>
      </c>
      <c r="K836">
        <v>10032</v>
      </c>
      <c r="L836" t="s">
        <v>1670</v>
      </c>
      <c r="M836" t="s">
        <v>1670</v>
      </c>
      <c r="O836" t="s">
        <v>1936</v>
      </c>
      <c r="P836" t="s">
        <v>1958</v>
      </c>
      <c r="Q836" t="s">
        <v>1965</v>
      </c>
      <c r="R836" t="s">
        <v>50</v>
      </c>
      <c r="S836" t="s">
        <v>1671</v>
      </c>
      <c r="U836" t="s">
        <v>1972</v>
      </c>
      <c r="W836" t="s">
        <v>13042</v>
      </c>
      <c r="X836">
        <v>2182</v>
      </c>
      <c r="Y836" t="s">
        <v>2008</v>
      </c>
      <c r="Z836" t="s">
        <v>2013</v>
      </c>
      <c r="AA836" t="s">
        <v>2029</v>
      </c>
      <c r="AB836" t="s">
        <v>13637</v>
      </c>
      <c r="AE836">
        <v>74</v>
      </c>
      <c r="AF836" t="s">
        <v>2902</v>
      </c>
      <c r="AG836" t="s">
        <v>1754</v>
      </c>
      <c r="AH836">
        <v>16</v>
      </c>
      <c r="AI836">
        <v>1</v>
      </c>
      <c r="AJ836">
        <v>1</v>
      </c>
      <c r="AK836">
        <v>591.37</v>
      </c>
      <c r="AN836" t="s">
        <v>2926</v>
      </c>
      <c r="AO836">
        <v>100000</v>
      </c>
      <c r="AU836">
        <v>1</v>
      </c>
      <c r="AV836" t="s">
        <v>181</v>
      </c>
      <c r="AW836" t="s">
        <v>3065</v>
      </c>
      <c r="AX836" t="s">
        <v>18685</v>
      </c>
    </row>
    <row r="837" spans="1:50">
      <c r="A837" s="1" t="s">
        <v>90</v>
      </c>
      <c r="B837" t="s">
        <v>164</v>
      </c>
      <c r="C837" t="s">
        <v>4047</v>
      </c>
      <c r="D837" t="s">
        <v>195</v>
      </c>
      <c r="E837" t="s">
        <v>219</v>
      </c>
      <c r="F837" t="s">
        <v>660</v>
      </c>
      <c r="G837" t="s">
        <v>806</v>
      </c>
      <c r="H837" t="s">
        <v>9696</v>
      </c>
      <c r="J837" t="s">
        <v>1646</v>
      </c>
      <c r="K837">
        <v>10310</v>
      </c>
      <c r="L837" t="s">
        <v>1670</v>
      </c>
      <c r="M837" t="s">
        <v>1670</v>
      </c>
      <c r="N837" t="s">
        <v>1687</v>
      </c>
      <c r="O837" t="s">
        <v>1675</v>
      </c>
      <c r="P837" t="s">
        <v>1958</v>
      </c>
      <c r="Q837" t="s">
        <v>1965</v>
      </c>
      <c r="R837" t="s">
        <v>51</v>
      </c>
      <c r="S837" t="s">
        <v>1671</v>
      </c>
      <c r="U837" t="s">
        <v>1972</v>
      </c>
      <c r="V837" t="s">
        <v>1984</v>
      </c>
      <c r="W837" t="s">
        <v>3038</v>
      </c>
      <c r="X837" t="s">
        <v>13051</v>
      </c>
      <c r="Y837" t="s">
        <v>2010</v>
      </c>
      <c r="Z837" t="s">
        <v>2012</v>
      </c>
      <c r="AA837" t="s">
        <v>2029</v>
      </c>
      <c r="AB837" t="s">
        <v>13638</v>
      </c>
      <c r="AE837">
        <v>1</v>
      </c>
      <c r="AF837" t="s">
        <v>2903</v>
      </c>
      <c r="AG837" t="s">
        <v>1754</v>
      </c>
      <c r="AH837">
        <v>2</v>
      </c>
      <c r="AI837">
        <v>1</v>
      </c>
      <c r="AJ837">
        <v>1</v>
      </c>
      <c r="AK837">
        <v>591.37</v>
      </c>
      <c r="AL837" t="s">
        <v>2923</v>
      </c>
      <c r="AM837" t="s">
        <v>2924</v>
      </c>
      <c r="AO837">
        <v>100000</v>
      </c>
      <c r="AU837">
        <v>3</v>
      </c>
      <c r="AV837" t="s">
        <v>203</v>
      </c>
      <c r="AW837" t="s">
        <v>90</v>
      </c>
    </row>
    <row r="838" spans="1:50">
      <c r="A838" s="1" t="s">
        <v>135</v>
      </c>
      <c r="B838" t="s">
        <v>164</v>
      </c>
      <c r="C838" t="s">
        <v>4048</v>
      </c>
      <c r="D838" t="s">
        <v>297</v>
      </c>
      <c r="E838" t="s">
        <v>330</v>
      </c>
      <c r="F838" t="s">
        <v>637</v>
      </c>
      <c r="G838" t="s">
        <v>8273</v>
      </c>
      <c r="H838" t="s">
        <v>9697</v>
      </c>
      <c r="I838" t="s">
        <v>1504</v>
      </c>
      <c r="J838" t="s">
        <v>1644</v>
      </c>
      <c r="K838">
        <v>11225</v>
      </c>
      <c r="L838" t="s">
        <v>1670</v>
      </c>
      <c r="M838" t="s">
        <v>1670</v>
      </c>
      <c r="P838" t="s">
        <v>1958</v>
      </c>
      <c r="Q838" t="s">
        <v>1965</v>
      </c>
      <c r="R838" t="s">
        <v>50</v>
      </c>
      <c r="S838" t="s">
        <v>1671</v>
      </c>
      <c r="U838" t="s">
        <v>1972</v>
      </c>
      <c r="W838" t="s">
        <v>243</v>
      </c>
      <c r="X838">
        <v>1637.8</v>
      </c>
      <c r="Y838" t="s">
        <v>2009</v>
      </c>
      <c r="Z838" t="s">
        <v>2016</v>
      </c>
      <c r="AA838" t="s">
        <v>2029</v>
      </c>
      <c r="AB838" t="s">
        <v>13639</v>
      </c>
      <c r="AE838">
        <v>75</v>
      </c>
      <c r="AF838" t="s">
        <v>2902</v>
      </c>
      <c r="AG838" t="s">
        <v>1754</v>
      </c>
      <c r="AH838">
        <v>48</v>
      </c>
      <c r="AI838">
        <v>1</v>
      </c>
      <c r="AJ838">
        <v>0</v>
      </c>
      <c r="AK838">
        <v>593.08</v>
      </c>
      <c r="AN838" t="s">
        <v>2926</v>
      </c>
      <c r="AO838">
        <v>72000</v>
      </c>
      <c r="AU838">
        <v>1</v>
      </c>
      <c r="AV838" t="s">
        <v>330</v>
      </c>
      <c r="AW838" t="s">
        <v>3059</v>
      </c>
    </row>
    <row r="839" spans="1:50">
      <c r="A839" s="1" t="s">
        <v>97</v>
      </c>
      <c r="B839" t="s">
        <v>163</v>
      </c>
      <c r="C839" t="s">
        <v>4049</v>
      </c>
      <c r="D839" t="s">
        <v>332</v>
      </c>
      <c r="F839" t="s">
        <v>7177</v>
      </c>
      <c r="G839" t="s">
        <v>8274</v>
      </c>
      <c r="H839" t="s">
        <v>9698</v>
      </c>
      <c r="I839">
        <v>4</v>
      </c>
      <c r="J839" t="s">
        <v>1643</v>
      </c>
      <c r="K839">
        <v>10034</v>
      </c>
      <c r="L839" t="s">
        <v>1670</v>
      </c>
      <c r="M839" t="s">
        <v>1670</v>
      </c>
      <c r="N839" t="s">
        <v>1771</v>
      </c>
      <c r="O839" t="s">
        <v>1939</v>
      </c>
      <c r="P839" t="s">
        <v>1960</v>
      </c>
      <c r="R839" t="s">
        <v>50</v>
      </c>
      <c r="S839" t="s">
        <v>1670</v>
      </c>
      <c r="U839" t="s">
        <v>1972</v>
      </c>
      <c r="W839" t="s">
        <v>332</v>
      </c>
      <c r="X839">
        <v>1614.34</v>
      </c>
      <c r="Y839" t="s">
        <v>2008</v>
      </c>
      <c r="Z839" t="s">
        <v>2013</v>
      </c>
      <c r="AB839" t="s">
        <v>13640</v>
      </c>
      <c r="AD839" t="s">
        <v>16122</v>
      </c>
      <c r="AE839">
        <v>25</v>
      </c>
      <c r="AF839" t="s">
        <v>2902</v>
      </c>
      <c r="AG839" t="s">
        <v>1754</v>
      </c>
      <c r="AH839">
        <v>8</v>
      </c>
      <c r="AI839">
        <v>3</v>
      </c>
      <c r="AJ839">
        <v>0</v>
      </c>
      <c r="AK839">
        <v>594.3200000000001</v>
      </c>
      <c r="AN839" t="s">
        <v>2927</v>
      </c>
      <c r="AO839">
        <v>123500</v>
      </c>
      <c r="AU839" t="s">
        <v>13051</v>
      </c>
      <c r="AW839" t="s">
        <v>3042</v>
      </c>
      <c r="AX839" t="s">
        <v>18685</v>
      </c>
    </row>
    <row r="840" spans="1:50">
      <c r="A840" s="1" t="s">
        <v>61</v>
      </c>
      <c r="B840" t="s">
        <v>163</v>
      </c>
      <c r="C840" t="s">
        <v>4050</v>
      </c>
      <c r="D840" t="s">
        <v>328</v>
      </c>
      <c r="F840" t="s">
        <v>578</v>
      </c>
      <c r="G840" t="s">
        <v>8275</v>
      </c>
      <c r="H840" t="s">
        <v>9387</v>
      </c>
      <c r="I840" t="s">
        <v>1517</v>
      </c>
      <c r="J840" t="s">
        <v>1644</v>
      </c>
      <c r="K840">
        <v>11226</v>
      </c>
      <c r="L840" t="s">
        <v>1670</v>
      </c>
      <c r="M840" t="s">
        <v>1672</v>
      </c>
      <c r="N840" t="s">
        <v>11999</v>
      </c>
      <c r="O840" t="s">
        <v>1939</v>
      </c>
      <c r="P840" t="s">
        <v>1960</v>
      </c>
      <c r="R840" t="s">
        <v>50</v>
      </c>
      <c r="S840" t="s">
        <v>1670</v>
      </c>
      <c r="U840" t="s">
        <v>1972</v>
      </c>
      <c r="V840" t="s">
        <v>1984</v>
      </c>
      <c r="W840" t="s">
        <v>328</v>
      </c>
      <c r="X840">
        <v>1670</v>
      </c>
      <c r="Y840" t="s">
        <v>2009</v>
      </c>
      <c r="Z840" t="s">
        <v>2016</v>
      </c>
      <c r="AB840" t="s">
        <v>13641</v>
      </c>
      <c r="AD840" t="s">
        <v>16123</v>
      </c>
      <c r="AE840">
        <v>36</v>
      </c>
      <c r="AF840" t="s">
        <v>2902</v>
      </c>
      <c r="AH840">
        <v>4</v>
      </c>
      <c r="AI840">
        <v>2</v>
      </c>
      <c r="AJ840">
        <v>0</v>
      </c>
      <c r="AK840">
        <v>603.1900000000001</v>
      </c>
      <c r="AN840" t="s">
        <v>2926</v>
      </c>
      <c r="AO840">
        <v>102000</v>
      </c>
      <c r="AU840">
        <v>0.3</v>
      </c>
      <c r="AV840" t="s">
        <v>328</v>
      </c>
      <c r="AW840" t="s">
        <v>69</v>
      </c>
    </row>
    <row r="841" spans="1:50">
      <c r="A841" s="1" t="s">
        <v>135</v>
      </c>
      <c r="B841" t="s">
        <v>163</v>
      </c>
      <c r="C841" t="s">
        <v>4051</v>
      </c>
      <c r="D841" t="s">
        <v>242</v>
      </c>
      <c r="F841" t="s">
        <v>7178</v>
      </c>
      <c r="G841" t="s">
        <v>8276</v>
      </c>
      <c r="H841" t="s">
        <v>9425</v>
      </c>
      <c r="I841" t="s">
        <v>11067</v>
      </c>
      <c r="J841" t="s">
        <v>1644</v>
      </c>
      <c r="K841">
        <v>11216</v>
      </c>
      <c r="L841" t="s">
        <v>1670</v>
      </c>
      <c r="M841" t="s">
        <v>1670</v>
      </c>
      <c r="O841" t="s">
        <v>1937</v>
      </c>
      <c r="P841" t="s">
        <v>1962</v>
      </c>
      <c r="R841" t="s">
        <v>50</v>
      </c>
      <c r="S841" t="s">
        <v>1670</v>
      </c>
      <c r="U841" t="s">
        <v>1972</v>
      </c>
      <c r="W841" t="s">
        <v>225</v>
      </c>
      <c r="X841">
        <v>2300</v>
      </c>
      <c r="Y841" t="s">
        <v>2009</v>
      </c>
      <c r="Z841" t="s">
        <v>2016</v>
      </c>
      <c r="AB841" t="s">
        <v>13642</v>
      </c>
      <c r="AD841" t="s">
        <v>16124</v>
      </c>
      <c r="AE841">
        <v>82</v>
      </c>
      <c r="AF841" t="s">
        <v>2902</v>
      </c>
      <c r="AG841" t="s">
        <v>1754</v>
      </c>
      <c r="AH841">
        <v>3</v>
      </c>
      <c r="AI841">
        <v>2</v>
      </c>
      <c r="AJ841">
        <v>0</v>
      </c>
      <c r="AK841">
        <v>607.53</v>
      </c>
      <c r="AN841" t="s">
        <v>2926</v>
      </c>
      <c r="AO841">
        <v>100000</v>
      </c>
      <c r="AP841" t="s">
        <v>18069</v>
      </c>
      <c r="AU841" t="s">
        <v>13051</v>
      </c>
      <c r="AW841" t="s">
        <v>3060</v>
      </c>
    </row>
    <row r="842" spans="1:50">
      <c r="A842" s="1" t="s">
        <v>135</v>
      </c>
      <c r="B842" t="s">
        <v>163</v>
      </c>
      <c r="C842" t="s">
        <v>4052</v>
      </c>
      <c r="D842" t="s">
        <v>242</v>
      </c>
      <c r="F842" t="s">
        <v>7178</v>
      </c>
      <c r="G842" t="s">
        <v>8276</v>
      </c>
      <c r="H842" t="s">
        <v>9425</v>
      </c>
      <c r="I842" t="s">
        <v>11067</v>
      </c>
      <c r="J842" t="s">
        <v>1644</v>
      </c>
      <c r="K842">
        <v>11216</v>
      </c>
      <c r="L842" t="s">
        <v>1670</v>
      </c>
      <c r="M842" t="s">
        <v>1670</v>
      </c>
      <c r="O842" t="s">
        <v>1952</v>
      </c>
      <c r="P842" t="s">
        <v>1960</v>
      </c>
      <c r="R842" t="s">
        <v>50</v>
      </c>
      <c r="S842" t="s">
        <v>1670</v>
      </c>
      <c r="U842" t="s">
        <v>1972</v>
      </c>
      <c r="W842" t="s">
        <v>225</v>
      </c>
      <c r="X842">
        <v>2300</v>
      </c>
      <c r="Y842" t="s">
        <v>2009</v>
      </c>
      <c r="Z842" t="s">
        <v>2016</v>
      </c>
      <c r="AB842" t="s">
        <v>13642</v>
      </c>
      <c r="AD842" t="s">
        <v>16124</v>
      </c>
      <c r="AE842">
        <v>82</v>
      </c>
      <c r="AF842" t="s">
        <v>2902</v>
      </c>
      <c r="AG842" t="s">
        <v>1754</v>
      </c>
      <c r="AH842">
        <v>3</v>
      </c>
      <c r="AI842">
        <v>2</v>
      </c>
      <c r="AJ842">
        <v>0</v>
      </c>
      <c r="AK842">
        <v>607.53</v>
      </c>
      <c r="AN842" t="s">
        <v>2926</v>
      </c>
      <c r="AO842">
        <v>100000</v>
      </c>
      <c r="AP842" t="s">
        <v>2948</v>
      </c>
      <c r="AU842" t="s">
        <v>13051</v>
      </c>
      <c r="AW842" t="s">
        <v>3060</v>
      </c>
    </row>
    <row r="843" spans="1:50">
      <c r="A843" s="1" t="s">
        <v>57</v>
      </c>
      <c r="B843" t="s">
        <v>163</v>
      </c>
      <c r="C843" t="s">
        <v>4053</v>
      </c>
      <c r="D843" t="s">
        <v>170</v>
      </c>
      <c r="F843" t="s">
        <v>7179</v>
      </c>
      <c r="G843" t="s">
        <v>8277</v>
      </c>
      <c r="H843" t="s">
        <v>1112</v>
      </c>
      <c r="I843" t="s">
        <v>10956</v>
      </c>
      <c r="J843" t="s">
        <v>1641</v>
      </c>
      <c r="K843">
        <v>10453</v>
      </c>
      <c r="L843" t="s">
        <v>1670</v>
      </c>
      <c r="M843" t="s">
        <v>1670</v>
      </c>
      <c r="O843" t="s">
        <v>1938</v>
      </c>
      <c r="P843" t="s">
        <v>1961</v>
      </c>
      <c r="R843" t="s">
        <v>50</v>
      </c>
      <c r="S843" t="s">
        <v>1670</v>
      </c>
      <c r="U843" t="s">
        <v>1972</v>
      </c>
      <c r="W843" t="s">
        <v>283</v>
      </c>
      <c r="X843">
        <v>1058.89</v>
      </c>
      <c r="Y843" t="s">
        <v>2006</v>
      </c>
      <c r="Z843" t="s">
        <v>2015</v>
      </c>
      <c r="AB843" t="s">
        <v>13643</v>
      </c>
      <c r="AD843" t="s">
        <v>16125</v>
      </c>
      <c r="AE843">
        <v>167</v>
      </c>
      <c r="AF843" t="s">
        <v>2902</v>
      </c>
      <c r="AG843" t="s">
        <v>1754</v>
      </c>
      <c r="AH843">
        <v>18</v>
      </c>
      <c r="AI843">
        <v>1</v>
      </c>
      <c r="AJ843">
        <v>0</v>
      </c>
      <c r="AK843">
        <v>608.49</v>
      </c>
      <c r="AN843" t="s">
        <v>2926</v>
      </c>
      <c r="AO843">
        <v>76000</v>
      </c>
      <c r="AU843" t="s">
        <v>13051</v>
      </c>
      <c r="AW843" t="s">
        <v>3046</v>
      </c>
    </row>
    <row r="844" spans="1:50">
      <c r="A844" s="1" t="s">
        <v>57</v>
      </c>
      <c r="B844" t="s">
        <v>163</v>
      </c>
      <c r="C844" t="s">
        <v>4054</v>
      </c>
      <c r="D844" t="s">
        <v>170</v>
      </c>
      <c r="F844" t="s">
        <v>7179</v>
      </c>
      <c r="G844" t="s">
        <v>8277</v>
      </c>
      <c r="H844" t="s">
        <v>1112</v>
      </c>
      <c r="I844" t="s">
        <v>10956</v>
      </c>
      <c r="J844" t="s">
        <v>1641</v>
      </c>
      <c r="K844">
        <v>10453</v>
      </c>
      <c r="L844" t="s">
        <v>1670</v>
      </c>
      <c r="M844" t="s">
        <v>1670</v>
      </c>
      <c r="N844" t="s">
        <v>1677</v>
      </c>
      <c r="O844" t="s">
        <v>1939</v>
      </c>
      <c r="P844" t="s">
        <v>1960</v>
      </c>
      <c r="R844" t="s">
        <v>50</v>
      </c>
      <c r="S844" t="s">
        <v>1670</v>
      </c>
      <c r="U844" t="s">
        <v>1972</v>
      </c>
      <c r="W844" t="s">
        <v>283</v>
      </c>
      <c r="X844">
        <v>1058.89</v>
      </c>
      <c r="Y844" t="s">
        <v>2006</v>
      </c>
      <c r="Z844" t="s">
        <v>2015</v>
      </c>
      <c r="AB844" t="s">
        <v>13643</v>
      </c>
      <c r="AD844" t="s">
        <v>16125</v>
      </c>
      <c r="AE844">
        <v>167</v>
      </c>
      <c r="AF844" t="s">
        <v>2902</v>
      </c>
      <c r="AG844" t="s">
        <v>1754</v>
      </c>
      <c r="AH844">
        <v>18</v>
      </c>
      <c r="AI844">
        <v>1</v>
      </c>
      <c r="AJ844">
        <v>0</v>
      </c>
      <c r="AK844">
        <v>608.49</v>
      </c>
      <c r="AN844" t="s">
        <v>2926</v>
      </c>
      <c r="AO844">
        <v>76000</v>
      </c>
      <c r="AU844" t="s">
        <v>13051</v>
      </c>
      <c r="AW844" t="s">
        <v>3046</v>
      </c>
    </row>
    <row r="845" spans="1:50">
      <c r="A845" s="1" t="s">
        <v>92</v>
      </c>
      <c r="B845" t="s">
        <v>164</v>
      </c>
      <c r="C845" t="s">
        <v>4055</v>
      </c>
      <c r="D845" t="s">
        <v>6161</v>
      </c>
      <c r="E845" t="s">
        <v>273</v>
      </c>
      <c r="F845" t="s">
        <v>7179</v>
      </c>
      <c r="G845" t="s">
        <v>8115</v>
      </c>
      <c r="H845" t="s">
        <v>9699</v>
      </c>
      <c r="I845" t="s">
        <v>11088</v>
      </c>
      <c r="J845" t="s">
        <v>1643</v>
      </c>
      <c r="K845">
        <v>10128</v>
      </c>
      <c r="L845" t="s">
        <v>1670</v>
      </c>
      <c r="M845" t="s">
        <v>1672</v>
      </c>
      <c r="O845" t="s">
        <v>1675</v>
      </c>
      <c r="P845" t="s">
        <v>1962</v>
      </c>
      <c r="Q845" t="s">
        <v>1968</v>
      </c>
      <c r="R845" t="s">
        <v>50</v>
      </c>
      <c r="S845" t="s">
        <v>1671</v>
      </c>
      <c r="U845" t="s">
        <v>1973</v>
      </c>
      <c r="W845" t="s">
        <v>252</v>
      </c>
      <c r="X845">
        <v>1355</v>
      </c>
      <c r="Y845" t="s">
        <v>2008</v>
      </c>
      <c r="Z845" t="s">
        <v>2013</v>
      </c>
      <c r="AA845" t="s">
        <v>2029</v>
      </c>
      <c r="AB845" t="s">
        <v>13644</v>
      </c>
      <c r="AD845" t="s">
        <v>16126</v>
      </c>
      <c r="AE845" t="s">
        <v>13051</v>
      </c>
      <c r="AF845" t="s">
        <v>2910</v>
      </c>
      <c r="AG845" t="s">
        <v>1754</v>
      </c>
      <c r="AH845">
        <v>33</v>
      </c>
      <c r="AI845">
        <v>2</v>
      </c>
      <c r="AJ845">
        <v>0</v>
      </c>
      <c r="AK845">
        <v>608.62</v>
      </c>
      <c r="AN845" t="s">
        <v>2926</v>
      </c>
      <c r="AO845">
        <v>98839.16</v>
      </c>
      <c r="AU845">
        <v>10.1</v>
      </c>
      <c r="AV845" t="s">
        <v>273</v>
      </c>
      <c r="AW845" t="s">
        <v>3048</v>
      </c>
    </row>
    <row r="846" spans="1:50">
      <c r="A846" s="1" t="s">
        <v>118</v>
      </c>
      <c r="B846" t="s">
        <v>163</v>
      </c>
      <c r="C846" t="s">
        <v>4056</v>
      </c>
      <c r="D846" t="s">
        <v>404</v>
      </c>
      <c r="F846" t="s">
        <v>7180</v>
      </c>
      <c r="G846" t="s">
        <v>8278</v>
      </c>
      <c r="H846" t="s">
        <v>9397</v>
      </c>
      <c r="I846" t="s">
        <v>1551</v>
      </c>
      <c r="J846" t="s">
        <v>1641</v>
      </c>
      <c r="K846">
        <v>10452</v>
      </c>
      <c r="L846" t="s">
        <v>1670</v>
      </c>
      <c r="M846" t="s">
        <v>1672</v>
      </c>
      <c r="O846" t="s">
        <v>1938</v>
      </c>
      <c r="P846" t="s">
        <v>1961</v>
      </c>
      <c r="R846" t="s">
        <v>50</v>
      </c>
      <c r="S846" t="s">
        <v>1670</v>
      </c>
      <c r="U846" t="s">
        <v>1972</v>
      </c>
      <c r="W846" t="s">
        <v>1991</v>
      </c>
      <c r="X846">
        <v>2250</v>
      </c>
      <c r="Y846" t="s">
        <v>2006</v>
      </c>
      <c r="Z846" t="s">
        <v>2015</v>
      </c>
      <c r="AB846" t="s">
        <v>13645</v>
      </c>
      <c r="AD846" t="s">
        <v>16127</v>
      </c>
      <c r="AE846">
        <v>52</v>
      </c>
      <c r="AF846" t="s">
        <v>2902</v>
      </c>
      <c r="AG846" t="s">
        <v>1754</v>
      </c>
      <c r="AH846">
        <v>1</v>
      </c>
      <c r="AI846">
        <v>3</v>
      </c>
      <c r="AJ846">
        <v>0</v>
      </c>
      <c r="AK846">
        <v>609.47</v>
      </c>
      <c r="AN846" t="s">
        <v>2927</v>
      </c>
      <c r="AO846">
        <v>130000</v>
      </c>
      <c r="AU846" t="s">
        <v>13051</v>
      </c>
      <c r="AW846" t="s">
        <v>3045</v>
      </c>
      <c r="AX846" t="s">
        <v>18685</v>
      </c>
    </row>
    <row r="847" spans="1:50">
      <c r="A847" s="1" t="s">
        <v>115</v>
      </c>
      <c r="B847" t="s">
        <v>164</v>
      </c>
      <c r="C847" t="s">
        <v>4057</v>
      </c>
      <c r="D847" t="s">
        <v>344</v>
      </c>
      <c r="E847" t="s">
        <v>359</v>
      </c>
      <c r="F847" t="s">
        <v>7181</v>
      </c>
      <c r="G847" t="s">
        <v>909</v>
      </c>
      <c r="H847" t="s">
        <v>9700</v>
      </c>
      <c r="I847" t="s">
        <v>11100</v>
      </c>
      <c r="J847" t="s">
        <v>1641</v>
      </c>
      <c r="K847">
        <v>10452</v>
      </c>
      <c r="L847" t="s">
        <v>1670</v>
      </c>
      <c r="M847" t="s">
        <v>1670</v>
      </c>
      <c r="O847" t="s">
        <v>1939</v>
      </c>
      <c r="P847" t="s">
        <v>1958</v>
      </c>
      <c r="Q847" t="s">
        <v>1965</v>
      </c>
      <c r="R847" t="s">
        <v>50</v>
      </c>
      <c r="S847" t="s">
        <v>1670</v>
      </c>
      <c r="U847" t="s">
        <v>1972</v>
      </c>
      <c r="W847" t="s">
        <v>359</v>
      </c>
      <c r="X847">
        <v>1175</v>
      </c>
      <c r="Y847" t="s">
        <v>2006</v>
      </c>
      <c r="Z847" t="s">
        <v>2015</v>
      </c>
      <c r="AA847" t="s">
        <v>2029</v>
      </c>
      <c r="AB847" t="s">
        <v>13646</v>
      </c>
      <c r="AD847" t="s">
        <v>16128</v>
      </c>
      <c r="AE847">
        <v>149</v>
      </c>
      <c r="AF847" t="s">
        <v>2902</v>
      </c>
      <c r="AG847" t="s">
        <v>1754</v>
      </c>
      <c r="AH847">
        <v>5</v>
      </c>
      <c r="AI847">
        <v>1</v>
      </c>
      <c r="AJ847">
        <v>0</v>
      </c>
      <c r="AK847">
        <v>617.79</v>
      </c>
      <c r="AN847" t="s">
        <v>2926</v>
      </c>
      <c r="AO847">
        <v>75000</v>
      </c>
      <c r="AU847">
        <v>0.2</v>
      </c>
      <c r="AV847" t="s">
        <v>271</v>
      </c>
      <c r="AW847" t="s">
        <v>3054</v>
      </c>
    </row>
    <row r="848" spans="1:50">
      <c r="A848" s="1" t="s">
        <v>57</v>
      </c>
      <c r="B848" t="s">
        <v>163</v>
      </c>
      <c r="C848" t="s">
        <v>4058</v>
      </c>
      <c r="D848" t="s">
        <v>232</v>
      </c>
      <c r="F848" t="s">
        <v>492</v>
      </c>
      <c r="G848" t="s">
        <v>8185</v>
      </c>
      <c r="H848" t="s">
        <v>1193</v>
      </c>
      <c r="I848" t="s">
        <v>1581</v>
      </c>
      <c r="J848" t="s">
        <v>1641</v>
      </c>
      <c r="K848">
        <v>10456</v>
      </c>
      <c r="L848" t="s">
        <v>1670</v>
      </c>
      <c r="M848" t="s">
        <v>1670</v>
      </c>
      <c r="N848" t="s">
        <v>1735</v>
      </c>
      <c r="O848" t="s">
        <v>1938</v>
      </c>
      <c r="P848" t="s">
        <v>1961</v>
      </c>
      <c r="R848" t="s">
        <v>50</v>
      </c>
      <c r="S848" t="s">
        <v>1670</v>
      </c>
      <c r="U848" t="s">
        <v>1972</v>
      </c>
      <c r="W848" t="s">
        <v>1992</v>
      </c>
      <c r="X848">
        <v>1200</v>
      </c>
      <c r="Y848" t="s">
        <v>2006</v>
      </c>
      <c r="Z848" t="s">
        <v>2015</v>
      </c>
      <c r="AB848" t="s">
        <v>13516</v>
      </c>
      <c r="AD848" t="s">
        <v>16038</v>
      </c>
      <c r="AE848">
        <v>61</v>
      </c>
      <c r="AF848" t="s">
        <v>2902</v>
      </c>
      <c r="AG848" t="s">
        <v>1754</v>
      </c>
      <c r="AH848" t="s">
        <v>13051</v>
      </c>
      <c r="AI848">
        <v>2</v>
      </c>
      <c r="AJ848">
        <v>0</v>
      </c>
      <c r="AK848">
        <v>625.15</v>
      </c>
      <c r="AN848" t="s">
        <v>2926</v>
      </c>
      <c r="AO848">
        <v>102900</v>
      </c>
      <c r="AU848" t="s">
        <v>13051</v>
      </c>
      <c r="AW848" t="s">
        <v>3047</v>
      </c>
    </row>
    <row r="849" spans="1:50">
      <c r="A849" s="1" t="s">
        <v>58</v>
      </c>
      <c r="B849" t="s">
        <v>163</v>
      </c>
      <c r="C849" t="s">
        <v>4059</v>
      </c>
      <c r="D849" t="s">
        <v>263</v>
      </c>
      <c r="F849" t="s">
        <v>608</v>
      </c>
      <c r="G849" t="s">
        <v>8279</v>
      </c>
      <c r="H849" t="s">
        <v>9604</v>
      </c>
      <c r="I849" t="s">
        <v>1486</v>
      </c>
      <c r="J849" t="s">
        <v>1641</v>
      </c>
      <c r="K849">
        <v>10461</v>
      </c>
      <c r="L849" t="s">
        <v>1670</v>
      </c>
      <c r="M849" t="s">
        <v>1670</v>
      </c>
      <c r="O849" t="s">
        <v>1938</v>
      </c>
      <c r="P849" t="s">
        <v>1962</v>
      </c>
      <c r="R849" t="s">
        <v>50</v>
      </c>
      <c r="S849" t="s">
        <v>1670</v>
      </c>
      <c r="U849" t="s">
        <v>1972</v>
      </c>
      <c r="W849" t="s">
        <v>220</v>
      </c>
      <c r="X849">
        <v>1450</v>
      </c>
      <c r="Y849" t="s">
        <v>2006</v>
      </c>
      <c r="Z849" t="s">
        <v>2015</v>
      </c>
      <c r="AB849" t="s">
        <v>13647</v>
      </c>
      <c r="AE849">
        <v>125</v>
      </c>
      <c r="AF849" t="s">
        <v>2902</v>
      </c>
      <c r="AG849" t="s">
        <v>1754</v>
      </c>
      <c r="AH849">
        <v>1</v>
      </c>
      <c r="AI849">
        <v>1</v>
      </c>
      <c r="AJ849">
        <v>0</v>
      </c>
      <c r="AK849">
        <v>640.51</v>
      </c>
      <c r="AN849" t="s">
        <v>2926</v>
      </c>
      <c r="AO849">
        <v>80000</v>
      </c>
      <c r="AU849" t="s">
        <v>13051</v>
      </c>
      <c r="AW849" t="s">
        <v>3046</v>
      </c>
    </row>
    <row r="850" spans="1:50">
      <c r="A850" s="1" t="s">
        <v>3174</v>
      </c>
      <c r="B850" t="s">
        <v>164</v>
      </c>
      <c r="C850" t="s">
        <v>4060</v>
      </c>
      <c r="D850" t="s">
        <v>6162</v>
      </c>
      <c r="E850" t="s">
        <v>278</v>
      </c>
      <c r="F850" t="s">
        <v>7182</v>
      </c>
      <c r="G850" t="s">
        <v>8187</v>
      </c>
      <c r="H850" t="s">
        <v>9701</v>
      </c>
      <c r="I850">
        <v>12</v>
      </c>
      <c r="J850" t="s">
        <v>1643</v>
      </c>
      <c r="K850">
        <v>10029</v>
      </c>
      <c r="L850" t="s">
        <v>1670</v>
      </c>
      <c r="M850" t="s">
        <v>1670</v>
      </c>
      <c r="O850" t="s">
        <v>1675</v>
      </c>
      <c r="P850" t="s">
        <v>1958</v>
      </c>
      <c r="Q850" t="s">
        <v>1965</v>
      </c>
      <c r="R850" t="s">
        <v>50</v>
      </c>
      <c r="S850" t="s">
        <v>1670</v>
      </c>
      <c r="U850" t="s">
        <v>1972</v>
      </c>
      <c r="V850" t="s">
        <v>1984</v>
      </c>
      <c r="W850" t="s">
        <v>352</v>
      </c>
      <c r="X850">
        <v>2500</v>
      </c>
      <c r="Y850" t="s">
        <v>2008</v>
      </c>
      <c r="Z850" t="s">
        <v>2016</v>
      </c>
      <c r="AA850" t="s">
        <v>2029</v>
      </c>
      <c r="AB850" t="s">
        <v>13648</v>
      </c>
      <c r="AD850" t="s">
        <v>16129</v>
      </c>
      <c r="AE850">
        <v>24</v>
      </c>
      <c r="AF850" t="s">
        <v>2904</v>
      </c>
      <c r="AG850" t="s">
        <v>1754</v>
      </c>
      <c r="AH850">
        <v>4</v>
      </c>
      <c r="AI850">
        <v>2</v>
      </c>
      <c r="AJ850">
        <v>0</v>
      </c>
      <c r="AK850">
        <v>646.55</v>
      </c>
      <c r="AN850" t="s">
        <v>2926</v>
      </c>
      <c r="AO850">
        <v>105000</v>
      </c>
      <c r="AU850">
        <v>1.7</v>
      </c>
      <c r="AV850" t="s">
        <v>18643</v>
      </c>
      <c r="AW850" t="s">
        <v>3051</v>
      </c>
    </row>
    <row r="851" spans="1:50">
      <c r="A851" s="1" t="s">
        <v>58</v>
      </c>
      <c r="B851" t="s">
        <v>163</v>
      </c>
      <c r="C851" t="s">
        <v>4061</v>
      </c>
      <c r="D851" t="s">
        <v>171</v>
      </c>
      <c r="F851" t="s">
        <v>438</v>
      </c>
      <c r="G851" t="s">
        <v>8280</v>
      </c>
      <c r="H851" t="s">
        <v>1113</v>
      </c>
      <c r="I851" t="s">
        <v>1486</v>
      </c>
      <c r="J851" t="s">
        <v>1641</v>
      </c>
      <c r="K851">
        <v>10452</v>
      </c>
      <c r="L851" t="s">
        <v>1670</v>
      </c>
      <c r="M851" t="s">
        <v>1672</v>
      </c>
      <c r="O851" t="s">
        <v>1938</v>
      </c>
      <c r="P851" t="s">
        <v>1962</v>
      </c>
      <c r="R851" t="s">
        <v>50</v>
      </c>
      <c r="S851" t="s">
        <v>1670</v>
      </c>
      <c r="U851" t="s">
        <v>1972</v>
      </c>
      <c r="W851" t="s">
        <v>293</v>
      </c>
      <c r="X851">
        <v>1677</v>
      </c>
      <c r="Y851" t="s">
        <v>2006</v>
      </c>
      <c r="Z851" t="s">
        <v>2015</v>
      </c>
      <c r="AB851" t="s">
        <v>13649</v>
      </c>
      <c r="AE851">
        <v>41</v>
      </c>
      <c r="AF851" t="s">
        <v>2903</v>
      </c>
      <c r="AG851" t="s">
        <v>1754</v>
      </c>
      <c r="AH851">
        <v>4</v>
      </c>
      <c r="AI851">
        <v>2</v>
      </c>
      <c r="AJ851">
        <v>1</v>
      </c>
      <c r="AK851">
        <v>656.35</v>
      </c>
      <c r="AN851" t="s">
        <v>2927</v>
      </c>
      <c r="AO851">
        <v>140000</v>
      </c>
      <c r="AU851" t="s">
        <v>13051</v>
      </c>
      <c r="AW851" t="s">
        <v>3046</v>
      </c>
      <c r="AX851" t="s">
        <v>18685</v>
      </c>
    </row>
    <row r="852" spans="1:50">
      <c r="A852" s="1" t="s">
        <v>65</v>
      </c>
      <c r="B852" t="s">
        <v>163</v>
      </c>
      <c r="C852" t="s">
        <v>4062</v>
      </c>
      <c r="D852" t="s">
        <v>266</v>
      </c>
      <c r="F852" t="s">
        <v>7183</v>
      </c>
      <c r="G852" t="s">
        <v>8281</v>
      </c>
      <c r="H852" t="s">
        <v>9529</v>
      </c>
      <c r="I852" t="s">
        <v>1506</v>
      </c>
      <c r="J852" t="s">
        <v>1644</v>
      </c>
      <c r="K852">
        <v>11225</v>
      </c>
      <c r="L852" t="s">
        <v>1670</v>
      </c>
      <c r="M852" t="s">
        <v>1670</v>
      </c>
      <c r="P852" t="s">
        <v>1961</v>
      </c>
      <c r="R852" t="s">
        <v>50</v>
      </c>
      <c r="S852" t="s">
        <v>1670</v>
      </c>
      <c r="U852" t="s">
        <v>1972</v>
      </c>
      <c r="W852" t="s">
        <v>266</v>
      </c>
      <c r="X852" t="s">
        <v>13051</v>
      </c>
      <c r="Y852" t="s">
        <v>2009</v>
      </c>
      <c r="AB852" t="s">
        <v>13650</v>
      </c>
      <c r="AD852" t="s">
        <v>16130</v>
      </c>
      <c r="AE852" t="s">
        <v>13051</v>
      </c>
      <c r="AH852" t="s">
        <v>13051</v>
      </c>
      <c r="AI852">
        <v>2</v>
      </c>
      <c r="AJ852">
        <v>0</v>
      </c>
      <c r="AK852">
        <v>656.42</v>
      </c>
      <c r="AN852" t="s">
        <v>2926</v>
      </c>
      <c r="AO852">
        <v>111000</v>
      </c>
      <c r="AU852">
        <v>2.5</v>
      </c>
      <c r="AV852" t="s">
        <v>291</v>
      </c>
      <c r="AW852" t="s">
        <v>158</v>
      </c>
    </row>
    <row r="853" spans="1:50">
      <c r="A853" s="1" t="s">
        <v>65</v>
      </c>
      <c r="B853" t="s">
        <v>163</v>
      </c>
      <c r="C853" t="s">
        <v>4063</v>
      </c>
      <c r="D853" t="s">
        <v>316</v>
      </c>
      <c r="F853" t="s">
        <v>7183</v>
      </c>
      <c r="G853" t="s">
        <v>8281</v>
      </c>
      <c r="H853" t="s">
        <v>9529</v>
      </c>
      <c r="I853" t="s">
        <v>1506</v>
      </c>
      <c r="J853" t="s">
        <v>1644</v>
      </c>
      <c r="K853">
        <v>11225</v>
      </c>
      <c r="L853" t="s">
        <v>1670</v>
      </c>
      <c r="M853" t="s">
        <v>1670</v>
      </c>
      <c r="O853" t="s">
        <v>1952</v>
      </c>
      <c r="P853" t="s">
        <v>1960</v>
      </c>
      <c r="R853" t="s">
        <v>50</v>
      </c>
      <c r="U853" t="s">
        <v>1972</v>
      </c>
      <c r="W853" t="s">
        <v>2001</v>
      </c>
      <c r="X853" t="s">
        <v>13051</v>
      </c>
      <c r="Y853" t="s">
        <v>2009</v>
      </c>
      <c r="AB853" t="s">
        <v>13650</v>
      </c>
      <c r="AD853" t="s">
        <v>16130</v>
      </c>
      <c r="AE853" t="s">
        <v>13051</v>
      </c>
      <c r="AH853" t="s">
        <v>13051</v>
      </c>
      <c r="AI853">
        <v>2</v>
      </c>
      <c r="AJ853">
        <v>0</v>
      </c>
      <c r="AK853">
        <v>656.42</v>
      </c>
      <c r="AN853" t="s">
        <v>2926</v>
      </c>
      <c r="AO853">
        <v>111000</v>
      </c>
      <c r="AU853">
        <v>0.5</v>
      </c>
      <c r="AV853" t="s">
        <v>301</v>
      </c>
      <c r="AW853" t="s">
        <v>158</v>
      </c>
    </row>
    <row r="854" spans="1:50">
      <c r="A854" s="1" t="s">
        <v>65</v>
      </c>
      <c r="B854" t="s">
        <v>163</v>
      </c>
      <c r="C854" t="s">
        <v>4064</v>
      </c>
      <c r="D854" t="s">
        <v>286</v>
      </c>
      <c r="F854" t="s">
        <v>7183</v>
      </c>
      <c r="G854" t="s">
        <v>8281</v>
      </c>
      <c r="H854" t="s">
        <v>9529</v>
      </c>
      <c r="I854" t="s">
        <v>1506</v>
      </c>
      <c r="J854" t="s">
        <v>1644</v>
      </c>
      <c r="K854">
        <v>11225</v>
      </c>
      <c r="L854" t="s">
        <v>1670</v>
      </c>
      <c r="M854" t="s">
        <v>1670</v>
      </c>
      <c r="O854" t="s">
        <v>1952</v>
      </c>
      <c r="P854" t="s">
        <v>1960</v>
      </c>
      <c r="R854" t="s">
        <v>50</v>
      </c>
      <c r="S854" t="s">
        <v>1670</v>
      </c>
      <c r="U854" t="s">
        <v>1972</v>
      </c>
      <c r="W854" t="s">
        <v>2001</v>
      </c>
      <c r="X854" t="s">
        <v>13051</v>
      </c>
      <c r="Y854" t="s">
        <v>2009</v>
      </c>
      <c r="AB854" t="s">
        <v>13650</v>
      </c>
      <c r="AD854" t="s">
        <v>16130</v>
      </c>
      <c r="AE854" t="s">
        <v>13051</v>
      </c>
      <c r="AH854" t="s">
        <v>13051</v>
      </c>
      <c r="AI854">
        <v>2</v>
      </c>
      <c r="AJ854">
        <v>0</v>
      </c>
      <c r="AK854">
        <v>656.42</v>
      </c>
      <c r="AN854" t="s">
        <v>2926</v>
      </c>
      <c r="AO854">
        <v>111000</v>
      </c>
      <c r="AU854">
        <v>256.55</v>
      </c>
      <c r="AV854" t="s">
        <v>346</v>
      </c>
      <c r="AW854" t="s">
        <v>158</v>
      </c>
    </row>
    <row r="855" spans="1:50">
      <c r="A855" s="1" t="s">
        <v>91</v>
      </c>
      <c r="B855" t="s">
        <v>163</v>
      </c>
      <c r="C855" t="s">
        <v>4065</v>
      </c>
      <c r="D855" t="s">
        <v>2005</v>
      </c>
      <c r="F855" t="s">
        <v>7174</v>
      </c>
      <c r="G855" t="s">
        <v>685</v>
      </c>
      <c r="H855" t="s">
        <v>9535</v>
      </c>
      <c r="I855" t="s">
        <v>1633</v>
      </c>
      <c r="J855" t="s">
        <v>1643</v>
      </c>
      <c r="K855">
        <v>10463</v>
      </c>
      <c r="L855" t="s">
        <v>1670</v>
      </c>
      <c r="M855" t="s">
        <v>1670</v>
      </c>
      <c r="O855" t="s">
        <v>1939</v>
      </c>
      <c r="P855" t="s">
        <v>1960</v>
      </c>
      <c r="R855" t="s">
        <v>50</v>
      </c>
      <c r="S855" t="s">
        <v>1670</v>
      </c>
      <c r="U855" t="s">
        <v>1972</v>
      </c>
      <c r="W855" t="s">
        <v>2005</v>
      </c>
      <c r="X855">
        <v>1652</v>
      </c>
      <c r="Y855" t="s">
        <v>2008</v>
      </c>
      <c r="Z855" t="s">
        <v>2013</v>
      </c>
      <c r="AB855" t="s">
        <v>13651</v>
      </c>
      <c r="AE855">
        <v>84</v>
      </c>
      <c r="AF855" t="s">
        <v>2902</v>
      </c>
      <c r="AG855" t="s">
        <v>1754</v>
      </c>
      <c r="AH855">
        <v>10</v>
      </c>
      <c r="AI855">
        <v>1</v>
      </c>
      <c r="AJ855">
        <v>0</v>
      </c>
      <c r="AK855">
        <v>658.98</v>
      </c>
      <c r="AN855" t="s">
        <v>2926</v>
      </c>
      <c r="AO855">
        <v>80000</v>
      </c>
      <c r="AU855">
        <v>20.1</v>
      </c>
      <c r="AV855" t="s">
        <v>188</v>
      </c>
      <c r="AW855" t="s">
        <v>3042</v>
      </c>
    </row>
    <row r="856" spans="1:50">
      <c r="A856" s="1" t="s">
        <v>54</v>
      </c>
      <c r="B856" t="s">
        <v>163</v>
      </c>
      <c r="C856" t="s">
        <v>4066</v>
      </c>
      <c r="D856" t="s">
        <v>6163</v>
      </c>
      <c r="F856" t="s">
        <v>7184</v>
      </c>
      <c r="G856" t="s">
        <v>8017</v>
      </c>
      <c r="H856" t="s">
        <v>9702</v>
      </c>
      <c r="I856" t="s">
        <v>1633</v>
      </c>
      <c r="J856" t="s">
        <v>1643</v>
      </c>
      <c r="K856">
        <v>10034</v>
      </c>
      <c r="L856" t="s">
        <v>1670</v>
      </c>
      <c r="M856" t="s">
        <v>1670</v>
      </c>
      <c r="O856" t="s">
        <v>1939</v>
      </c>
      <c r="P856" t="s">
        <v>1960</v>
      </c>
      <c r="R856" t="s">
        <v>50</v>
      </c>
      <c r="S856" t="s">
        <v>1670</v>
      </c>
      <c r="U856" t="s">
        <v>1972</v>
      </c>
      <c r="W856" t="s">
        <v>1989</v>
      </c>
      <c r="X856">
        <v>1363.5</v>
      </c>
      <c r="Y856" t="s">
        <v>2008</v>
      </c>
      <c r="Z856" t="s">
        <v>2013</v>
      </c>
      <c r="AB856" t="s">
        <v>13652</v>
      </c>
      <c r="AD856" t="s">
        <v>16131</v>
      </c>
      <c r="AE856">
        <v>63</v>
      </c>
      <c r="AF856" t="s">
        <v>2902</v>
      </c>
      <c r="AG856" t="s">
        <v>1754</v>
      </c>
      <c r="AH856">
        <v>4</v>
      </c>
      <c r="AI856">
        <v>2</v>
      </c>
      <c r="AJ856">
        <v>0</v>
      </c>
      <c r="AK856">
        <v>662.21</v>
      </c>
      <c r="AN856" t="s">
        <v>2926</v>
      </c>
      <c r="AO856">
        <v>109000</v>
      </c>
      <c r="AU856">
        <v>0.05</v>
      </c>
      <c r="AV856" t="s">
        <v>379</v>
      </c>
      <c r="AW856" t="s">
        <v>3042</v>
      </c>
    </row>
    <row r="857" spans="1:50">
      <c r="A857" s="1" t="s">
        <v>59</v>
      </c>
      <c r="B857" t="s">
        <v>163</v>
      </c>
      <c r="C857" t="s">
        <v>4067</v>
      </c>
      <c r="D857" t="s">
        <v>173</v>
      </c>
      <c r="F857" t="s">
        <v>6882</v>
      </c>
      <c r="G857" t="s">
        <v>848</v>
      </c>
      <c r="H857" t="s">
        <v>1114</v>
      </c>
      <c r="I857" t="s">
        <v>11044</v>
      </c>
      <c r="J857" t="s">
        <v>1641</v>
      </c>
      <c r="K857">
        <v>10456</v>
      </c>
      <c r="L857" t="s">
        <v>1670</v>
      </c>
      <c r="M857" t="s">
        <v>1670</v>
      </c>
      <c r="N857" t="s">
        <v>1681</v>
      </c>
      <c r="O857" t="s">
        <v>1939</v>
      </c>
      <c r="P857" t="s">
        <v>1960</v>
      </c>
      <c r="R857" t="s">
        <v>50</v>
      </c>
      <c r="S857" t="s">
        <v>1670</v>
      </c>
      <c r="U857" t="s">
        <v>1972</v>
      </c>
      <c r="W857" t="s">
        <v>173</v>
      </c>
      <c r="X857">
        <v>706</v>
      </c>
      <c r="Y857" t="s">
        <v>2006</v>
      </c>
      <c r="Z857" t="s">
        <v>2015</v>
      </c>
      <c r="AB857" t="s">
        <v>13653</v>
      </c>
      <c r="AD857" t="s">
        <v>16132</v>
      </c>
      <c r="AE857">
        <v>131</v>
      </c>
      <c r="AF857" t="s">
        <v>2902</v>
      </c>
      <c r="AG857" t="s">
        <v>1754</v>
      </c>
      <c r="AH857">
        <v>8</v>
      </c>
      <c r="AI857">
        <v>2</v>
      </c>
      <c r="AJ857">
        <v>1</v>
      </c>
      <c r="AK857">
        <v>668.91</v>
      </c>
      <c r="AN857" t="s">
        <v>2926</v>
      </c>
      <c r="AO857">
        <v>139000</v>
      </c>
      <c r="AU857" t="s">
        <v>13051</v>
      </c>
      <c r="AW857" t="s">
        <v>3047</v>
      </c>
    </row>
    <row r="858" spans="1:50">
      <c r="A858" s="1" t="s">
        <v>58</v>
      </c>
      <c r="B858" t="s">
        <v>163</v>
      </c>
      <c r="C858" t="s">
        <v>4068</v>
      </c>
      <c r="D858" t="s">
        <v>172</v>
      </c>
      <c r="F858" t="s">
        <v>438</v>
      </c>
      <c r="G858" t="s">
        <v>8280</v>
      </c>
      <c r="H858" t="s">
        <v>1113</v>
      </c>
      <c r="I858" t="s">
        <v>1486</v>
      </c>
      <c r="J858" t="s">
        <v>1641</v>
      </c>
      <c r="K858">
        <v>10452</v>
      </c>
      <c r="L858" t="s">
        <v>1670</v>
      </c>
      <c r="M858" t="s">
        <v>1670</v>
      </c>
      <c r="N858" t="s">
        <v>1678</v>
      </c>
      <c r="O858" t="s">
        <v>1939</v>
      </c>
      <c r="P858" t="s">
        <v>1960</v>
      </c>
      <c r="R858" t="s">
        <v>50</v>
      </c>
      <c r="S858" t="s">
        <v>1670</v>
      </c>
      <c r="U858" t="s">
        <v>1972</v>
      </c>
      <c r="W858" t="s">
        <v>359</v>
      </c>
      <c r="X858">
        <v>1677</v>
      </c>
      <c r="Y858" t="s">
        <v>2006</v>
      </c>
      <c r="Z858" t="s">
        <v>2015</v>
      </c>
      <c r="AB858" t="s">
        <v>13649</v>
      </c>
      <c r="AE858">
        <v>41</v>
      </c>
      <c r="AF858" t="s">
        <v>2903</v>
      </c>
      <c r="AG858" t="s">
        <v>1754</v>
      </c>
      <c r="AH858">
        <v>4</v>
      </c>
      <c r="AI858">
        <v>2</v>
      </c>
      <c r="AJ858">
        <v>1</v>
      </c>
      <c r="AK858">
        <v>673.72</v>
      </c>
      <c r="AN858" t="s">
        <v>2927</v>
      </c>
      <c r="AO858">
        <v>140000</v>
      </c>
      <c r="AP858" t="s">
        <v>18213</v>
      </c>
      <c r="AU858">
        <v>1</v>
      </c>
      <c r="AV858" t="s">
        <v>1999</v>
      </c>
      <c r="AW858" t="s">
        <v>3046</v>
      </c>
    </row>
    <row r="859" spans="1:50">
      <c r="A859" s="1" t="s">
        <v>82</v>
      </c>
      <c r="B859" t="s">
        <v>163</v>
      </c>
      <c r="C859" t="s">
        <v>4069</v>
      </c>
      <c r="D859" t="s">
        <v>294</v>
      </c>
      <c r="F859" t="s">
        <v>492</v>
      </c>
      <c r="G859" t="s">
        <v>8282</v>
      </c>
      <c r="H859" t="s">
        <v>9420</v>
      </c>
      <c r="I859" t="s">
        <v>11130</v>
      </c>
      <c r="J859" t="s">
        <v>1644</v>
      </c>
      <c r="K859">
        <v>11233</v>
      </c>
      <c r="L859" t="s">
        <v>1670</v>
      </c>
      <c r="M859" t="s">
        <v>1670</v>
      </c>
      <c r="O859" t="s">
        <v>1937</v>
      </c>
      <c r="P859" t="s">
        <v>1962</v>
      </c>
      <c r="R859" t="s">
        <v>50</v>
      </c>
      <c r="S859" t="s">
        <v>1670</v>
      </c>
      <c r="U859" t="s">
        <v>1972</v>
      </c>
      <c r="V859" t="s">
        <v>1984</v>
      </c>
      <c r="W859" t="s">
        <v>221</v>
      </c>
      <c r="X859">
        <v>1133</v>
      </c>
      <c r="Y859" t="s">
        <v>2009</v>
      </c>
      <c r="Z859" t="s">
        <v>2016</v>
      </c>
      <c r="AB859" t="s">
        <v>13654</v>
      </c>
      <c r="AD859" t="s">
        <v>16133</v>
      </c>
      <c r="AE859">
        <v>764</v>
      </c>
      <c r="AF859" t="s">
        <v>2902</v>
      </c>
      <c r="AG859" t="s">
        <v>1754</v>
      </c>
      <c r="AH859">
        <v>36</v>
      </c>
      <c r="AI859">
        <v>2</v>
      </c>
      <c r="AJ859">
        <v>0</v>
      </c>
      <c r="AK859">
        <v>674.16</v>
      </c>
      <c r="AN859" t="s">
        <v>2926</v>
      </c>
      <c r="AO859">
        <v>114000</v>
      </c>
      <c r="AP859" t="s">
        <v>18214</v>
      </c>
      <c r="AU859" t="s">
        <v>13051</v>
      </c>
      <c r="AW859" t="s">
        <v>3059</v>
      </c>
    </row>
    <row r="860" spans="1:50">
      <c r="A860" s="1" t="s">
        <v>98</v>
      </c>
      <c r="B860" t="s">
        <v>164</v>
      </c>
      <c r="C860" t="s">
        <v>4070</v>
      </c>
      <c r="D860" t="s">
        <v>1993</v>
      </c>
      <c r="E860" t="s">
        <v>254</v>
      </c>
      <c r="F860" t="s">
        <v>7185</v>
      </c>
      <c r="G860" t="s">
        <v>1006</v>
      </c>
      <c r="H860" t="s">
        <v>1333</v>
      </c>
      <c r="I860" t="s">
        <v>1522</v>
      </c>
      <c r="J860" t="s">
        <v>1641</v>
      </c>
      <c r="K860">
        <v>10455</v>
      </c>
      <c r="L860" t="s">
        <v>1670</v>
      </c>
      <c r="M860" t="s">
        <v>1670</v>
      </c>
      <c r="O860" t="s">
        <v>1675</v>
      </c>
      <c r="P860" t="s">
        <v>1962</v>
      </c>
      <c r="Q860" t="s">
        <v>1968</v>
      </c>
      <c r="R860" t="s">
        <v>50</v>
      </c>
      <c r="S860" t="s">
        <v>1671</v>
      </c>
      <c r="U860" t="s">
        <v>1972</v>
      </c>
      <c r="W860" t="s">
        <v>1993</v>
      </c>
      <c r="X860">
        <v>1775</v>
      </c>
      <c r="Y860" t="s">
        <v>2006</v>
      </c>
      <c r="Z860" t="s">
        <v>2015</v>
      </c>
      <c r="AA860" t="s">
        <v>2029</v>
      </c>
      <c r="AB860" t="s">
        <v>13655</v>
      </c>
      <c r="AE860">
        <v>54</v>
      </c>
      <c r="AF860" t="s">
        <v>2902</v>
      </c>
      <c r="AG860" t="s">
        <v>1754</v>
      </c>
      <c r="AH860">
        <v>2</v>
      </c>
      <c r="AI860">
        <v>2</v>
      </c>
      <c r="AJ860">
        <v>0</v>
      </c>
      <c r="AK860">
        <v>686.51</v>
      </c>
      <c r="AN860" t="s">
        <v>2926</v>
      </c>
      <c r="AO860">
        <v>113000</v>
      </c>
      <c r="AU860">
        <v>2.5</v>
      </c>
      <c r="AV860" t="s">
        <v>254</v>
      </c>
      <c r="AW860" t="s">
        <v>98</v>
      </c>
    </row>
    <row r="861" spans="1:50">
      <c r="A861" s="1" t="s">
        <v>82</v>
      </c>
      <c r="B861" t="s">
        <v>163</v>
      </c>
      <c r="C861" t="s">
        <v>4071</v>
      </c>
      <c r="D861" t="s">
        <v>330</v>
      </c>
      <c r="F861" t="s">
        <v>492</v>
      </c>
      <c r="G861" t="s">
        <v>8282</v>
      </c>
      <c r="H861" t="s">
        <v>9420</v>
      </c>
      <c r="I861" t="s">
        <v>11130</v>
      </c>
      <c r="J861" t="s">
        <v>1644</v>
      </c>
      <c r="K861">
        <v>11233</v>
      </c>
      <c r="L861" t="s">
        <v>1670</v>
      </c>
      <c r="M861" t="s">
        <v>1670</v>
      </c>
      <c r="N861" t="s">
        <v>1675</v>
      </c>
      <c r="O861" t="s">
        <v>1938</v>
      </c>
      <c r="P861" t="s">
        <v>1959</v>
      </c>
      <c r="R861" t="s">
        <v>50</v>
      </c>
      <c r="S861" t="s">
        <v>1670</v>
      </c>
      <c r="U861" t="s">
        <v>1972</v>
      </c>
      <c r="V861" t="s">
        <v>1984</v>
      </c>
      <c r="W861" t="s">
        <v>6769</v>
      </c>
      <c r="X861">
        <v>1133</v>
      </c>
      <c r="Y861" t="s">
        <v>2009</v>
      </c>
      <c r="Z861" t="s">
        <v>2021</v>
      </c>
      <c r="AB861" t="s">
        <v>13654</v>
      </c>
      <c r="AD861" t="s">
        <v>16133</v>
      </c>
      <c r="AE861">
        <v>764</v>
      </c>
      <c r="AF861" t="s">
        <v>2902</v>
      </c>
      <c r="AG861" t="s">
        <v>1754</v>
      </c>
      <c r="AH861">
        <v>36</v>
      </c>
      <c r="AI861">
        <v>2</v>
      </c>
      <c r="AJ861">
        <v>0</v>
      </c>
      <c r="AK861">
        <v>692.59</v>
      </c>
      <c r="AN861" t="s">
        <v>2926</v>
      </c>
      <c r="AO861">
        <v>114000</v>
      </c>
      <c r="AU861" t="s">
        <v>13051</v>
      </c>
      <c r="AW861" t="s">
        <v>3059</v>
      </c>
    </row>
    <row r="862" spans="1:50">
      <c r="A862" s="1" t="s">
        <v>99</v>
      </c>
      <c r="B862" t="s">
        <v>163</v>
      </c>
      <c r="C862" t="s">
        <v>4072</v>
      </c>
      <c r="D862" t="s">
        <v>212</v>
      </c>
      <c r="F862" t="s">
        <v>7186</v>
      </c>
      <c r="G862" t="s">
        <v>8283</v>
      </c>
      <c r="H862" t="s">
        <v>9703</v>
      </c>
      <c r="I862" t="s">
        <v>1487</v>
      </c>
      <c r="J862" t="s">
        <v>1665</v>
      </c>
      <c r="K862">
        <v>11374</v>
      </c>
      <c r="L862" t="s">
        <v>1670</v>
      </c>
      <c r="M862" t="s">
        <v>1670</v>
      </c>
      <c r="N862" t="s">
        <v>1691</v>
      </c>
      <c r="O862" t="s">
        <v>1675</v>
      </c>
      <c r="P862" t="s">
        <v>1958</v>
      </c>
      <c r="R862" t="s">
        <v>51</v>
      </c>
      <c r="S862" t="s">
        <v>1671</v>
      </c>
      <c r="U862" t="s">
        <v>1972</v>
      </c>
      <c r="V862" t="s">
        <v>1984</v>
      </c>
      <c r="W862" t="s">
        <v>212</v>
      </c>
      <c r="X862">
        <v>2175</v>
      </c>
      <c r="Y862" t="s">
        <v>2007</v>
      </c>
      <c r="Z862" t="s">
        <v>2012</v>
      </c>
      <c r="AB862" t="s">
        <v>13656</v>
      </c>
      <c r="AC862" t="s">
        <v>15091</v>
      </c>
      <c r="AD862" t="s">
        <v>16134</v>
      </c>
      <c r="AE862">
        <v>181</v>
      </c>
      <c r="AF862" t="s">
        <v>2903</v>
      </c>
      <c r="AG862" t="s">
        <v>1754</v>
      </c>
      <c r="AH862">
        <v>1</v>
      </c>
      <c r="AI862">
        <v>1</v>
      </c>
      <c r="AJ862">
        <v>0</v>
      </c>
      <c r="AK862">
        <v>696.5599999999999</v>
      </c>
      <c r="AL862" t="s">
        <v>2923</v>
      </c>
      <c r="AM862" t="s">
        <v>2924</v>
      </c>
      <c r="AN862" t="s">
        <v>2927</v>
      </c>
      <c r="AO862">
        <v>87000</v>
      </c>
      <c r="AU862">
        <v>1.6</v>
      </c>
      <c r="AV862" t="s">
        <v>171</v>
      </c>
      <c r="AW862" t="s">
        <v>99</v>
      </c>
    </row>
    <row r="863" spans="1:50">
      <c r="A863" s="1" t="s">
        <v>82</v>
      </c>
      <c r="B863" t="s">
        <v>163</v>
      </c>
      <c r="C863" t="s">
        <v>4073</v>
      </c>
      <c r="D863" t="s">
        <v>294</v>
      </c>
      <c r="F863" t="s">
        <v>6940</v>
      </c>
      <c r="G863" t="s">
        <v>8284</v>
      </c>
      <c r="H863" t="s">
        <v>1144</v>
      </c>
      <c r="I863" t="s">
        <v>11015</v>
      </c>
      <c r="J863" t="s">
        <v>1644</v>
      </c>
      <c r="K863">
        <v>11233</v>
      </c>
      <c r="L863" t="s">
        <v>1670</v>
      </c>
      <c r="M863" t="s">
        <v>1671</v>
      </c>
      <c r="N863" t="s">
        <v>1691</v>
      </c>
      <c r="O863" t="s">
        <v>1938</v>
      </c>
      <c r="P863" t="s">
        <v>1961</v>
      </c>
      <c r="R863" t="s">
        <v>50</v>
      </c>
      <c r="S863" t="s">
        <v>1670</v>
      </c>
      <c r="U863" t="s">
        <v>1972</v>
      </c>
      <c r="V863" t="s">
        <v>1984</v>
      </c>
      <c r="W863" t="s">
        <v>248</v>
      </c>
      <c r="X863">
        <v>1195</v>
      </c>
      <c r="Y863" t="s">
        <v>2009</v>
      </c>
      <c r="AB863" t="s">
        <v>2223</v>
      </c>
      <c r="AC863" t="s">
        <v>1754</v>
      </c>
      <c r="AE863">
        <v>359</v>
      </c>
      <c r="AF863" t="s">
        <v>2902</v>
      </c>
      <c r="AG863" t="s">
        <v>1754</v>
      </c>
      <c r="AH863">
        <v>30</v>
      </c>
      <c r="AI863">
        <v>2</v>
      </c>
      <c r="AJ863">
        <v>0</v>
      </c>
      <c r="AK863">
        <v>696.9400000000001</v>
      </c>
      <c r="AN863" t="s">
        <v>2926</v>
      </c>
      <c r="AO863">
        <v>117853</v>
      </c>
      <c r="AP863" t="s">
        <v>18076</v>
      </c>
      <c r="AU863" t="s">
        <v>13051</v>
      </c>
      <c r="AW863" t="s">
        <v>3060</v>
      </c>
      <c r="AX863" t="s">
        <v>1754</v>
      </c>
    </row>
    <row r="864" spans="1:50">
      <c r="A864" s="1" t="s">
        <v>94</v>
      </c>
      <c r="B864" t="s">
        <v>163</v>
      </c>
      <c r="C864" t="s">
        <v>4074</v>
      </c>
      <c r="D864" t="s">
        <v>186</v>
      </c>
      <c r="F864" t="s">
        <v>1002</v>
      </c>
      <c r="G864" t="s">
        <v>8285</v>
      </c>
      <c r="H864" t="s">
        <v>9541</v>
      </c>
      <c r="I864">
        <v>52</v>
      </c>
      <c r="J864" t="s">
        <v>1643</v>
      </c>
      <c r="K864">
        <v>10034</v>
      </c>
      <c r="L864" t="s">
        <v>1670</v>
      </c>
      <c r="M864" t="s">
        <v>1670</v>
      </c>
      <c r="O864" t="s">
        <v>1939</v>
      </c>
      <c r="P864" t="s">
        <v>1963</v>
      </c>
      <c r="R864" t="s">
        <v>50</v>
      </c>
      <c r="S864" t="s">
        <v>1670</v>
      </c>
      <c r="U864" t="s">
        <v>1972</v>
      </c>
      <c r="W864" t="s">
        <v>186</v>
      </c>
      <c r="X864">
        <v>1818.44</v>
      </c>
      <c r="Y864" t="s">
        <v>2008</v>
      </c>
      <c r="Z864" t="s">
        <v>2013</v>
      </c>
      <c r="AB864" t="s">
        <v>13657</v>
      </c>
      <c r="AD864" t="s">
        <v>16135</v>
      </c>
      <c r="AE864">
        <v>20</v>
      </c>
      <c r="AF864" t="s">
        <v>2902</v>
      </c>
      <c r="AG864" t="s">
        <v>1754</v>
      </c>
      <c r="AH864">
        <v>12</v>
      </c>
      <c r="AI864">
        <v>4</v>
      </c>
      <c r="AJ864">
        <v>0</v>
      </c>
      <c r="AK864">
        <v>701.75</v>
      </c>
      <c r="AN864" t="s">
        <v>2926</v>
      </c>
      <c r="AO864">
        <v>180700</v>
      </c>
      <c r="AU864" t="s">
        <v>13051</v>
      </c>
      <c r="AW864" t="s">
        <v>3075</v>
      </c>
    </row>
    <row r="865" spans="1:50">
      <c r="A865" s="1" t="s">
        <v>135</v>
      </c>
      <c r="B865" t="s">
        <v>163</v>
      </c>
      <c r="C865" t="s">
        <v>4075</v>
      </c>
      <c r="D865" t="s">
        <v>382</v>
      </c>
      <c r="F865" t="s">
        <v>6996</v>
      </c>
      <c r="G865" t="s">
        <v>6979</v>
      </c>
      <c r="H865" t="s">
        <v>9425</v>
      </c>
      <c r="I865" t="s">
        <v>1525</v>
      </c>
      <c r="J865" t="s">
        <v>1644</v>
      </c>
      <c r="K865">
        <v>11216</v>
      </c>
      <c r="L865" t="s">
        <v>1670</v>
      </c>
      <c r="M865" t="s">
        <v>1670</v>
      </c>
      <c r="N865" t="s">
        <v>1675</v>
      </c>
      <c r="O865" t="s">
        <v>1675</v>
      </c>
      <c r="P865" t="s">
        <v>1962</v>
      </c>
      <c r="R865" t="s">
        <v>50</v>
      </c>
      <c r="S865" t="s">
        <v>1670</v>
      </c>
      <c r="U865" t="s">
        <v>1972</v>
      </c>
      <c r="V865" t="s">
        <v>1984</v>
      </c>
      <c r="W865" t="s">
        <v>247</v>
      </c>
      <c r="X865">
        <v>1450</v>
      </c>
      <c r="Y865" t="s">
        <v>2009</v>
      </c>
      <c r="Z865" t="s">
        <v>2016</v>
      </c>
      <c r="AB865" t="s">
        <v>13658</v>
      </c>
      <c r="AC865" t="s">
        <v>1754</v>
      </c>
      <c r="AD865" t="s">
        <v>16136</v>
      </c>
      <c r="AE865">
        <v>8</v>
      </c>
      <c r="AF865" t="s">
        <v>2902</v>
      </c>
      <c r="AG865" t="s">
        <v>1754</v>
      </c>
      <c r="AH865">
        <v>2</v>
      </c>
      <c r="AI865">
        <v>1</v>
      </c>
      <c r="AJ865">
        <v>0</v>
      </c>
      <c r="AK865">
        <v>708.4</v>
      </c>
      <c r="AM865" t="s">
        <v>18031</v>
      </c>
      <c r="AN865" t="s">
        <v>2926</v>
      </c>
      <c r="AO865">
        <v>86000</v>
      </c>
      <c r="AP865" t="s">
        <v>18215</v>
      </c>
      <c r="AU865" t="s">
        <v>13051</v>
      </c>
      <c r="AW865" t="s">
        <v>3060</v>
      </c>
    </row>
    <row r="866" spans="1:50">
      <c r="A866" s="1" t="s">
        <v>135</v>
      </c>
      <c r="B866" t="s">
        <v>163</v>
      </c>
      <c r="C866" t="s">
        <v>4076</v>
      </c>
      <c r="D866" t="s">
        <v>382</v>
      </c>
      <c r="F866" t="s">
        <v>6996</v>
      </c>
      <c r="G866" t="s">
        <v>6979</v>
      </c>
      <c r="H866" t="s">
        <v>9425</v>
      </c>
      <c r="I866" t="s">
        <v>1525</v>
      </c>
      <c r="J866" t="s">
        <v>1644</v>
      </c>
      <c r="K866">
        <v>11216</v>
      </c>
      <c r="L866" t="s">
        <v>1670</v>
      </c>
      <c r="M866" t="s">
        <v>1670</v>
      </c>
      <c r="N866" t="s">
        <v>11966</v>
      </c>
      <c r="O866" t="s">
        <v>1952</v>
      </c>
      <c r="P866" t="s">
        <v>1960</v>
      </c>
      <c r="R866" t="s">
        <v>50</v>
      </c>
      <c r="S866" t="s">
        <v>1670</v>
      </c>
      <c r="U866" t="s">
        <v>1972</v>
      </c>
      <c r="V866" t="s">
        <v>1984</v>
      </c>
      <c r="W866" t="s">
        <v>247</v>
      </c>
      <c r="X866">
        <v>1450</v>
      </c>
      <c r="Y866" t="s">
        <v>2009</v>
      </c>
      <c r="Z866" t="s">
        <v>2016</v>
      </c>
      <c r="AB866" t="s">
        <v>13658</v>
      </c>
      <c r="AC866" t="s">
        <v>1754</v>
      </c>
      <c r="AD866" t="s">
        <v>16136</v>
      </c>
      <c r="AE866">
        <v>8</v>
      </c>
      <c r="AF866" t="s">
        <v>2902</v>
      </c>
      <c r="AG866" t="s">
        <v>1754</v>
      </c>
      <c r="AH866">
        <v>2</v>
      </c>
      <c r="AI866">
        <v>1</v>
      </c>
      <c r="AJ866">
        <v>0</v>
      </c>
      <c r="AK866">
        <v>708.4</v>
      </c>
      <c r="AM866" t="s">
        <v>18031</v>
      </c>
      <c r="AN866" t="s">
        <v>2926</v>
      </c>
      <c r="AO866">
        <v>86000</v>
      </c>
      <c r="AP866" t="s">
        <v>18216</v>
      </c>
      <c r="AU866" t="s">
        <v>13051</v>
      </c>
      <c r="AW866" t="s">
        <v>3060</v>
      </c>
    </row>
    <row r="867" spans="1:50">
      <c r="A867" s="1" t="s">
        <v>52</v>
      </c>
      <c r="B867" t="s">
        <v>164</v>
      </c>
      <c r="C867" t="s">
        <v>4077</v>
      </c>
      <c r="D867" t="s">
        <v>326</v>
      </c>
      <c r="E867" t="s">
        <v>183</v>
      </c>
      <c r="F867" t="s">
        <v>7067</v>
      </c>
      <c r="G867" t="s">
        <v>8286</v>
      </c>
      <c r="H867" t="s">
        <v>9704</v>
      </c>
      <c r="I867">
        <v>22</v>
      </c>
      <c r="J867" t="s">
        <v>1641</v>
      </c>
      <c r="K867">
        <v>10452</v>
      </c>
      <c r="L867" t="s">
        <v>1670</v>
      </c>
      <c r="M867" t="s">
        <v>1671</v>
      </c>
      <c r="O867" t="s">
        <v>1936</v>
      </c>
      <c r="P867" t="s">
        <v>1958</v>
      </c>
      <c r="Q867" t="s">
        <v>1965</v>
      </c>
      <c r="R867" t="s">
        <v>50</v>
      </c>
      <c r="S867" t="s">
        <v>1671</v>
      </c>
      <c r="U867" t="s">
        <v>1972</v>
      </c>
      <c r="V867" t="s">
        <v>1983</v>
      </c>
      <c r="W867" t="s">
        <v>1991</v>
      </c>
      <c r="X867">
        <v>822</v>
      </c>
      <c r="Y867" t="s">
        <v>2006</v>
      </c>
      <c r="Z867" t="s">
        <v>2015</v>
      </c>
      <c r="AA867" t="s">
        <v>2029</v>
      </c>
      <c r="AB867" t="s">
        <v>13659</v>
      </c>
      <c r="AE867" t="s">
        <v>13051</v>
      </c>
      <c r="AF867" t="s">
        <v>2902</v>
      </c>
      <c r="AH867">
        <v>6</v>
      </c>
      <c r="AI867">
        <v>2</v>
      </c>
      <c r="AJ867">
        <v>0</v>
      </c>
      <c r="AK867">
        <v>709.64</v>
      </c>
      <c r="AN867" t="s">
        <v>2926</v>
      </c>
      <c r="AO867">
        <v>120000</v>
      </c>
      <c r="AP867" t="s">
        <v>18217</v>
      </c>
      <c r="AU867">
        <v>0.9</v>
      </c>
      <c r="AV867" t="s">
        <v>183</v>
      </c>
      <c r="AW867" t="s">
        <v>52</v>
      </c>
      <c r="AX867" t="s">
        <v>18685</v>
      </c>
    </row>
    <row r="868" spans="1:50">
      <c r="A868" s="1" t="s">
        <v>82</v>
      </c>
      <c r="B868" t="s">
        <v>163</v>
      </c>
      <c r="C868" t="s">
        <v>4078</v>
      </c>
      <c r="D868" t="s">
        <v>220</v>
      </c>
      <c r="F868" t="s">
        <v>7187</v>
      </c>
      <c r="G868" t="s">
        <v>8287</v>
      </c>
      <c r="H868" t="s">
        <v>1144</v>
      </c>
      <c r="I868" t="s">
        <v>1515</v>
      </c>
      <c r="J868" t="s">
        <v>1644</v>
      </c>
      <c r="K868">
        <v>11233</v>
      </c>
      <c r="L868" t="s">
        <v>1670</v>
      </c>
      <c r="M868" t="s">
        <v>1671</v>
      </c>
      <c r="O868" t="s">
        <v>1937</v>
      </c>
      <c r="P868" t="s">
        <v>1962</v>
      </c>
      <c r="R868" t="s">
        <v>50</v>
      </c>
      <c r="S868" t="s">
        <v>1670</v>
      </c>
      <c r="U868" t="s">
        <v>1972</v>
      </c>
      <c r="V868" t="s">
        <v>1984</v>
      </c>
      <c r="W868" t="s">
        <v>221</v>
      </c>
      <c r="X868" t="s">
        <v>13051</v>
      </c>
      <c r="Y868" t="s">
        <v>2009</v>
      </c>
      <c r="Z868" t="s">
        <v>2017</v>
      </c>
      <c r="AB868" t="s">
        <v>13660</v>
      </c>
      <c r="AE868">
        <v>359</v>
      </c>
      <c r="AF868" t="s">
        <v>2902</v>
      </c>
      <c r="AH868">
        <v>14</v>
      </c>
      <c r="AI868">
        <v>1</v>
      </c>
      <c r="AJ868">
        <v>0</v>
      </c>
      <c r="AK868">
        <v>720.58</v>
      </c>
      <c r="AN868" t="s">
        <v>2926</v>
      </c>
      <c r="AO868">
        <v>90000</v>
      </c>
      <c r="AP868" t="s">
        <v>18218</v>
      </c>
      <c r="AU868" t="s">
        <v>13051</v>
      </c>
      <c r="AW868" t="s">
        <v>3059</v>
      </c>
    </row>
    <row r="869" spans="1:50">
      <c r="A869" s="1" t="s">
        <v>82</v>
      </c>
      <c r="B869" t="s">
        <v>163</v>
      </c>
      <c r="C869" t="s">
        <v>4079</v>
      </c>
      <c r="D869" t="s">
        <v>220</v>
      </c>
      <c r="F869" t="s">
        <v>7187</v>
      </c>
      <c r="G869" t="s">
        <v>8287</v>
      </c>
      <c r="H869" t="s">
        <v>1144</v>
      </c>
      <c r="I869" t="s">
        <v>1515</v>
      </c>
      <c r="J869" t="s">
        <v>1644</v>
      </c>
      <c r="K869">
        <v>11233</v>
      </c>
      <c r="L869" t="s">
        <v>1670</v>
      </c>
      <c r="M869" t="s">
        <v>1671</v>
      </c>
      <c r="O869" t="s">
        <v>1938</v>
      </c>
      <c r="P869" t="s">
        <v>1961</v>
      </c>
      <c r="R869" t="s">
        <v>50</v>
      </c>
      <c r="S869" t="s">
        <v>1670</v>
      </c>
      <c r="U869" t="s">
        <v>1972</v>
      </c>
      <c r="V869" t="s">
        <v>1984</v>
      </c>
      <c r="W869" t="s">
        <v>248</v>
      </c>
      <c r="X869" t="s">
        <v>13051</v>
      </c>
      <c r="Y869" t="s">
        <v>2009</v>
      </c>
      <c r="AB869" t="s">
        <v>13660</v>
      </c>
      <c r="AE869">
        <v>359</v>
      </c>
      <c r="AF869" t="s">
        <v>2902</v>
      </c>
      <c r="AH869">
        <v>14</v>
      </c>
      <c r="AI869">
        <v>1</v>
      </c>
      <c r="AJ869">
        <v>0</v>
      </c>
      <c r="AK869">
        <v>720.58</v>
      </c>
      <c r="AN869" t="s">
        <v>2926</v>
      </c>
      <c r="AO869">
        <v>90000</v>
      </c>
      <c r="AP869" t="s">
        <v>18071</v>
      </c>
      <c r="AU869" t="s">
        <v>13051</v>
      </c>
      <c r="AW869" t="s">
        <v>3059</v>
      </c>
    </row>
    <row r="870" spans="1:50">
      <c r="A870" s="1" t="s">
        <v>58</v>
      </c>
      <c r="B870" t="s">
        <v>163</v>
      </c>
      <c r="C870" t="s">
        <v>4080</v>
      </c>
      <c r="D870" t="s">
        <v>248</v>
      </c>
      <c r="F870" t="s">
        <v>7188</v>
      </c>
      <c r="G870" t="s">
        <v>8288</v>
      </c>
      <c r="H870" t="s">
        <v>9604</v>
      </c>
      <c r="I870" t="s">
        <v>10972</v>
      </c>
      <c r="J870" t="s">
        <v>1641</v>
      </c>
      <c r="K870">
        <v>10461</v>
      </c>
      <c r="L870" t="s">
        <v>1670</v>
      </c>
      <c r="M870" t="s">
        <v>1670</v>
      </c>
      <c r="O870" t="s">
        <v>1938</v>
      </c>
      <c r="P870" t="s">
        <v>1962</v>
      </c>
      <c r="R870" t="s">
        <v>50</v>
      </c>
      <c r="S870" t="s">
        <v>1670</v>
      </c>
      <c r="U870" t="s">
        <v>1972</v>
      </c>
      <c r="W870" t="s">
        <v>220</v>
      </c>
      <c r="X870">
        <v>1410</v>
      </c>
      <c r="Y870" t="s">
        <v>2006</v>
      </c>
      <c r="Z870" t="s">
        <v>2028</v>
      </c>
      <c r="AB870" t="s">
        <v>13661</v>
      </c>
      <c r="AD870" t="s">
        <v>16137</v>
      </c>
      <c r="AE870">
        <v>125</v>
      </c>
      <c r="AF870" t="s">
        <v>2902</v>
      </c>
      <c r="AG870" t="s">
        <v>1754</v>
      </c>
      <c r="AH870">
        <v>4</v>
      </c>
      <c r="AI870">
        <v>1</v>
      </c>
      <c r="AJ870">
        <v>0</v>
      </c>
      <c r="AK870">
        <v>728.58</v>
      </c>
      <c r="AN870" t="s">
        <v>2926</v>
      </c>
      <c r="AO870">
        <v>91000</v>
      </c>
      <c r="AU870">
        <v>65</v>
      </c>
      <c r="AV870" t="s">
        <v>409</v>
      </c>
      <c r="AW870" t="s">
        <v>115</v>
      </c>
    </row>
    <row r="871" spans="1:50">
      <c r="A871" s="1" t="s">
        <v>54</v>
      </c>
      <c r="B871" t="s">
        <v>164</v>
      </c>
      <c r="C871" t="s">
        <v>4081</v>
      </c>
      <c r="D871" t="s">
        <v>180</v>
      </c>
      <c r="E871" t="s">
        <v>349</v>
      </c>
      <c r="F871" t="s">
        <v>6777</v>
      </c>
      <c r="G871" t="s">
        <v>8289</v>
      </c>
      <c r="H871" t="s">
        <v>9705</v>
      </c>
      <c r="I871" t="s">
        <v>1489</v>
      </c>
      <c r="J871" t="s">
        <v>1643</v>
      </c>
      <c r="K871">
        <v>10032</v>
      </c>
      <c r="L871" t="s">
        <v>1670</v>
      </c>
      <c r="M871" t="s">
        <v>1670</v>
      </c>
      <c r="O871" t="s">
        <v>1675</v>
      </c>
      <c r="P871" t="s">
        <v>1962</v>
      </c>
      <c r="Q871" t="s">
        <v>1968</v>
      </c>
      <c r="R871" t="s">
        <v>50</v>
      </c>
      <c r="S871" t="s">
        <v>1671</v>
      </c>
      <c r="U871" t="s">
        <v>1972</v>
      </c>
      <c r="W871" t="s">
        <v>180</v>
      </c>
      <c r="X871">
        <v>2861.25</v>
      </c>
      <c r="Y871" t="s">
        <v>2008</v>
      </c>
      <c r="Z871" t="s">
        <v>2013</v>
      </c>
      <c r="AA871" t="s">
        <v>2030</v>
      </c>
      <c r="AB871" t="s">
        <v>13662</v>
      </c>
      <c r="AD871" t="s">
        <v>16138</v>
      </c>
      <c r="AE871">
        <v>38</v>
      </c>
      <c r="AF871" t="s">
        <v>2902</v>
      </c>
      <c r="AG871" t="s">
        <v>1754</v>
      </c>
      <c r="AH871">
        <v>3</v>
      </c>
      <c r="AI871">
        <v>1</v>
      </c>
      <c r="AJ871">
        <v>0</v>
      </c>
      <c r="AK871">
        <v>733.11</v>
      </c>
      <c r="AN871" t="s">
        <v>2926</v>
      </c>
      <c r="AO871">
        <v>89000</v>
      </c>
      <c r="AU871">
        <v>1.5</v>
      </c>
      <c r="AV871" t="s">
        <v>349</v>
      </c>
      <c r="AW871" t="s">
        <v>3042</v>
      </c>
    </row>
    <row r="872" spans="1:50">
      <c r="A872" s="1" t="s">
        <v>135</v>
      </c>
      <c r="B872" t="s">
        <v>164</v>
      </c>
      <c r="C872" t="s">
        <v>4082</v>
      </c>
      <c r="D872" t="s">
        <v>349</v>
      </c>
      <c r="E872" t="s">
        <v>170</v>
      </c>
      <c r="F872" t="s">
        <v>530</v>
      </c>
      <c r="G872" t="s">
        <v>8177</v>
      </c>
      <c r="H872" t="s">
        <v>9425</v>
      </c>
      <c r="I872" t="s">
        <v>1602</v>
      </c>
      <c r="J872" t="s">
        <v>1644</v>
      </c>
      <c r="K872">
        <v>11216</v>
      </c>
      <c r="L872" t="s">
        <v>1670</v>
      </c>
      <c r="M872" t="s">
        <v>1670</v>
      </c>
      <c r="O872" t="s">
        <v>1675</v>
      </c>
      <c r="P872" t="s">
        <v>1962</v>
      </c>
      <c r="Q872" t="s">
        <v>1965</v>
      </c>
      <c r="R872" t="s">
        <v>50</v>
      </c>
      <c r="S872" t="s">
        <v>1670</v>
      </c>
      <c r="U872" t="s">
        <v>1972</v>
      </c>
      <c r="W872" t="s">
        <v>225</v>
      </c>
      <c r="X872">
        <v>1600</v>
      </c>
      <c r="Y872" t="s">
        <v>2009</v>
      </c>
      <c r="Z872" t="s">
        <v>2016</v>
      </c>
      <c r="AA872" t="s">
        <v>2029</v>
      </c>
      <c r="AB872" t="s">
        <v>13663</v>
      </c>
      <c r="AE872">
        <v>82</v>
      </c>
      <c r="AF872" t="s">
        <v>2902</v>
      </c>
      <c r="AG872" t="s">
        <v>1754</v>
      </c>
      <c r="AH872">
        <v>4</v>
      </c>
      <c r="AI872">
        <v>1</v>
      </c>
      <c r="AJ872">
        <v>0</v>
      </c>
      <c r="AK872">
        <v>741.35</v>
      </c>
      <c r="AN872" t="s">
        <v>2926</v>
      </c>
      <c r="AO872">
        <v>90000</v>
      </c>
      <c r="AU872">
        <v>0.1</v>
      </c>
      <c r="AV872" t="s">
        <v>170</v>
      </c>
      <c r="AW872" t="s">
        <v>3060</v>
      </c>
    </row>
    <row r="873" spans="1:50">
      <c r="A873" s="1" t="s">
        <v>94</v>
      </c>
      <c r="B873" t="s">
        <v>164</v>
      </c>
      <c r="C873" t="s">
        <v>4083</v>
      </c>
      <c r="D873" t="s">
        <v>167</v>
      </c>
      <c r="E873" t="s">
        <v>317</v>
      </c>
      <c r="F873" t="s">
        <v>7189</v>
      </c>
      <c r="G873" t="s">
        <v>8290</v>
      </c>
      <c r="H873" t="s">
        <v>9407</v>
      </c>
      <c r="I873" t="s">
        <v>1544</v>
      </c>
      <c r="J873" t="s">
        <v>1643</v>
      </c>
      <c r="K873">
        <v>10040</v>
      </c>
      <c r="L873" t="s">
        <v>1670</v>
      </c>
      <c r="M873" t="s">
        <v>1670</v>
      </c>
      <c r="O873" t="s">
        <v>1938</v>
      </c>
      <c r="P873" t="s">
        <v>1960</v>
      </c>
      <c r="Q873" t="s">
        <v>1969</v>
      </c>
      <c r="R873" t="s">
        <v>50</v>
      </c>
      <c r="S873" t="s">
        <v>1670</v>
      </c>
      <c r="U873" t="s">
        <v>1972</v>
      </c>
      <c r="W873" t="s">
        <v>167</v>
      </c>
      <c r="X873">
        <v>2145</v>
      </c>
      <c r="Y873" t="s">
        <v>2008</v>
      </c>
      <c r="Z873" t="s">
        <v>2013</v>
      </c>
      <c r="AA873" t="s">
        <v>2031</v>
      </c>
      <c r="AB873" t="s">
        <v>13637</v>
      </c>
      <c r="AD873" t="s">
        <v>16139</v>
      </c>
      <c r="AE873">
        <v>88</v>
      </c>
      <c r="AF873" t="s">
        <v>2902</v>
      </c>
      <c r="AG873" t="s">
        <v>1754</v>
      </c>
      <c r="AH873">
        <v>8</v>
      </c>
      <c r="AI873">
        <v>2</v>
      </c>
      <c r="AJ873">
        <v>1</v>
      </c>
      <c r="AK873">
        <v>745.91</v>
      </c>
      <c r="AN873" t="s">
        <v>2926</v>
      </c>
      <c r="AO873">
        <v>155000</v>
      </c>
      <c r="AU873">
        <v>0.1</v>
      </c>
      <c r="AV873" t="s">
        <v>317</v>
      </c>
      <c r="AW873" t="s">
        <v>3042</v>
      </c>
    </row>
    <row r="874" spans="1:50">
      <c r="A874" s="1" t="s">
        <v>100</v>
      </c>
      <c r="B874" t="s">
        <v>163</v>
      </c>
      <c r="C874" t="s">
        <v>4084</v>
      </c>
      <c r="D874" t="s">
        <v>354</v>
      </c>
      <c r="F874" t="s">
        <v>7029</v>
      </c>
      <c r="G874" t="s">
        <v>8291</v>
      </c>
      <c r="H874" t="s">
        <v>9706</v>
      </c>
      <c r="I874" t="s">
        <v>11101</v>
      </c>
      <c r="J874" t="s">
        <v>1643</v>
      </c>
      <c r="K874">
        <v>10033</v>
      </c>
      <c r="L874" t="s">
        <v>1670</v>
      </c>
      <c r="M874" t="s">
        <v>1672</v>
      </c>
      <c r="O874" t="s">
        <v>1941</v>
      </c>
      <c r="P874" t="s">
        <v>1958</v>
      </c>
      <c r="R874" t="s">
        <v>50</v>
      </c>
      <c r="S874" t="s">
        <v>1671</v>
      </c>
      <c r="U874" t="s">
        <v>1972</v>
      </c>
      <c r="W874" t="s">
        <v>354</v>
      </c>
      <c r="X874">
        <v>1800</v>
      </c>
      <c r="Y874" t="s">
        <v>2008</v>
      </c>
      <c r="Z874" t="s">
        <v>2013</v>
      </c>
      <c r="AB874" t="s">
        <v>13664</v>
      </c>
      <c r="AD874" t="s">
        <v>16140</v>
      </c>
      <c r="AE874">
        <v>689</v>
      </c>
      <c r="AF874" t="s">
        <v>2902</v>
      </c>
      <c r="AG874" t="s">
        <v>1754</v>
      </c>
      <c r="AH874">
        <v>5</v>
      </c>
      <c r="AI874">
        <v>1</v>
      </c>
      <c r="AJ874">
        <v>0</v>
      </c>
      <c r="AK874">
        <v>760.61</v>
      </c>
      <c r="AN874" t="s">
        <v>2926</v>
      </c>
      <c r="AO874">
        <v>95000</v>
      </c>
      <c r="AU874" t="s">
        <v>13051</v>
      </c>
      <c r="AW874" t="s">
        <v>3042</v>
      </c>
      <c r="AX874" t="s">
        <v>18685</v>
      </c>
    </row>
    <row r="875" spans="1:50">
      <c r="A875" s="1" t="s">
        <v>96</v>
      </c>
      <c r="B875" t="s">
        <v>163</v>
      </c>
      <c r="C875" t="s">
        <v>4085</v>
      </c>
      <c r="D875" t="s">
        <v>277</v>
      </c>
      <c r="F875" t="s">
        <v>7190</v>
      </c>
      <c r="G875" t="s">
        <v>8292</v>
      </c>
      <c r="H875" t="s">
        <v>9428</v>
      </c>
      <c r="J875" t="s">
        <v>1644</v>
      </c>
      <c r="K875">
        <v>11226</v>
      </c>
      <c r="L875" t="s">
        <v>1670</v>
      </c>
      <c r="M875" t="s">
        <v>1670</v>
      </c>
      <c r="N875" t="s">
        <v>12021</v>
      </c>
      <c r="O875" t="s">
        <v>1938</v>
      </c>
      <c r="P875" t="s">
        <v>1961</v>
      </c>
      <c r="R875" t="s">
        <v>50</v>
      </c>
      <c r="S875" t="s">
        <v>1670</v>
      </c>
      <c r="U875" t="s">
        <v>1972</v>
      </c>
      <c r="W875" t="s">
        <v>266</v>
      </c>
      <c r="X875">
        <v>2937</v>
      </c>
      <c r="Y875" t="s">
        <v>2009</v>
      </c>
      <c r="Z875" t="s">
        <v>2013</v>
      </c>
      <c r="AB875" t="s">
        <v>13665</v>
      </c>
      <c r="AD875" t="s">
        <v>16141</v>
      </c>
      <c r="AE875">
        <v>43</v>
      </c>
      <c r="AF875" t="s">
        <v>2902</v>
      </c>
      <c r="AH875">
        <v>3</v>
      </c>
      <c r="AI875">
        <v>2</v>
      </c>
      <c r="AJ875">
        <v>1</v>
      </c>
      <c r="AK875">
        <v>761.84</v>
      </c>
      <c r="AN875" t="s">
        <v>2926</v>
      </c>
      <c r="AO875">
        <v>162500</v>
      </c>
      <c r="AQ875" t="s">
        <v>2976</v>
      </c>
      <c r="AU875">
        <v>0.1</v>
      </c>
      <c r="AV875" t="s">
        <v>409</v>
      </c>
      <c r="AW875" t="s">
        <v>158</v>
      </c>
      <c r="AX875" t="s">
        <v>18685</v>
      </c>
    </row>
    <row r="876" spans="1:50">
      <c r="A876" s="1" t="s">
        <v>97</v>
      </c>
      <c r="B876" t="s">
        <v>163</v>
      </c>
      <c r="C876" t="s">
        <v>4086</v>
      </c>
      <c r="D876" t="s">
        <v>201</v>
      </c>
      <c r="F876" t="s">
        <v>6914</v>
      </c>
      <c r="G876" t="s">
        <v>8293</v>
      </c>
      <c r="H876" t="s">
        <v>1216</v>
      </c>
      <c r="J876" t="s">
        <v>1643</v>
      </c>
      <c r="K876">
        <v>10034</v>
      </c>
      <c r="L876" t="s">
        <v>1670</v>
      </c>
      <c r="M876" t="s">
        <v>1670</v>
      </c>
      <c r="N876" t="s">
        <v>11864</v>
      </c>
      <c r="O876" t="s">
        <v>1939</v>
      </c>
      <c r="P876" t="s">
        <v>1960</v>
      </c>
      <c r="R876" t="s">
        <v>50</v>
      </c>
      <c r="S876" t="s">
        <v>1670</v>
      </c>
      <c r="U876" t="s">
        <v>1972</v>
      </c>
      <c r="W876" t="s">
        <v>201</v>
      </c>
      <c r="X876">
        <v>1920</v>
      </c>
      <c r="Y876" t="s">
        <v>2008</v>
      </c>
      <c r="Z876" t="s">
        <v>2013</v>
      </c>
      <c r="AB876" t="s">
        <v>13666</v>
      </c>
      <c r="AD876" t="s">
        <v>16142</v>
      </c>
      <c r="AE876">
        <v>67</v>
      </c>
      <c r="AF876" t="s">
        <v>2902</v>
      </c>
      <c r="AG876" t="s">
        <v>1754</v>
      </c>
      <c r="AH876">
        <v>1</v>
      </c>
      <c r="AI876">
        <v>1</v>
      </c>
      <c r="AJ876">
        <v>0</v>
      </c>
      <c r="AK876">
        <v>766.0599999999999</v>
      </c>
      <c r="AN876" t="s">
        <v>2926</v>
      </c>
      <c r="AO876">
        <v>93000</v>
      </c>
      <c r="AU876">
        <v>1.4</v>
      </c>
      <c r="AV876" t="s">
        <v>400</v>
      </c>
      <c r="AW876" t="s">
        <v>3042</v>
      </c>
      <c r="AX876" t="s">
        <v>18685</v>
      </c>
    </row>
    <row r="877" spans="1:50">
      <c r="A877" s="1" t="s">
        <v>61</v>
      </c>
      <c r="B877" t="s">
        <v>163</v>
      </c>
      <c r="C877" t="s">
        <v>4087</v>
      </c>
      <c r="D877" t="s">
        <v>6126</v>
      </c>
      <c r="F877" t="s">
        <v>530</v>
      </c>
      <c r="G877" t="s">
        <v>912</v>
      </c>
      <c r="H877" t="s">
        <v>9605</v>
      </c>
      <c r="I877" t="s">
        <v>11131</v>
      </c>
      <c r="J877" t="s">
        <v>1644</v>
      </c>
      <c r="K877">
        <v>11225</v>
      </c>
      <c r="L877" t="s">
        <v>1670</v>
      </c>
      <c r="M877" t="s">
        <v>1670</v>
      </c>
      <c r="N877" t="s">
        <v>11970</v>
      </c>
      <c r="O877" t="s">
        <v>1938</v>
      </c>
      <c r="P877" t="s">
        <v>1961</v>
      </c>
      <c r="R877" t="s">
        <v>50</v>
      </c>
      <c r="S877" t="s">
        <v>1670</v>
      </c>
      <c r="U877" t="s">
        <v>1972</v>
      </c>
      <c r="W877" t="s">
        <v>266</v>
      </c>
      <c r="X877">
        <v>1510</v>
      </c>
      <c r="Y877" t="s">
        <v>2009</v>
      </c>
      <c r="Z877" t="s">
        <v>2015</v>
      </c>
      <c r="AB877" t="s">
        <v>13667</v>
      </c>
      <c r="AD877" t="s">
        <v>16143</v>
      </c>
      <c r="AE877">
        <v>89</v>
      </c>
      <c r="AF877" t="s">
        <v>2902</v>
      </c>
      <c r="AH877">
        <v>5</v>
      </c>
      <c r="AI877">
        <v>1</v>
      </c>
      <c r="AJ877">
        <v>0</v>
      </c>
      <c r="AK877">
        <v>800.64</v>
      </c>
      <c r="AN877" t="s">
        <v>2926</v>
      </c>
      <c r="AO877">
        <v>100000</v>
      </c>
      <c r="AU877" t="s">
        <v>13051</v>
      </c>
      <c r="AW877" t="s">
        <v>158</v>
      </c>
    </row>
    <row r="878" spans="1:50">
      <c r="A878" s="1" t="s">
        <v>61</v>
      </c>
      <c r="B878" t="s">
        <v>163</v>
      </c>
      <c r="C878" t="s">
        <v>4088</v>
      </c>
      <c r="D878" t="s">
        <v>286</v>
      </c>
      <c r="F878" t="s">
        <v>530</v>
      </c>
      <c r="G878" t="s">
        <v>912</v>
      </c>
      <c r="H878" t="s">
        <v>9605</v>
      </c>
      <c r="I878" t="s">
        <v>11131</v>
      </c>
      <c r="J878" t="s">
        <v>1644</v>
      </c>
      <c r="K878">
        <v>11225</v>
      </c>
      <c r="L878" t="s">
        <v>1670</v>
      </c>
      <c r="M878" t="s">
        <v>1670</v>
      </c>
      <c r="N878" t="s">
        <v>11969</v>
      </c>
      <c r="O878" t="s">
        <v>1938</v>
      </c>
      <c r="P878" t="s">
        <v>1960</v>
      </c>
      <c r="R878" t="s">
        <v>50</v>
      </c>
      <c r="S878" t="s">
        <v>1670</v>
      </c>
      <c r="U878" t="s">
        <v>1972</v>
      </c>
      <c r="V878" t="s">
        <v>1984</v>
      </c>
      <c r="W878" t="s">
        <v>208</v>
      </c>
      <c r="X878">
        <v>1510</v>
      </c>
      <c r="Y878" t="s">
        <v>2009</v>
      </c>
      <c r="Z878" t="s">
        <v>2015</v>
      </c>
      <c r="AB878" t="s">
        <v>13667</v>
      </c>
      <c r="AD878" t="s">
        <v>16143</v>
      </c>
      <c r="AE878">
        <v>86</v>
      </c>
      <c r="AF878" t="s">
        <v>2902</v>
      </c>
      <c r="AH878">
        <v>5</v>
      </c>
      <c r="AI878">
        <v>1</v>
      </c>
      <c r="AJ878">
        <v>0</v>
      </c>
      <c r="AK878">
        <v>800.64</v>
      </c>
      <c r="AN878" t="s">
        <v>2926</v>
      </c>
      <c r="AO878">
        <v>100000</v>
      </c>
      <c r="AU878" t="s">
        <v>13051</v>
      </c>
      <c r="AW878" t="s">
        <v>158</v>
      </c>
    </row>
    <row r="879" spans="1:50">
      <c r="A879" s="1" t="s">
        <v>3157</v>
      </c>
      <c r="B879" t="s">
        <v>164</v>
      </c>
      <c r="C879" t="s">
        <v>4089</v>
      </c>
      <c r="D879" t="s">
        <v>404</v>
      </c>
      <c r="E879" t="s">
        <v>401</v>
      </c>
      <c r="F879" t="s">
        <v>6968</v>
      </c>
      <c r="G879" t="s">
        <v>8294</v>
      </c>
      <c r="H879" t="s">
        <v>1216</v>
      </c>
      <c r="I879" t="s">
        <v>1600</v>
      </c>
      <c r="J879" t="s">
        <v>1643</v>
      </c>
      <c r="K879">
        <v>10034</v>
      </c>
      <c r="L879" t="s">
        <v>1670</v>
      </c>
      <c r="M879" t="s">
        <v>1672</v>
      </c>
      <c r="O879" t="s">
        <v>1941</v>
      </c>
      <c r="P879" t="s">
        <v>1962</v>
      </c>
      <c r="Q879" t="s">
        <v>1968</v>
      </c>
      <c r="R879" t="s">
        <v>50</v>
      </c>
      <c r="S879" t="s">
        <v>1671</v>
      </c>
      <c r="U879" t="s">
        <v>1972</v>
      </c>
      <c r="W879" t="s">
        <v>404</v>
      </c>
      <c r="X879">
        <v>2300</v>
      </c>
      <c r="Y879" t="s">
        <v>2008</v>
      </c>
      <c r="Z879" t="s">
        <v>2013</v>
      </c>
      <c r="AA879" t="s">
        <v>2030</v>
      </c>
      <c r="AB879" t="s">
        <v>13668</v>
      </c>
      <c r="AD879" t="s">
        <v>16144</v>
      </c>
      <c r="AE879">
        <v>67</v>
      </c>
      <c r="AF879" t="s">
        <v>2902</v>
      </c>
      <c r="AG879" t="s">
        <v>1754</v>
      </c>
      <c r="AH879">
        <v>1</v>
      </c>
      <c r="AI879">
        <v>2</v>
      </c>
      <c r="AJ879">
        <v>0</v>
      </c>
      <c r="AK879">
        <v>810.17</v>
      </c>
      <c r="AN879" t="s">
        <v>2926</v>
      </c>
      <c r="AO879">
        <v>137000</v>
      </c>
      <c r="AU879">
        <v>0.25</v>
      </c>
      <c r="AV879" t="s">
        <v>379</v>
      </c>
      <c r="AW879" t="s">
        <v>3042</v>
      </c>
      <c r="AX879" t="s">
        <v>18685</v>
      </c>
    </row>
    <row r="880" spans="1:50">
      <c r="A880" s="1" t="s">
        <v>135</v>
      </c>
      <c r="B880" t="s">
        <v>163</v>
      </c>
      <c r="C880" t="s">
        <v>4090</v>
      </c>
      <c r="D880" t="s">
        <v>362</v>
      </c>
      <c r="F880" t="s">
        <v>7165</v>
      </c>
      <c r="G880" t="s">
        <v>8259</v>
      </c>
      <c r="H880" t="s">
        <v>9425</v>
      </c>
      <c r="I880" t="s">
        <v>1548</v>
      </c>
      <c r="J880" t="s">
        <v>1644</v>
      </c>
      <c r="K880">
        <v>11216</v>
      </c>
      <c r="L880" t="s">
        <v>1670</v>
      </c>
      <c r="M880" t="s">
        <v>1670</v>
      </c>
      <c r="N880" t="s">
        <v>1675</v>
      </c>
      <c r="O880" t="s">
        <v>1952</v>
      </c>
      <c r="P880" t="s">
        <v>1960</v>
      </c>
      <c r="R880" t="s">
        <v>50</v>
      </c>
      <c r="S880" t="s">
        <v>1670</v>
      </c>
      <c r="U880" t="s">
        <v>1972</v>
      </c>
      <c r="W880" t="s">
        <v>174</v>
      </c>
      <c r="X880">
        <v>2300</v>
      </c>
      <c r="Y880" t="s">
        <v>2009</v>
      </c>
      <c r="Z880" t="s">
        <v>2016</v>
      </c>
      <c r="AB880" t="s">
        <v>13615</v>
      </c>
      <c r="AD880" t="s">
        <v>16103</v>
      </c>
      <c r="AE880">
        <v>8</v>
      </c>
      <c r="AF880" t="s">
        <v>2902</v>
      </c>
      <c r="AG880" t="s">
        <v>1754</v>
      </c>
      <c r="AH880">
        <v>2</v>
      </c>
      <c r="AI880">
        <v>2</v>
      </c>
      <c r="AJ880">
        <v>0</v>
      </c>
      <c r="AK880">
        <v>820.17</v>
      </c>
      <c r="AL880" t="s">
        <v>218</v>
      </c>
      <c r="AM880" t="s">
        <v>18031</v>
      </c>
      <c r="AN880" t="s">
        <v>2926</v>
      </c>
      <c r="AO880">
        <v>135000</v>
      </c>
      <c r="AP880" t="s">
        <v>18069</v>
      </c>
      <c r="AU880" t="s">
        <v>13051</v>
      </c>
      <c r="AW880" t="s">
        <v>3060</v>
      </c>
    </row>
    <row r="881" spans="1:50">
      <c r="A881" s="1" t="s">
        <v>97</v>
      </c>
      <c r="B881" t="s">
        <v>164</v>
      </c>
      <c r="C881" t="s">
        <v>4091</v>
      </c>
      <c r="D881" t="s">
        <v>383</v>
      </c>
      <c r="E881" t="s">
        <v>306</v>
      </c>
      <c r="F881" t="s">
        <v>7191</v>
      </c>
      <c r="G881" t="s">
        <v>8295</v>
      </c>
      <c r="H881" t="s">
        <v>9707</v>
      </c>
      <c r="I881">
        <v>68</v>
      </c>
      <c r="J881" t="s">
        <v>1643</v>
      </c>
      <c r="K881">
        <v>10033</v>
      </c>
      <c r="L881" t="s">
        <v>1670</v>
      </c>
      <c r="M881" t="s">
        <v>1671</v>
      </c>
      <c r="O881" t="s">
        <v>1675</v>
      </c>
      <c r="P881" t="s">
        <v>1958</v>
      </c>
      <c r="Q881" t="s">
        <v>1965</v>
      </c>
      <c r="R881" t="s">
        <v>50</v>
      </c>
      <c r="S881" t="s">
        <v>1671</v>
      </c>
      <c r="U881" t="s">
        <v>1972</v>
      </c>
      <c r="W881" t="s">
        <v>301</v>
      </c>
      <c r="X881">
        <v>1190</v>
      </c>
      <c r="Y881" t="s">
        <v>2008</v>
      </c>
      <c r="Z881" t="s">
        <v>2013</v>
      </c>
      <c r="AA881" t="s">
        <v>2029</v>
      </c>
      <c r="AB881" t="s">
        <v>13669</v>
      </c>
      <c r="AD881" t="s">
        <v>16145</v>
      </c>
      <c r="AE881">
        <v>67</v>
      </c>
      <c r="AF881" t="s">
        <v>2902</v>
      </c>
      <c r="AG881" t="s">
        <v>1754</v>
      </c>
      <c r="AH881">
        <v>30</v>
      </c>
      <c r="AI881">
        <v>1</v>
      </c>
      <c r="AJ881">
        <v>0</v>
      </c>
      <c r="AK881">
        <v>823.72</v>
      </c>
      <c r="AN881" t="s">
        <v>2926</v>
      </c>
      <c r="AO881">
        <v>100000</v>
      </c>
      <c r="AU881">
        <v>1.5</v>
      </c>
      <c r="AV881" t="s">
        <v>196</v>
      </c>
      <c r="AW881" t="s">
        <v>3042</v>
      </c>
      <c r="AX881" t="s">
        <v>18685</v>
      </c>
    </row>
    <row r="882" spans="1:50">
      <c r="A882" s="1" t="s">
        <v>135</v>
      </c>
      <c r="B882" t="s">
        <v>163</v>
      </c>
      <c r="C882" t="s">
        <v>4092</v>
      </c>
      <c r="D882" t="s">
        <v>284</v>
      </c>
      <c r="F882" t="s">
        <v>7192</v>
      </c>
      <c r="G882" t="s">
        <v>8296</v>
      </c>
      <c r="H882" t="s">
        <v>9425</v>
      </c>
      <c r="I882" t="s">
        <v>1517</v>
      </c>
      <c r="J882" t="s">
        <v>1644</v>
      </c>
      <c r="K882">
        <v>11216</v>
      </c>
      <c r="L882" t="s">
        <v>1670</v>
      </c>
      <c r="M882" t="s">
        <v>1670</v>
      </c>
      <c r="O882" t="s">
        <v>1675</v>
      </c>
      <c r="P882" t="s">
        <v>1962</v>
      </c>
      <c r="R882" t="s">
        <v>50</v>
      </c>
      <c r="S882" t="s">
        <v>1670</v>
      </c>
      <c r="U882" t="s">
        <v>1972</v>
      </c>
      <c r="W882" t="s">
        <v>225</v>
      </c>
      <c r="X882">
        <v>1550</v>
      </c>
      <c r="Y882" t="s">
        <v>2009</v>
      </c>
      <c r="Z882" t="s">
        <v>2016</v>
      </c>
      <c r="AB882" t="s">
        <v>13670</v>
      </c>
      <c r="AE882">
        <v>82</v>
      </c>
      <c r="AF882" t="s">
        <v>2902</v>
      </c>
      <c r="AG882" t="s">
        <v>1754</v>
      </c>
      <c r="AH882">
        <v>1</v>
      </c>
      <c r="AI882">
        <v>1</v>
      </c>
      <c r="AJ882">
        <v>0</v>
      </c>
      <c r="AK882">
        <v>823.72</v>
      </c>
      <c r="AN882" t="s">
        <v>2926</v>
      </c>
      <c r="AO882">
        <v>100000</v>
      </c>
      <c r="AP882" t="s">
        <v>2953</v>
      </c>
      <c r="AU882" t="s">
        <v>13051</v>
      </c>
      <c r="AW882" t="s">
        <v>3060</v>
      </c>
    </row>
    <row r="883" spans="1:50">
      <c r="A883" s="1" t="s">
        <v>135</v>
      </c>
      <c r="B883" t="s">
        <v>163</v>
      </c>
      <c r="C883" t="s">
        <v>4093</v>
      </c>
      <c r="D883" t="s">
        <v>284</v>
      </c>
      <c r="F883" t="s">
        <v>7192</v>
      </c>
      <c r="G883" t="s">
        <v>8296</v>
      </c>
      <c r="H883" t="s">
        <v>9425</v>
      </c>
      <c r="I883" t="s">
        <v>1517</v>
      </c>
      <c r="J883" t="s">
        <v>1644</v>
      </c>
      <c r="K883">
        <v>11216</v>
      </c>
      <c r="L883" t="s">
        <v>1670</v>
      </c>
      <c r="M883" t="s">
        <v>1670</v>
      </c>
      <c r="O883" t="s">
        <v>1952</v>
      </c>
      <c r="P883" t="s">
        <v>1960</v>
      </c>
      <c r="R883" t="s">
        <v>50</v>
      </c>
      <c r="S883" t="s">
        <v>1670</v>
      </c>
      <c r="U883" t="s">
        <v>1972</v>
      </c>
      <c r="W883" t="s">
        <v>225</v>
      </c>
      <c r="X883">
        <v>1550</v>
      </c>
      <c r="Y883" t="s">
        <v>2009</v>
      </c>
      <c r="Z883" t="s">
        <v>2016</v>
      </c>
      <c r="AB883" t="s">
        <v>13670</v>
      </c>
      <c r="AE883">
        <v>82</v>
      </c>
      <c r="AF883" t="s">
        <v>2902</v>
      </c>
      <c r="AG883" t="s">
        <v>1754</v>
      </c>
      <c r="AH883">
        <v>1</v>
      </c>
      <c r="AI883">
        <v>1</v>
      </c>
      <c r="AJ883">
        <v>0</v>
      </c>
      <c r="AK883">
        <v>823.72</v>
      </c>
      <c r="AN883" t="s">
        <v>2926</v>
      </c>
      <c r="AO883">
        <v>100000</v>
      </c>
      <c r="AP883" t="s">
        <v>18219</v>
      </c>
      <c r="AU883" t="s">
        <v>13051</v>
      </c>
      <c r="AW883" t="s">
        <v>3060</v>
      </c>
    </row>
    <row r="884" spans="1:50">
      <c r="A884" s="1" t="s">
        <v>135</v>
      </c>
      <c r="B884" t="s">
        <v>163</v>
      </c>
      <c r="C884" t="s">
        <v>4094</v>
      </c>
      <c r="D884" t="s">
        <v>284</v>
      </c>
      <c r="F884" t="s">
        <v>7054</v>
      </c>
      <c r="G884" t="s">
        <v>8297</v>
      </c>
      <c r="H884" t="s">
        <v>9425</v>
      </c>
      <c r="I884" t="s">
        <v>1507</v>
      </c>
      <c r="J884" t="s">
        <v>1644</v>
      </c>
      <c r="K884">
        <v>11216</v>
      </c>
      <c r="L884" t="s">
        <v>1670</v>
      </c>
      <c r="M884" t="s">
        <v>1670</v>
      </c>
      <c r="O884" t="s">
        <v>1675</v>
      </c>
      <c r="P884" t="s">
        <v>1962</v>
      </c>
      <c r="R884" t="s">
        <v>50</v>
      </c>
      <c r="S884" t="s">
        <v>1670</v>
      </c>
      <c r="U884" t="s">
        <v>1972</v>
      </c>
      <c r="W884" t="s">
        <v>225</v>
      </c>
      <c r="X884">
        <v>1400</v>
      </c>
      <c r="Y884" t="s">
        <v>2009</v>
      </c>
      <c r="Z884" t="s">
        <v>2016</v>
      </c>
      <c r="AB884" t="s">
        <v>13671</v>
      </c>
      <c r="AD884" t="s">
        <v>16146</v>
      </c>
      <c r="AE884">
        <v>82</v>
      </c>
      <c r="AF884" t="s">
        <v>2902</v>
      </c>
      <c r="AG884" t="s">
        <v>1754</v>
      </c>
      <c r="AH884">
        <v>2</v>
      </c>
      <c r="AI884">
        <v>1</v>
      </c>
      <c r="AJ884">
        <v>0</v>
      </c>
      <c r="AK884">
        <v>838.59</v>
      </c>
      <c r="AN884" t="s">
        <v>2926</v>
      </c>
      <c r="AO884">
        <v>101805</v>
      </c>
      <c r="AP884" t="s">
        <v>2953</v>
      </c>
      <c r="AU884" t="s">
        <v>13051</v>
      </c>
      <c r="AW884" t="s">
        <v>3060</v>
      </c>
    </row>
    <row r="885" spans="1:50">
      <c r="A885" s="1" t="s">
        <v>135</v>
      </c>
      <c r="B885" t="s">
        <v>163</v>
      </c>
      <c r="C885" t="s">
        <v>4095</v>
      </c>
      <c r="D885" t="s">
        <v>284</v>
      </c>
      <c r="F885" t="s">
        <v>7054</v>
      </c>
      <c r="G885" t="s">
        <v>8297</v>
      </c>
      <c r="H885" t="s">
        <v>9425</v>
      </c>
      <c r="I885" t="s">
        <v>1507</v>
      </c>
      <c r="J885" t="s">
        <v>1644</v>
      </c>
      <c r="K885">
        <v>11216</v>
      </c>
      <c r="L885" t="s">
        <v>1670</v>
      </c>
      <c r="M885" t="s">
        <v>1670</v>
      </c>
      <c r="O885" t="s">
        <v>1952</v>
      </c>
      <c r="P885" t="s">
        <v>1960</v>
      </c>
      <c r="R885" t="s">
        <v>50</v>
      </c>
      <c r="S885" t="s">
        <v>1670</v>
      </c>
      <c r="U885" t="s">
        <v>1972</v>
      </c>
      <c r="W885" t="s">
        <v>225</v>
      </c>
      <c r="X885">
        <v>1400</v>
      </c>
      <c r="Y885" t="s">
        <v>2009</v>
      </c>
      <c r="Z885" t="s">
        <v>2016</v>
      </c>
      <c r="AB885" t="s">
        <v>13671</v>
      </c>
      <c r="AD885" t="s">
        <v>16146</v>
      </c>
      <c r="AE885">
        <v>82</v>
      </c>
      <c r="AF885" t="s">
        <v>2902</v>
      </c>
      <c r="AG885" t="s">
        <v>1754</v>
      </c>
      <c r="AH885">
        <v>2</v>
      </c>
      <c r="AI885">
        <v>1</v>
      </c>
      <c r="AJ885">
        <v>0</v>
      </c>
      <c r="AK885">
        <v>838.59</v>
      </c>
      <c r="AN885" t="s">
        <v>2926</v>
      </c>
      <c r="AO885">
        <v>101805</v>
      </c>
      <c r="AP885" t="s">
        <v>18220</v>
      </c>
      <c r="AU885" t="s">
        <v>13051</v>
      </c>
      <c r="AW885" t="s">
        <v>3060</v>
      </c>
    </row>
    <row r="886" spans="1:50">
      <c r="A886" s="1" t="s">
        <v>91</v>
      </c>
      <c r="B886" t="s">
        <v>163</v>
      </c>
      <c r="C886" t="s">
        <v>4096</v>
      </c>
      <c r="D886" t="s">
        <v>405</v>
      </c>
      <c r="F886" t="s">
        <v>7193</v>
      </c>
      <c r="G886" t="s">
        <v>943</v>
      </c>
      <c r="H886" t="s">
        <v>9708</v>
      </c>
      <c r="I886" t="s">
        <v>1517</v>
      </c>
      <c r="J886" t="s">
        <v>1643</v>
      </c>
      <c r="K886">
        <v>10034</v>
      </c>
      <c r="L886" t="s">
        <v>1670</v>
      </c>
      <c r="M886" t="s">
        <v>1672</v>
      </c>
      <c r="O886" t="s">
        <v>1939</v>
      </c>
      <c r="P886" t="s">
        <v>1958</v>
      </c>
      <c r="R886" t="s">
        <v>50</v>
      </c>
      <c r="S886" t="s">
        <v>1671</v>
      </c>
      <c r="U886" t="s">
        <v>1972</v>
      </c>
      <c r="W886" t="s">
        <v>405</v>
      </c>
      <c r="X886">
        <v>2450</v>
      </c>
      <c r="Y886" t="s">
        <v>2008</v>
      </c>
      <c r="Z886" t="s">
        <v>2013</v>
      </c>
      <c r="AB886" t="s">
        <v>13672</v>
      </c>
      <c r="AD886" t="s">
        <v>16147</v>
      </c>
      <c r="AE886">
        <v>47</v>
      </c>
      <c r="AF886" t="s">
        <v>2902</v>
      </c>
      <c r="AG886" t="s">
        <v>1754</v>
      </c>
      <c r="AH886">
        <v>3</v>
      </c>
      <c r="AI886">
        <v>2</v>
      </c>
      <c r="AJ886">
        <v>1</v>
      </c>
      <c r="AK886">
        <v>839.1900000000001</v>
      </c>
      <c r="AN886" t="s">
        <v>2926</v>
      </c>
      <c r="AO886">
        <v>179000</v>
      </c>
      <c r="AU886">
        <v>1.1</v>
      </c>
      <c r="AV886" t="s">
        <v>405</v>
      </c>
      <c r="AW886" t="s">
        <v>3042</v>
      </c>
      <c r="AX886" t="s">
        <v>18685</v>
      </c>
    </row>
    <row r="887" spans="1:50">
      <c r="A887" s="1" t="s">
        <v>97</v>
      </c>
      <c r="B887" t="s">
        <v>163</v>
      </c>
      <c r="C887" t="s">
        <v>4097</v>
      </c>
      <c r="D887" t="s">
        <v>201</v>
      </c>
      <c r="F887" t="s">
        <v>7194</v>
      </c>
      <c r="G887" t="s">
        <v>8298</v>
      </c>
      <c r="H887" t="s">
        <v>1216</v>
      </c>
      <c r="I887" t="s">
        <v>1550</v>
      </c>
      <c r="J887" t="s">
        <v>1643</v>
      </c>
      <c r="K887">
        <v>10034</v>
      </c>
      <c r="L887" t="s">
        <v>1670</v>
      </c>
      <c r="M887" t="s">
        <v>1670</v>
      </c>
      <c r="N887" t="s">
        <v>11864</v>
      </c>
      <c r="O887" t="s">
        <v>1939</v>
      </c>
      <c r="P887" t="s">
        <v>1960</v>
      </c>
      <c r="R887" t="s">
        <v>50</v>
      </c>
      <c r="S887" t="s">
        <v>1670</v>
      </c>
      <c r="U887" t="s">
        <v>1972</v>
      </c>
      <c r="W887" t="s">
        <v>201</v>
      </c>
      <c r="X887">
        <v>1589.4</v>
      </c>
      <c r="Y887" t="s">
        <v>2008</v>
      </c>
      <c r="Z887" t="s">
        <v>2013</v>
      </c>
      <c r="AB887" t="s">
        <v>13673</v>
      </c>
      <c r="AD887" t="s">
        <v>16148</v>
      </c>
      <c r="AE887">
        <v>67</v>
      </c>
      <c r="AF887" t="s">
        <v>2902</v>
      </c>
      <c r="AG887" t="s">
        <v>1754</v>
      </c>
      <c r="AH887">
        <v>4</v>
      </c>
      <c r="AI887">
        <v>1</v>
      </c>
      <c r="AJ887">
        <v>0</v>
      </c>
      <c r="AK887">
        <v>864.91</v>
      </c>
      <c r="AN887" t="s">
        <v>2926</v>
      </c>
      <c r="AO887">
        <v>105000</v>
      </c>
      <c r="AU887">
        <v>0.4</v>
      </c>
      <c r="AV887" t="s">
        <v>298</v>
      </c>
      <c r="AW887" t="s">
        <v>3042</v>
      </c>
      <c r="AX887" t="s">
        <v>18685</v>
      </c>
    </row>
    <row r="888" spans="1:50">
      <c r="A888" s="1" t="s">
        <v>135</v>
      </c>
      <c r="B888" t="s">
        <v>163</v>
      </c>
      <c r="C888" t="s">
        <v>4098</v>
      </c>
      <c r="D888" t="s">
        <v>284</v>
      </c>
      <c r="F888" t="s">
        <v>7195</v>
      </c>
      <c r="G888" t="s">
        <v>8299</v>
      </c>
      <c r="H888" t="s">
        <v>9425</v>
      </c>
      <c r="I888" t="s">
        <v>11130</v>
      </c>
      <c r="J888" t="s">
        <v>1644</v>
      </c>
      <c r="K888">
        <v>11216</v>
      </c>
      <c r="L888" t="s">
        <v>1670</v>
      </c>
      <c r="M888" t="s">
        <v>1670</v>
      </c>
      <c r="O888" t="s">
        <v>1675</v>
      </c>
      <c r="P888" t="s">
        <v>1962</v>
      </c>
      <c r="R888" t="s">
        <v>50</v>
      </c>
      <c r="S888" t="s">
        <v>1670</v>
      </c>
      <c r="U888" t="s">
        <v>1972</v>
      </c>
      <c r="W888" t="s">
        <v>225</v>
      </c>
      <c r="X888">
        <v>1450</v>
      </c>
      <c r="Y888" t="s">
        <v>2009</v>
      </c>
      <c r="Z888" t="s">
        <v>2016</v>
      </c>
      <c r="AB888" t="s">
        <v>13674</v>
      </c>
      <c r="AD888" t="s">
        <v>16149</v>
      </c>
      <c r="AE888">
        <v>82</v>
      </c>
      <c r="AF888" t="s">
        <v>2902</v>
      </c>
      <c r="AG888" t="s">
        <v>1754</v>
      </c>
      <c r="AH888" t="s">
        <v>13051</v>
      </c>
      <c r="AI888">
        <v>1</v>
      </c>
      <c r="AJ888">
        <v>0</v>
      </c>
      <c r="AK888">
        <v>873.15</v>
      </c>
      <c r="AN888" t="s">
        <v>18040</v>
      </c>
      <c r="AO888">
        <v>106000</v>
      </c>
      <c r="AP888" t="s">
        <v>2953</v>
      </c>
      <c r="AU888" t="s">
        <v>13051</v>
      </c>
      <c r="AW888" t="s">
        <v>3060</v>
      </c>
    </row>
    <row r="889" spans="1:50">
      <c r="A889" s="1" t="s">
        <v>135</v>
      </c>
      <c r="B889" t="s">
        <v>163</v>
      </c>
      <c r="C889" t="s">
        <v>4099</v>
      </c>
      <c r="D889" t="s">
        <v>284</v>
      </c>
      <c r="F889" t="s">
        <v>7195</v>
      </c>
      <c r="G889" t="s">
        <v>8299</v>
      </c>
      <c r="H889" t="s">
        <v>9425</v>
      </c>
      <c r="I889" t="s">
        <v>11130</v>
      </c>
      <c r="J889" t="s">
        <v>1644</v>
      </c>
      <c r="K889">
        <v>11216</v>
      </c>
      <c r="L889" t="s">
        <v>1670</v>
      </c>
      <c r="M889" t="s">
        <v>1670</v>
      </c>
      <c r="O889" t="s">
        <v>1952</v>
      </c>
      <c r="P889" t="s">
        <v>1960</v>
      </c>
      <c r="R889" t="s">
        <v>50</v>
      </c>
      <c r="S889" t="s">
        <v>1670</v>
      </c>
      <c r="U889" t="s">
        <v>1972</v>
      </c>
      <c r="W889" t="s">
        <v>225</v>
      </c>
      <c r="X889">
        <v>1450</v>
      </c>
      <c r="Y889" t="s">
        <v>2009</v>
      </c>
      <c r="Z889" t="s">
        <v>2016</v>
      </c>
      <c r="AB889" t="s">
        <v>13674</v>
      </c>
      <c r="AD889" t="s">
        <v>16149</v>
      </c>
      <c r="AE889" t="s">
        <v>13051</v>
      </c>
      <c r="AF889" t="s">
        <v>2902</v>
      </c>
      <c r="AG889" t="s">
        <v>1754</v>
      </c>
      <c r="AH889" t="s">
        <v>13051</v>
      </c>
      <c r="AI889">
        <v>1</v>
      </c>
      <c r="AJ889">
        <v>0</v>
      </c>
      <c r="AK889">
        <v>873.15</v>
      </c>
      <c r="AN889" t="s">
        <v>18040</v>
      </c>
      <c r="AO889">
        <v>106000</v>
      </c>
      <c r="AP889" t="s">
        <v>18221</v>
      </c>
      <c r="AU889" t="s">
        <v>13051</v>
      </c>
      <c r="AW889" t="s">
        <v>3060</v>
      </c>
    </row>
    <row r="890" spans="1:50">
      <c r="A890" s="1" t="s">
        <v>64</v>
      </c>
      <c r="B890" t="s">
        <v>164</v>
      </c>
      <c r="C890" t="s">
        <v>4100</v>
      </c>
      <c r="D890" t="s">
        <v>288</v>
      </c>
      <c r="E890" t="s">
        <v>281</v>
      </c>
      <c r="F890" t="s">
        <v>7196</v>
      </c>
      <c r="G890" t="s">
        <v>8300</v>
      </c>
      <c r="H890" t="s">
        <v>9709</v>
      </c>
      <c r="I890" t="s">
        <v>1508</v>
      </c>
      <c r="J890" t="s">
        <v>1643</v>
      </c>
      <c r="K890">
        <v>10040</v>
      </c>
      <c r="L890" t="s">
        <v>1670</v>
      </c>
      <c r="M890" t="s">
        <v>1670</v>
      </c>
      <c r="O890" t="s">
        <v>1940</v>
      </c>
      <c r="P890" t="s">
        <v>1958</v>
      </c>
      <c r="Q890" t="s">
        <v>1965</v>
      </c>
      <c r="R890" t="s">
        <v>50</v>
      </c>
      <c r="S890" t="s">
        <v>1671</v>
      </c>
      <c r="U890" t="s">
        <v>1972</v>
      </c>
      <c r="W890" t="s">
        <v>187</v>
      </c>
      <c r="X890">
        <v>250</v>
      </c>
      <c r="Y890" t="s">
        <v>2008</v>
      </c>
      <c r="Z890" t="s">
        <v>2013</v>
      </c>
      <c r="AA890" t="s">
        <v>2029</v>
      </c>
      <c r="AB890" t="s">
        <v>13675</v>
      </c>
      <c r="AD890" t="s">
        <v>16150</v>
      </c>
      <c r="AE890">
        <v>85</v>
      </c>
      <c r="AF890" t="s">
        <v>2902</v>
      </c>
      <c r="AG890" t="s">
        <v>1754</v>
      </c>
      <c r="AH890">
        <v>1</v>
      </c>
      <c r="AI890">
        <v>2</v>
      </c>
      <c r="AJ890">
        <v>0</v>
      </c>
      <c r="AK890">
        <v>880.92</v>
      </c>
      <c r="AN890" t="s">
        <v>2926</v>
      </c>
      <c r="AO890">
        <v>145000</v>
      </c>
      <c r="AU890">
        <v>1.1</v>
      </c>
      <c r="AV890" t="s">
        <v>281</v>
      </c>
      <c r="AW890" t="s">
        <v>3042</v>
      </c>
    </row>
    <row r="891" spans="1:50">
      <c r="A891" s="1" t="s">
        <v>99</v>
      </c>
      <c r="B891" t="s">
        <v>164</v>
      </c>
      <c r="C891" t="s">
        <v>4101</v>
      </c>
      <c r="D891" t="s">
        <v>200</v>
      </c>
      <c r="E891" t="s">
        <v>318</v>
      </c>
      <c r="F891" t="s">
        <v>7197</v>
      </c>
      <c r="G891" t="s">
        <v>8301</v>
      </c>
      <c r="H891" t="s">
        <v>9710</v>
      </c>
      <c r="I891">
        <v>2</v>
      </c>
      <c r="J891" t="s">
        <v>11742</v>
      </c>
      <c r="K891">
        <v>11385</v>
      </c>
      <c r="L891" t="s">
        <v>1670</v>
      </c>
      <c r="M891" t="s">
        <v>1670</v>
      </c>
      <c r="N891" t="s">
        <v>1691</v>
      </c>
      <c r="O891" t="s">
        <v>1675</v>
      </c>
      <c r="P891" t="s">
        <v>1958</v>
      </c>
      <c r="Q891" t="s">
        <v>1965</v>
      </c>
      <c r="R891" t="s">
        <v>51</v>
      </c>
      <c r="S891" t="s">
        <v>1671</v>
      </c>
      <c r="U891" t="s">
        <v>1972</v>
      </c>
      <c r="V891" t="s">
        <v>1984</v>
      </c>
      <c r="W891" t="s">
        <v>200</v>
      </c>
      <c r="X891">
        <v>2050</v>
      </c>
      <c r="Y891" t="s">
        <v>2007</v>
      </c>
      <c r="Z891" t="s">
        <v>2012</v>
      </c>
      <c r="AA891" t="s">
        <v>2029</v>
      </c>
      <c r="AB891" t="s">
        <v>13676</v>
      </c>
      <c r="AD891" t="s">
        <v>16151</v>
      </c>
      <c r="AE891">
        <v>2</v>
      </c>
      <c r="AF891" t="s">
        <v>2903</v>
      </c>
      <c r="AG891" t="s">
        <v>1754</v>
      </c>
      <c r="AH891">
        <v>1</v>
      </c>
      <c r="AI891">
        <v>1</v>
      </c>
      <c r="AJ891">
        <v>0</v>
      </c>
      <c r="AK891">
        <v>906.1</v>
      </c>
      <c r="AL891" t="s">
        <v>2923</v>
      </c>
      <c r="AM891" t="s">
        <v>2924</v>
      </c>
      <c r="AN891" t="s">
        <v>2926</v>
      </c>
      <c r="AO891">
        <v>110000</v>
      </c>
      <c r="AU891">
        <v>2.32</v>
      </c>
      <c r="AV891" t="s">
        <v>315</v>
      </c>
      <c r="AW891" t="s">
        <v>99</v>
      </c>
    </row>
    <row r="892" spans="1:50">
      <c r="A892" s="1" t="s">
        <v>82</v>
      </c>
      <c r="B892" t="s">
        <v>163</v>
      </c>
      <c r="C892" t="s">
        <v>4102</v>
      </c>
      <c r="D892" t="s">
        <v>294</v>
      </c>
      <c r="F892" t="s">
        <v>7198</v>
      </c>
      <c r="G892" t="s">
        <v>7933</v>
      </c>
      <c r="H892" t="s">
        <v>9420</v>
      </c>
      <c r="I892" t="s">
        <v>11132</v>
      </c>
      <c r="J892" t="s">
        <v>1644</v>
      </c>
      <c r="K892">
        <v>11233</v>
      </c>
      <c r="L892" t="s">
        <v>1670</v>
      </c>
      <c r="M892" t="s">
        <v>1670</v>
      </c>
      <c r="O892" t="s">
        <v>1937</v>
      </c>
      <c r="P892" t="s">
        <v>1962</v>
      </c>
      <c r="R892" t="s">
        <v>50</v>
      </c>
      <c r="S892" t="s">
        <v>1670</v>
      </c>
      <c r="U892" t="s">
        <v>1972</v>
      </c>
      <c r="V892" t="s">
        <v>1984</v>
      </c>
      <c r="W892" t="s">
        <v>221</v>
      </c>
      <c r="X892" t="s">
        <v>13051</v>
      </c>
      <c r="Y892" t="s">
        <v>2009</v>
      </c>
      <c r="Z892" t="s">
        <v>2016</v>
      </c>
      <c r="AB892" t="s">
        <v>13677</v>
      </c>
      <c r="AE892">
        <v>764</v>
      </c>
      <c r="AF892" t="s">
        <v>2902</v>
      </c>
      <c r="AG892" t="s">
        <v>1754</v>
      </c>
      <c r="AH892" t="s">
        <v>13051</v>
      </c>
      <c r="AI892">
        <v>3</v>
      </c>
      <c r="AJ892">
        <v>0</v>
      </c>
      <c r="AK892">
        <v>909.52</v>
      </c>
      <c r="AN892" t="s">
        <v>2926</v>
      </c>
      <c r="AO892">
        <v>194000</v>
      </c>
      <c r="AP892" t="s">
        <v>18222</v>
      </c>
      <c r="AU892" t="s">
        <v>13051</v>
      </c>
      <c r="AW892" t="s">
        <v>3059</v>
      </c>
    </row>
    <row r="893" spans="1:50">
      <c r="A893" s="1" t="s">
        <v>82</v>
      </c>
      <c r="B893" t="s">
        <v>163</v>
      </c>
      <c r="C893" t="s">
        <v>4103</v>
      </c>
      <c r="D893" t="s">
        <v>182</v>
      </c>
      <c r="F893" t="s">
        <v>7198</v>
      </c>
      <c r="G893" t="s">
        <v>7933</v>
      </c>
      <c r="H893" t="s">
        <v>9420</v>
      </c>
      <c r="I893" t="s">
        <v>11132</v>
      </c>
      <c r="J893" t="s">
        <v>1644</v>
      </c>
      <c r="K893">
        <v>11233</v>
      </c>
      <c r="L893" t="s">
        <v>1670</v>
      </c>
      <c r="M893" t="s">
        <v>1670</v>
      </c>
      <c r="O893" t="s">
        <v>1938</v>
      </c>
      <c r="P893" t="s">
        <v>1959</v>
      </c>
      <c r="R893" t="s">
        <v>50</v>
      </c>
      <c r="S893" t="s">
        <v>1670</v>
      </c>
      <c r="U893" t="s">
        <v>1972</v>
      </c>
      <c r="V893" t="s">
        <v>1984</v>
      </c>
      <c r="W893" t="s">
        <v>231</v>
      </c>
      <c r="X893" t="s">
        <v>13051</v>
      </c>
      <c r="Y893" t="s">
        <v>2009</v>
      </c>
      <c r="AB893" t="s">
        <v>13677</v>
      </c>
      <c r="AE893" t="s">
        <v>13051</v>
      </c>
      <c r="AF893" t="s">
        <v>2902</v>
      </c>
      <c r="AH893" t="s">
        <v>13051</v>
      </c>
      <c r="AI893">
        <v>3</v>
      </c>
      <c r="AJ893">
        <v>0</v>
      </c>
      <c r="AK893">
        <v>909.52</v>
      </c>
      <c r="AN893" t="s">
        <v>2926</v>
      </c>
      <c r="AO893">
        <v>194000</v>
      </c>
      <c r="AU893" t="s">
        <v>13051</v>
      </c>
      <c r="AW893" t="s">
        <v>3059</v>
      </c>
    </row>
    <row r="894" spans="1:50">
      <c r="A894" s="1" t="s">
        <v>100</v>
      </c>
      <c r="B894" t="s">
        <v>164</v>
      </c>
      <c r="C894" t="s">
        <v>4104</v>
      </c>
      <c r="D894" t="s">
        <v>249</v>
      </c>
      <c r="E894" t="s">
        <v>400</v>
      </c>
      <c r="F894" t="s">
        <v>7199</v>
      </c>
      <c r="G894" t="s">
        <v>8302</v>
      </c>
      <c r="H894" t="s">
        <v>9711</v>
      </c>
      <c r="I894" t="s">
        <v>1600</v>
      </c>
      <c r="J894" t="s">
        <v>1643</v>
      </c>
      <c r="K894">
        <v>10034</v>
      </c>
      <c r="L894" t="s">
        <v>1670</v>
      </c>
      <c r="M894" t="s">
        <v>1672</v>
      </c>
      <c r="O894" t="s">
        <v>1938</v>
      </c>
      <c r="P894" t="s">
        <v>1962</v>
      </c>
      <c r="Q894" t="s">
        <v>1968</v>
      </c>
      <c r="R894" t="s">
        <v>50</v>
      </c>
      <c r="S894" t="s">
        <v>1671</v>
      </c>
      <c r="U894" t="s">
        <v>1972</v>
      </c>
      <c r="W894" t="s">
        <v>249</v>
      </c>
      <c r="X894">
        <v>1670</v>
      </c>
      <c r="Y894" t="s">
        <v>2008</v>
      </c>
      <c r="Z894" t="s">
        <v>2013</v>
      </c>
      <c r="AA894" t="s">
        <v>2034</v>
      </c>
      <c r="AB894" t="s">
        <v>13678</v>
      </c>
      <c r="AD894" t="s">
        <v>16152</v>
      </c>
      <c r="AE894">
        <v>60</v>
      </c>
      <c r="AF894" t="s">
        <v>2902</v>
      </c>
      <c r="AG894" t="s">
        <v>1754</v>
      </c>
      <c r="AH894">
        <v>6</v>
      </c>
      <c r="AI894">
        <v>1</v>
      </c>
      <c r="AJ894">
        <v>0</v>
      </c>
      <c r="AK894">
        <v>960.77</v>
      </c>
      <c r="AN894" t="s">
        <v>2926</v>
      </c>
      <c r="AO894">
        <v>120000</v>
      </c>
      <c r="AU894">
        <v>0.1</v>
      </c>
      <c r="AV894" t="s">
        <v>400</v>
      </c>
      <c r="AW894" t="s">
        <v>3042</v>
      </c>
      <c r="AX894" t="s">
        <v>18685</v>
      </c>
    </row>
    <row r="895" spans="1:50">
      <c r="A895" s="1" t="s">
        <v>3157</v>
      </c>
      <c r="B895" t="s">
        <v>164</v>
      </c>
      <c r="C895" t="s">
        <v>4105</v>
      </c>
      <c r="D895" t="s">
        <v>179</v>
      </c>
      <c r="E895" t="s">
        <v>379</v>
      </c>
      <c r="F895" t="s">
        <v>6859</v>
      </c>
      <c r="G895" t="s">
        <v>856</v>
      </c>
      <c r="H895" t="s">
        <v>9712</v>
      </c>
      <c r="I895" t="s">
        <v>1491</v>
      </c>
      <c r="J895" t="s">
        <v>1643</v>
      </c>
      <c r="K895">
        <v>10034</v>
      </c>
      <c r="L895" t="s">
        <v>1670</v>
      </c>
      <c r="M895" t="s">
        <v>1672</v>
      </c>
      <c r="O895" t="s">
        <v>1675</v>
      </c>
      <c r="P895" t="s">
        <v>1962</v>
      </c>
      <c r="Q895" t="s">
        <v>1968</v>
      </c>
      <c r="R895" t="s">
        <v>50</v>
      </c>
      <c r="S895" t="s">
        <v>1671</v>
      </c>
      <c r="U895" t="s">
        <v>1972</v>
      </c>
      <c r="W895" t="s">
        <v>179</v>
      </c>
      <c r="X895">
        <v>2768.63</v>
      </c>
      <c r="Y895" t="s">
        <v>2008</v>
      </c>
      <c r="Z895" t="s">
        <v>2013</v>
      </c>
      <c r="AA895" t="s">
        <v>2030</v>
      </c>
      <c r="AB895" t="s">
        <v>13679</v>
      </c>
      <c r="AE895">
        <v>74</v>
      </c>
      <c r="AF895" t="s">
        <v>2902</v>
      </c>
      <c r="AG895" t="s">
        <v>1754</v>
      </c>
      <c r="AH895">
        <v>15</v>
      </c>
      <c r="AI895">
        <v>2</v>
      </c>
      <c r="AJ895">
        <v>0</v>
      </c>
      <c r="AK895">
        <v>1005.32</v>
      </c>
      <c r="AN895" t="s">
        <v>2926</v>
      </c>
      <c r="AO895">
        <v>170000</v>
      </c>
      <c r="AU895">
        <v>0.25</v>
      </c>
      <c r="AV895" t="s">
        <v>379</v>
      </c>
      <c r="AW895" t="s">
        <v>3042</v>
      </c>
      <c r="AX895" t="s">
        <v>18685</v>
      </c>
    </row>
    <row r="896" spans="1:50">
      <c r="A896" s="1" t="s">
        <v>97</v>
      </c>
      <c r="B896" t="s">
        <v>163</v>
      </c>
      <c r="C896" t="s">
        <v>4106</v>
      </c>
      <c r="D896" t="s">
        <v>201</v>
      </c>
      <c r="F896" t="s">
        <v>7200</v>
      </c>
      <c r="G896" t="s">
        <v>8303</v>
      </c>
      <c r="H896" t="s">
        <v>1216</v>
      </c>
      <c r="I896" t="s">
        <v>1487</v>
      </c>
      <c r="J896" t="s">
        <v>1643</v>
      </c>
      <c r="K896">
        <v>10034</v>
      </c>
      <c r="L896" t="s">
        <v>1670</v>
      </c>
      <c r="M896" t="s">
        <v>1672</v>
      </c>
      <c r="N896" t="s">
        <v>11864</v>
      </c>
      <c r="O896" t="s">
        <v>1939</v>
      </c>
      <c r="P896" t="s">
        <v>1960</v>
      </c>
      <c r="R896" t="s">
        <v>50</v>
      </c>
      <c r="S896" t="s">
        <v>1670</v>
      </c>
      <c r="U896" t="s">
        <v>1972</v>
      </c>
      <c r="W896" t="s">
        <v>201</v>
      </c>
      <c r="X896">
        <v>1800</v>
      </c>
      <c r="Y896" t="s">
        <v>2008</v>
      </c>
      <c r="Z896" t="s">
        <v>2013</v>
      </c>
      <c r="AB896" t="s">
        <v>13680</v>
      </c>
      <c r="AE896">
        <v>67</v>
      </c>
      <c r="AF896" t="s">
        <v>2902</v>
      </c>
      <c r="AG896" t="s">
        <v>1754</v>
      </c>
      <c r="AH896">
        <v>1</v>
      </c>
      <c r="AI896">
        <v>1</v>
      </c>
      <c r="AJ896">
        <v>0</v>
      </c>
      <c r="AK896">
        <v>1029.65</v>
      </c>
      <c r="AN896" t="s">
        <v>2926</v>
      </c>
      <c r="AO896">
        <v>125000</v>
      </c>
      <c r="AU896">
        <v>0.4</v>
      </c>
      <c r="AV896" t="s">
        <v>298</v>
      </c>
      <c r="AW896" t="s">
        <v>3042</v>
      </c>
      <c r="AX896" t="s">
        <v>18685</v>
      </c>
    </row>
    <row r="897" spans="1:50">
      <c r="A897" s="1" t="s">
        <v>135</v>
      </c>
      <c r="B897" t="s">
        <v>163</v>
      </c>
      <c r="C897" t="s">
        <v>4107</v>
      </c>
      <c r="D897" t="s">
        <v>349</v>
      </c>
      <c r="F897" t="s">
        <v>674</v>
      </c>
      <c r="G897" t="s">
        <v>8304</v>
      </c>
      <c r="H897" t="s">
        <v>9425</v>
      </c>
      <c r="I897" t="s">
        <v>1506</v>
      </c>
      <c r="J897" t="s">
        <v>1644</v>
      </c>
      <c r="K897">
        <v>11216</v>
      </c>
      <c r="L897" t="s">
        <v>1670</v>
      </c>
      <c r="M897" t="s">
        <v>1670</v>
      </c>
      <c r="O897" t="s">
        <v>1675</v>
      </c>
      <c r="P897" t="s">
        <v>1962</v>
      </c>
      <c r="R897" t="s">
        <v>50</v>
      </c>
      <c r="S897" t="s">
        <v>1670</v>
      </c>
      <c r="U897" t="s">
        <v>1972</v>
      </c>
      <c r="W897" t="s">
        <v>166</v>
      </c>
      <c r="X897">
        <v>2450</v>
      </c>
      <c r="Y897" t="s">
        <v>2009</v>
      </c>
      <c r="Z897" t="s">
        <v>2016</v>
      </c>
      <c r="AB897" t="s">
        <v>13681</v>
      </c>
      <c r="AD897" t="s">
        <v>16153</v>
      </c>
      <c r="AE897">
        <v>82</v>
      </c>
      <c r="AF897" t="s">
        <v>2902</v>
      </c>
      <c r="AG897" t="s">
        <v>1754</v>
      </c>
      <c r="AH897">
        <v>3</v>
      </c>
      <c r="AI897">
        <v>1</v>
      </c>
      <c r="AJ897">
        <v>0</v>
      </c>
      <c r="AK897">
        <v>1087.31</v>
      </c>
      <c r="AN897" t="s">
        <v>2926</v>
      </c>
      <c r="AO897">
        <v>132000</v>
      </c>
      <c r="AP897" t="s">
        <v>2953</v>
      </c>
      <c r="AU897" t="s">
        <v>13051</v>
      </c>
      <c r="AW897" t="s">
        <v>3060</v>
      </c>
    </row>
    <row r="898" spans="1:50">
      <c r="A898" s="1" t="s">
        <v>135</v>
      </c>
      <c r="B898" t="s">
        <v>163</v>
      </c>
      <c r="C898" t="s">
        <v>4108</v>
      </c>
      <c r="D898" t="s">
        <v>349</v>
      </c>
      <c r="F898" t="s">
        <v>674</v>
      </c>
      <c r="G898" t="s">
        <v>8304</v>
      </c>
      <c r="H898" t="s">
        <v>9425</v>
      </c>
      <c r="I898" t="s">
        <v>1506</v>
      </c>
      <c r="J898" t="s">
        <v>1644</v>
      </c>
      <c r="K898">
        <v>11216</v>
      </c>
      <c r="L898" t="s">
        <v>1670</v>
      </c>
      <c r="M898" t="s">
        <v>1670</v>
      </c>
      <c r="O898" t="s">
        <v>1952</v>
      </c>
      <c r="P898" t="s">
        <v>1960</v>
      </c>
      <c r="R898" t="s">
        <v>50</v>
      </c>
      <c r="S898" t="s">
        <v>1670</v>
      </c>
      <c r="U898" t="s">
        <v>1972</v>
      </c>
      <c r="W898" t="s">
        <v>166</v>
      </c>
      <c r="X898">
        <v>2450</v>
      </c>
      <c r="Y898" t="s">
        <v>2009</v>
      </c>
      <c r="Z898" t="s">
        <v>2016</v>
      </c>
      <c r="AB898" t="s">
        <v>13681</v>
      </c>
      <c r="AD898" t="s">
        <v>16153</v>
      </c>
      <c r="AE898">
        <v>82</v>
      </c>
      <c r="AF898" t="s">
        <v>2902</v>
      </c>
      <c r="AG898" t="s">
        <v>1754</v>
      </c>
      <c r="AH898">
        <v>3</v>
      </c>
      <c r="AI898">
        <v>1</v>
      </c>
      <c r="AJ898">
        <v>0</v>
      </c>
      <c r="AK898">
        <v>1087.31</v>
      </c>
      <c r="AN898" t="s">
        <v>2926</v>
      </c>
      <c r="AO898">
        <v>132000</v>
      </c>
      <c r="AP898" t="s">
        <v>18223</v>
      </c>
      <c r="AU898">
        <v>0.5</v>
      </c>
      <c r="AV898" t="s">
        <v>278</v>
      </c>
      <c r="AW898" t="s">
        <v>3060</v>
      </c>
    </row>
    <row r="899" spans="1:50">
      <c r="A899" s="1" t="s">
        <v>100</v>
      </c>
      <c r="B899" t="s">
        <v>164</v>
      </c>
      <c r="C899" t="s">
        <v>4109</v>
      </c>
      <c r="D899" t="s">
        <v>249</v>
      </c>
      <c r="E899" t="s">
        <v>400</v>
      </c>
      <c r="F899" t="s">
        <v>578</v>
      </c>
      <c r="G899" t="s">
        <v>8305</v>
      </c>
      <c r="H899" t="s">
        <v>9549</v>
      </c>
      <c r="I899" t="s">
        <v>11130</v>
      </c>
      <c r="J899" t="s">
        <v>1643</v>
      </c>
      <c r="K899">
        <v>10033</v>
      </c>
      <c r="L899" t="s">
        <v>1670</v>
      </c>
      <c r="M899" t="s">
        <v>1672</v>
      </c>
      <c r="O899" t="s">
        <v>1941</v>
      </c>
      <c r="P899" t="s">
        <v>1962</v>
      </c>
      <c r="Q899" t="s">
        <v>1968</v>
      </c>
      <c r="R899" t="s">
        <v>50</v>
      </c>
      <c r="S899" t="s">
        <v>1671</v>
      </c>
      <c r="U899" t="s">
        <v>1972</v>
      </c>
      <c r="W899" t="s">
        <v>249</v>
      </c>
      <c r="X899">
        <v>1900</v>
      </c>
      <c r="Y899" t="s">
        <v>2008</v>
      </c>
      <c r="Z899" t="s">
        <v>2013</v>
      </c>
      <c r="AA899" t="s">
        <v>2034</v>
      </c>
      <c r="AB899" t="s">
        <v>13682</v>
      </c>
      <c r="AD899" t="s">
        <v>16154</v>
      </c>
      <c r="AE899">
        <v>95</v>
      </c>
      <c r="AF899" t="s">
        <v>2902</v>
      </c>
      <c r="AG899" t="s">
        <v>1754</v>
      </c>
      <c r="AH899">
        <v>2</v>
      </c>
      <c r="AI899">
        <v>2</v>
      </c>
      <c r="AJ899">
        <v>0</v>
      </c>
      <c r="AK899">
        <v>1094.03</v>
      </c>
      <c r="AN899" t="s">
        <v>2926</v>
      </c>
      <c r="AO899">
        <v>185000</v>
      </c>
      <c r="AU899">
        <v>0.1</v>
      </c>
      <c r="AV899" t="s">
        <v>400</v>
      </c>
      <c r="AW899" t="s">
        <v>3042</v>
      </c>
      <c r="AX899" t="s">
        <v>18685</v>
      </c>
    </row>
    <row r="900" spans="1:50">
      <c r="A900" s="1" t="s">
        <v>62</v>
      </c>
      <c r="B900" t="s">
        <v>163</v>
      </c>
      <c r="C900" t="s">
        <v>4110</v>
      </c>
      <c r="D900" t="s">
        <v>6164</v>
      </c>
      <c r="F900" t="s">
        <v>7201</v>
      </c>
      <c r="G900" t="s">
        <v>8306</v>
      </c>
      <c r="H900" t="s">
        <v>9451</v>
      </c>
      <c r="I900" t="s">
        <v>11133</v>
      </c>
      <c r="J900" t="s">
        <v>1644</v>
      </c>
      <c r="K900">
        <v>11225</v>
      </c>
      <c r="L900" t="s">
        <v>1670</v>
      </c>
      <c r="M900" t="s">
        <v>1672</v>
      </c>
      <c r="O900" t="s">
        <v>1939</v>
      </c>
      <c r="P900" t="s">
        <v>1960</v>
      </c>
      <c r="R900" t="s">
        <v>50</v>
      </c>
      <c r="S900" t="s">
        <v>1670</v>
      </c>
      <c r="T900" t="s">
        <v>13026</v>
      </c>
      <c r="U900" t="s">
        <v>1972</v>
      </c>
      <c r="W900" t="s">
        <v>13036</v>
      </c>
      <c r="X900">
        <v>1327</v>
      </c>
      <c r="Y900" t="s">
        <v>2009</v>
      </c>
      <c r="Z900" t="s">
        <v>2015</v>
      </c>
      <c r="AB900" t="s">
        <v>13683</v>
      </c>
      <c r="AD900" t="s">
        <v>16155</v>
      </c>
      <c r="AE900">
        <v>61</v>
      </c>
      <c r="AF900" t="s">
        <v>2902</v>
      </c>
      <c r="AG900" t="s">
        <v>1754</v>
      </c>
      <c r="AH900">
        <v>6</v>
      </c>
      <c r="AI900">
        <v>1</v>
      </c>
      <c r="AJ900">
        <v>0</v>
      </c>
      <c r="AK900">
        <v>1169.69</v>
      </c>
      <c r="AN900" t="s">
        <v>2926</v>
      </c>
      <c r="AO900">
        <v>142000</v>
      </c>
      <c r="AU900">
        <v>1</v>
      </c>
      <c r="AV900" t="s">
        <v>6177</v>
      </c>
      <c r="AW900" t="s">
        <v>3079</v>
      </c>
      <c r="AX900" t="s">
        <v>18685</v>
      </c>
    </row>
    <row r="901" spans="1:50">
      <c r="A901" s="1" t="s">
        <v>94</v>
      </c>
      <c r="B901" t="s">
        <v>164</v>
      </c>
      <c r="C901" t="s">
        <v>4111</v>
      </c>
      <c r="D901" t="s">
        <v>265</v>
      </c>
      <c r="E901" t="s">
        <v>337</v>
      </c>
      <c r="F901" t="s">
        <v>6860</v>
      </c>
      <c r="G901" t="s">
        <v>8307</v>
      </c>
      <c r="H901" t="s">
        <v>9637</v>
      </c>
      <c r="I901" t="s">
        <v>1525</v>
      </c>
      <c r="J901" t="s">
        <v>1643</v>
      </c>
      <c r="K901">
        <v>10033</v>
      </c>
      <c r="L901" t="s">
        <v>1670</v>
      </c>
      <c r="M901" t="s">
        <v>1670</v>
      </c>
      <c r="O901" t="s">
        <v>1941</v>
      </c>
      <c r="P901" t="s">
        <v>1958</v>
      </c>
      <c r="Q901" t="s">
        <v>1965</v>
      </c>
      <c r="R901" t="s">
        <v>50</v>
      </c>
      <c r="S901" t="s">
        <v>1670</v>
      </c>
      <c r="U901" t="s">
        <v>1972</v>
      </c>
      <c r="W901" t="s">
        <v>265</v>
      </c>
      <c r="X901">
        <v>1680</v>
      </c>
      <c r="Y901" t="s">
        <v>2008</v>
      </c>
      <c r="Z901" t="s">
        <v>2028</v>
      </c>
      <c r="AA901" t="s">
        <v>2029</v>
      </c>
      <c r="AB901" t="s">
        <v>13684</v>
      </c>
      <c r="AE901">
        <v>60</v>
      </c>
      <c r="AF901" t="s">
        <v>2902</v>
      </c>
      <c r="AG901" t="s">
        <v>1754</v>
      </c>
      <c r="AH901">
        <v>11</v>
      </c>
      <c r="AI901">
        <v>1</v>
      </c>
      <c r="AJ901">
        <v>0</v>
      </c>
      <c r="AK901">
        <v>1200.96</v>
      </c>
      <c r="AN901" t="s">
        <v>2926</v>
      </c>
      <c r="AO901">
        <v>150000</v>
      </c>
      <c r="AU901">
        <v>0.01</v>
      </c>
      <c r="AV901" t="s">
        <v>337</v>
      </c>
      <c r="AW901" t="s">
        <v>3042</v>
      </c>
      <c r="AX901" t="s">
        <v>18685</v>
      </c>
    </row>
    <row r="902" spans="1:50">
      <c r="A902" s="1" t="s">
        <v>96</v>
      </c>
      <c r="B902" t="s">
        <v>163</v>
      </c>
      <c r="C902" t="s">
        <v>4112</v>
      </c>
      <c r="D902" t="s">
        <v>371</v>
      </c>
      <c r="F902" t="s">
        <v>7202</v>
      </c>
      <c r="G902" t="s">
        <v>7887</v>
      </c>
      <c r="H902" t="s">
        <v>1276</v>
      </c>
      <c r="I902">
        <v>10</v>
      </c>
      <c r="J902" t="s">
        <v>1644</v>
      </c>
      <c r="K902">
        <v>11238</v>
      </c>
      <c r="L902" t="s">
        <v>1672</v>
      </c>
      <c r="M902" t="s">
        <v>1672</v>
      </c>
      <c r="P902" t="s">
        <v>1959</v>
      </c>
      <c r="R902" t="s">
        <v>50</v>
      </c>
      <c r="U902" t="s">
        <v>1972</v>
      </c>
      <c r="W902" t="s">
        <v>394</v>
      </c>
      <c r="X902" t="s">
        <v>13051</v>
      </c>
      <c r="Y902" t="s">
        <v>2009</v>
      </c>
      <c r="AB902" t="s">
        <v>13226</v>
      </c>
      <c r="AE902" t="s">
        <v>13051</v>
      </c>
      <c r="AF902" t="s">
        <v>2902</v>
      </c>
      <c r="AH902" t="s">
        <v>13051</v>
      </c>
      <c r="AI902">
        <v>2</v>
      </c>
      <c r="AJ902">
        <v>0</v>
      </c>
      <c r="AK902">
        <v>1439.85</v>
      </c>
      <c r="AN902" t="s">
        <v>2926</v>
      </c>
      <c r="AO902">
        <v>255000</v>
      </c>
      <c r="AU902">
        <v>1</v>
      </c>
      <c r="AV902" t="s">
        <v>337</v>
      </c>
      <c r="AW902" t="s">
        <v>3049</v>
      </c>
    </row>
    <row r="903" spans="1:50">
      <c r="A903" s="1" t="s">
        <v>122</v>
      </c>
      <c r="B903" t="s">
        <v>164</v>
      </c>
      <c r="C903" t="s">
        <v>4113</v>
      </c>
      <c r="D903" t="s">
        <v>230</v>
      </c>
      <c r="E903" t="s">
        <v>325</v>
      </c>
      <c r="F903" t="s">
        <v>7203</v>
      </c>
      <c r="G903" t="s">
        <v>8308</v>
      </c>
      <c r="H903" t="s">
        <v>9713</v>
      </c>
      <c r="I903" t="s">
        <v>1489</v>
      </c>
      <c r="J903" t="s">
        <v>1641</v>
      </c>
      <c r="K903">
        <v>10452</v>
      </c>
      <c r="L903" t="s">
        <v>1670</v>
      </c>
      <c r="M903" t="s">
        <v>1672</v>
      </c>
      <c r="O903" t="s">
        <v>1938</v>
      </c>
      <c r="P903" t="s">
        <v>1958</v>
      </c>
      <c r="Q903" t="s">
        <v>1965</v>
      </c>
      <c r="R903" t="s">
        <v>50</v>
      </c>
      <c r="S903" t="s">
        <v>1671</v>
      </c>
      <c r="U903" t="s">
        <v>1972</v>
      </c>
      <c r="W903" t="s">
        <v>1991</v>
      </c>
      <c r="X903">
        <v>1085</v>
      </c>
      <c r="Y903" t="s">
        <v>2006</v>
      </c>
      <c r="Z903" t="s">
        <v>2015</v>
      </c>
      <c r="AA903" t="s">
        <v>2029</v>
      </c>
      <c r="AB903" t="s">
        <v>13685</v>
      </c>
      <c r="AD903" t="s">
        <v>16156</v>
      </c>
      <c r="AE903" t="s">
        <v>13051</v>
      </c>
      <c r="AF903" t="s">
        <v>2902</v>
      </c>
      <c r="AH903">
        <v>20</v>
      </c>
      <c r="AI903">
        <v>1</v>
      </c>
      <c r="AJ903">
        <v>0</v>
      </c>
      <c r="AK903">
        <v>2403.84</v>
      </c>
      <c r="AN903" t="s">
        <v>2926</v>
      </c>
      <c r="AO903">
        <v>300240</v>
      </c>
      <c r="AU903">
        <v>0.3</v>
      </c>
      <c r="AV903" t="s">
        <v>325</v>
      </c>
      <c r="AW903" t="s">
        <v>122</v>
      </c>
      <c r="AX903" t="s">
        <v>18685</v>
      </c>
    </row>
    <row r="904" spans="1:50">
      <c r="A904" s="1" t="s">
        <v>88</v>
      </c>
      <c r="B904" t="s">
        <v>164</v>
      </c>
      <c r="C904" t="s">
        <v>4114</v>
      </c>
      <c r="D904" t="s">
        <v>182</v>
      </c>
      <c r="E904" t="s">
        <v>379</v>
      </c>
      <c r="F904" t="s">
        <v>7204</v>
      </c>
      <c r="G904" t="s">
        <v>8309</v>
      </c>
      <c r="H904" t="s">
        <v>9449</v>
      </c>
      <c r="I904" t="s">
        <v>1553</v>
      </c>
      <c r="J904" t="s">
        <v>1644</v>
      </c>
      <c r="K904">
        <v>11208</v>
      </c>
      <c r="L904" t="s">
        <v>1670</v>
      </c>
      <c r="M904" t="s">
        <v>1671</v>
      </c>
      <c r="N904" t="s">
        <v>12022</v>
      </c>
      <c r="O904" t="s">
        <v>1940</v>
      </c>
      <c r="P904" t="s">
        <v>1958</v>
      </c>
      <c r="Q904" t="s">
        <v>1965</v>
      </c>
      <c r="R904" t="s">
        <v>50</v>
      </c>
      <c r="S904" t="s">
        <v>1671</v>
      </c>
      <c r="U904" t="s">
        <v>1972</v>
      </c>
      <c r="W904" t="s">
        <v>389</v>
      </c>
      <c r="X904" t="s">
        <v>13051</v>
      </c>
      <c r="Y904" t="s">
        <v>2009</v>
      </c>
      <c r="Z904" t="s">
        <v>2011</v>
      </c>
      <c r="AA904" t="s">
        <v>2029</v>
      </c>
      <c r="AB904" t="s">
        <v>13686</v>
      </c>
      <c r="AD904" t="s">
        <v>16157</v>
      </c>
      <c r="AE904">
        <v>3</v>
      </c>
      <c r="AG904" t="s">
        <v>1754</v>
      </c>
      <c r="AH904">
        <v>1</v>
      </c>
      <c r="AI904">
        <v>2</v>
      </c>
      <c r="AJ904">
        <v>0</v>
      </c>
      <c r="AK904">
        <v>2838.56</v>
      </c>
      <c r="AN904" t="s">
        <v>2926</v>
      </c>
      <c r="AO904">
        <v>480000</v>
      </c>
      <c r="AU904">
        <v>1.1</v>
      </c>
      <c r="AV904" t="s">
        <v>263</v>
      </c>
      <c r="AW904" t="s">
        <v>3059</v>
      </c>
      <c r="AX904" t="s">
        <v>18685</v>
      </c>
    </row>
    <row r="905" spans="1:50">
      <c r="A905" s="1" t="s">
        <v>125</v>
      </c>
      <c r="B905" t="s">
        <v>163</v>
      </c>
      <c r="C905" t="s">
        <v>4115</v>
      </c>
      <c r="D905" t="s">
        <v>277</v>
      </c>
      <c r="F905" t="s">
        <v>7190</v>
      </c>
      <c r="G905" t="s">
        <v>8292</v>
      </c>
      <c r="H905" t="s">
        <v>9428</v>
      </c>
      <c r="J905" t="s">
        <v>1644</v>
      </c>
      <c r="K905">
        <v>11226</v>
      </c>
      <c r="L905" t="s">
        <v>1670</v>
      </c>
      <c r="M905" t="s">
        <v>1670</v>
      </c>
      <c r="O905" t="s">
        <v>1938</v>
      </c>
      <c r="P905" t="s">
        <v>1961</v>
      </c>
      <c r="R905" t="s">
        <v>50</v>
      </c>
      <c r="S905" t="s">
        <v>1670</v>
      </c>
      <c r="U905" t="s">
        <v>1972</v>
      </c>
      <c r="W905" t="s">
        <v>307</v>
      </c>
      <c r="X905">
        <v>1937</v>
      </c>
      <c r="Y905" t="s">
        <v>2009</v>
      </c>
      <c r="AB905" t="s">
        <v>13665</v>
      </c>
      <c r="AD905" t="s">
        <v>16141</v>
      </c>
      <c r="AE905" t="s">
        <v>13051</v>
      </c>
      <c r="AH905">
        <v>3</v>
      </c>
      <c r="AI905">
        <v>2</v>
      </c>
      <c r="AJ905">
        <v>1</v>
      </c>
      <c r="AK905">
        <v>3211.44</v>
      </c>
      <c r="AN905" t="s">
        <v>2926</v>
      </c>
      <c r="AO905">
        <v>685000</v>
      </c>
      <c r="AU905">
        <v>1.5</v>
      </c>
      <c r="AV905" t="s">
        <v>2001</v>
      </c>
      <c r="AW905" t="s">
        <v>158</v>
      </c>
    </row>
    <row r="906" spans="1:50">
      <c r="A906" s="1" t="s">
        <v>82</v>
      </c>
      <c r="B906" t="s">
        <v>163</v>
      </c>
      <c r="C906" t="s">
        <v>4116</v>
      </c>
      <c r="D906" t="s">
        <v>220</v>
      </c>
      <c r="F906" t="s">
        <v>7025</v>
      </c>
      <c r="G906" t="s">
        <v>8109</v>
      </c>
      <c r="H906" t="s">
        <v>1144</v>
      </c>
      <c r="I906" t="s">
        <v>1482</v>
      </c>
      <c r="J906" t="s">
        <v>1644</v>
      </c>
      <c r="K906">
        <v>11233</v>
      </c>
      <c r="L906" t="s">
        <v>1670</v>
      </c>
      <c r="M906" t="s">
        <v>1671</v>
      </c>
      <c r="O906" t="s">
        <v>1937</v>
      </c>
      <c r="P906" t="s">
        <v>1962</v>
      </c>
      <c r="R906" t="s">
        <v>50</v>
      </c>
      <c r="S906" t="s">
        <v>1670</v>
      </c>
      <c r="U906" t="s">
        <v>1972</v>
      </c>
      <c r="V906" t="s">
        <v>1984</v>
      </c>
      <c r="W906" t="s">
        <v>221</v>
      </c>
      <c r="X906">
        <v>1872.98</v>
      </c>
      <c r="Y906" t="s">
        <v>2009</v>
      </c>
      <c r="AE906">
        <v>359</v>
      </c>
      <c r="AF906" t="s">
        <v>2902</v>
      </c>
      <c r="AH906">
        <v>2</v>
      </c>
      <c r="AI906">
        <v>1</v>
      </c>
      <c r="AJ906">
        <v>0</v>
      </c>
      <c r="AK906">
        <v>3747</v>
      </c>
      <c r="AN906" t="s">
        <v>2926</v>
      </c>
      <c r="AO906">
        <v>468000</v>
      </c>
      <c r="AP906" t="s">
        <v>18224</v>
      </c>
      <c r="AU906" t="s">
        <v>13051</v>
      </c>
      <c r="AW906" t="s">
        <v>3059</v>
      </c>
    </row>
    <row r="907" spans="1:50">
      <c r="A907" s="1" t="s">
        <v>82</v>
      </c>
      <c r="B907" t="s">
        <v>163</v>
      </c>
      <c r="C907" t="s">
        <v>4117</v>
      </c>
      <c r="D907" t="s">
        <v>165</v>
      </c>
      <c r="F907" t="s">
        <v>647</v>
      </c>
      <c r="G907" t="s">
        <v>909</v>
      </c>
      <c r="H907" t="s">
        <v>1144</v>
      </c>
      <c r="I907" t="s">
        <v>11082</v>
      </c>
      <c r="J907" t="s">
        <v>1644</v>
      </c>
      <c r="K907">
        <v>11233</v>
      </c>
      <c r="L907" t="s">
        <v>1670</v>
      </c>
      <c r="M907" t="s">
        <v>1671</v>
      </c>
      <c r="O907" t="s">
        <v>1937</v>
      </c>
      <c r="P907" t="s">
        <v>1962</v>
      </c>
      <c r="R907" t="s">
        <v>50</v>
      </c>
      <c r="S907" t="s">
        <v>1670</v>
      </c>
      <c r="U907" t="s">
        <v>1972</v>
      </c>
      <c r="V907" t="s">
        <v>1984</v>
      </c>
      <c r="W907" t="s">
        <v>221</v>
      </c>
      <c r="X907">
        <v>1037</v>
      </c>
      <c r="Y907" t="s">
        <v>2009</v>
      </c>
      <c r="Z907" t="s">
        <v>2017</v>
      </c>
      <c r="AB907" t="s">
        <v>13490</v>
      </c>
      <c r="AE907">
        <v>359</v>
      </c>
      <c r="AF907" t="s">
        <v>2902</v>
      </c>
      <c r="AH907">
        <v>49</v>
      </c>
      <c r="AI907">
        <v>3</v>
      </c>
      <c r="AJ907">
        <v>0</v>
      </c>
      <c r="AK907">
        <v>4388.19</v>
      </c>
      <c r="AN907" t="s">
        <v>2926</v>
      </c>
      <c r="AO907">
        <v>936000</v>
      </c>
      <c r="AP907" t="s">
        <v>18225</v>
      </c>
      <c r="AU907" t="s">
        <v>13051</v>
      </c>
      <c r="AW907" t="s">
        <v>3059</v>
      </c>
    </row>
    <row r="908" spans="1:50">
      <c r="A908" s="1" t="s">
        <v>129</v>
      </c>
      <c r="B908" t="s">
        <v>163</v>
      </c>
      <c r="C908" t="s">
        <v>4118</v>
      </c>
      <c r="D908" t="s">
        <v>3038</v>
      </c>
      <c r="F908" t="s">
        <v>843</v>
      </c>
      <c r="G908" t="s">
        <v>8169</v>
      </c>
      <c r="H908" t="s">
        <v>9401</v>
      </c>
      <c r="I908">
        <v>28</v>
      </c>
      <c r="J908" t="s">
        <v>1644</v>
      </c>
      <c r="K908">
        <v>11213</v>
      </c>
      <c r="L908" t="s">
        <v>1670</v>
      </c>
      <c r="M908" t="s">
        <v>1670</v>
      </c>
      <c r="N908" t="s">
        <v>12023</v>
      </c>
      <c r="O908" t="s">
        <v>1936</v>
      </c>
      <c r="P908" t="s">
        <v>1960</v>
      </c>
      <c r="R908" t="s">
        <v>50</v>
      </c>
      <c r="U908" t="s">
        <v>1972</v>
      </c>
      <c r="W908" t="s">
        <v>254</v>
      </c>
      <c r="X908">
        <v>1326</v>
      </c>
      <c r="Y908" t="s">
        <v>2009</v>
      </c>
      <c r="Z908" t="s">
        <v>2020</v>
      </c>
      <c r="AB908" t="s">
        <v>13497</v>
      </c>
      <c r="AD908" t="s">
        <v>16022</v>
      </c>
      <c r="AE908" t="s">
        <v>13051</v>
      </c>
      <c r="AF908" t="s">
        <v>2902</v>
      </c>
      <c r="AG908" t="s">
        <v>1754</v>
      </c>
      <c r="AH908">
        <v>2</v>
      </c>
      <c r="AI908">
        <v>1</v>
      </c>
      <c r="AJ908">
        <v>0</v>
      </c>
      <c r="AK908">
        <v>5181.52</v>
      </c>
      <c r="AN908" t="s">
        <v>2926</v>
      </c>
      <c r="AO908">
        <v>647172</v>
      </c>
      <c r="AU908">
        <v>12.45</v>
      </c>
      <c r="AV908" t="s">
        <v>337</v>
      </c>
      <c r="AW908" t="s">
        <v>129</v>
      </c>
    </row>
    <row r="909" spans="1:50">
      <c r="A909" s="1" t="s">
        <v>65</v>
      </c>
      <c r="B909" t="s">
        <v>163</v>
      </c>
      <c r="C909" t="s">
        <v>4119</v>
      </c>
      <c r="D909" t="s">
        <v>406</v>
      </c>
      <c r="F909" t="s">
        <v>7141</v>
      </c>
      <c r="G909" t="s">
        <v>8230</v>
      </c>
      <c r="H909" t="s">
        <v>9529</v>
      </c>
      <c r="I909" t="s">
        <v>1486</v>
      </c>
      <c r="J909" t="s">
        <v>1644</v>
      </c>
      <c r="K909">
        <v>11225</v>
      </c>
      <c r="L909" t="s">
        <v>1670</v>
      </c>
      <c r="M909" t="s">
        <v>1670</v>
      </c>
      <c r="O909" t="s">
        <v>1952</v>
      </c>
      <c r="P909" t="s">
        <v>1960</v>
      </c>
      <c r="R909" t="s">
        <v>50</v>
      </c>
      <c r="U909" t="s">
        <v>1972</v>
      </c>
      <c r="W909" t="s">
        <v>2001</v>
      </c>
      <c r="X909" t="s">
        <v>13051</v>
      </c>
      <c r="Y909" t="s">
        <v>2009</v>
      </c>
      <c r="AB909" t="s">
        <v>13578</v>
      </c>
      <c r="AD909" t="s">
        <v>15077</v>
      </c>
      <c r="AE909" t="s">
        <v>13051</v>
      </c>
      <c r="AH909" t="s">
        <v>13051</v>
      </c>
      <c r="AI909">
        <v>2</v>
      </c>
      <c r="AJ909">
        <v>0</v>
      </c>
      <c r="AK909">
        <v>5762.27</v>
      </c>
      <c r="AN909" t="s">
        <v>2926</v>
      </c>
      <c r="AO909">
        <v>974400</v>
      </c>
      <c r="AU909">
        <v>5</v>
      </c>
      <c r="AV909" t="s">
        <v>350</v>
      </c>
      <c r="AW909" t="s">
        <v>158</v>
      </c>
    </row>
    <row r="910" spans="1:50">
      <c r="A910" s="1" t="s">
        <v>61</v>
      </c>
      <c r="B910" t="s">
        <v>163</v>
      </c>
      <c r="C910" t="s">
        <v>4120</v>
      </c>
      <c r="D910" t="s">
        <v>324</v>
      </c>
      <c r="F910" t="s">
        <v>7158</v>
      </c>
      <c r="G910" t="s">
        <v>8252</v>
      </c>
      <c r="H910" t="s">
        <v>9605</v>
      </c>
      <c r="I910" t="s">
        <v>11123</v>
      </c>
      <c r="J910" t="s">
        <v>1644</v>
      </c>
      <c r="K910">
        <v>11225</v>
      </c>
      <c r="L910" t="s">
        <v>1670</v>
      </c>
      <c r="M910" t="s">
        <v>1670</v>
      </c>
      <c r="N910" t="s">
        <v>11970</v>
      </c>
      <c r="O910" t="s">
        <v>1938</v>
      </c>
      <c r="P910" t="s">
        <v>1961</v>
      </c>
      <c r="R910" t="s">
        <v>50</v>
      </c>
      <c r="S910" t="s">
        <v>1670</v>
      </c>
      <c r="U910" t="s">
        <v>1972</v>
      </c>
      <c r="W910" t="s">
        <v>208</v>
      </c>
      <c r="X910">
        <v>1740.79</v>
      </c>
      <c r="Y910" t="s">
        <v>2009</v>
      </c>
      <c r="Z910" t="s">
        <v>2015</v>
      </c>
      <c r="AB910" t="s">
        <v>13606</v>
      </c>
      <c r="AD910" t="s">
        <v>16095</v>
      </c>
      <c r="AE910">
        <v>89</v>
      </c>
      <c r="AF910" t="s">
        <v>2902</v>
      </c>
      <c r="AH910">
        <v>7</v>
      </c>
      <c r="AI910">
        <v>1</v>
      </c>
      <c r="AJ910">
        <v>0</v>
      </c>
      <c r="AK910">
        <v>6245</v>
      </c>
      <c r="AN910" t="s">
        <v>2926</v>
      </c>
      <c r="AO910">
        <v>780000</v>
      </c>
      <c r="AU910" t="s">
        <v>13051</v>
      </c>
      <c r="AW910" t="s">
        <v>158</v>
      </c>
    </row>
    <row r="911" spans="1:50">
      <c r="A911" s="1" t="s">
        <v>130</v>
      </c>
      <c r="B911" t="s">
        <v>164</v>
      </c>
      <c r="C911" t="s">
        <v>4121</v>
      </c>
      <c r="D911" t="s">
        <v>271</v>
      </c>
      <c r="E911" t="s">
        <v>359</v>
      </c>
      <c r="F911" t="s">
        <v>429</v>
      </c>
      <c r="G911" t="s">
        <v>868</v>
      </c>
      <c r="H911" t="s">
        <v>9510</v>
      </c>
      <c r="I911" t="s">
        <v>10957</v>
      </c>
      <c r="J911" t="s">
        <v>1644</v>
      </c>
      <c r="K911">
        <v>11233</v>
      </c>
      <c r="L911" t="s">
        <v>1670</v>
      </c>
      <c r="M911" t="s">
        <v>1670</v>
      </c>
      <c r="O911" t="s">
        <v>1937</v>
      </c>
      <c r="P911" t="s">
        <v>1962</v>
      </c>
      <c r="Q911" t="s">
        <v>1968</v>
      </c>
      <c r="R911" t="s">
        <v>50</v>
      </c>
      <c r="S911" t="s">
        <v>1670</v>
      </c>
      <c r="U911" t="s">
        <v>1972</v>
      </c>
      <c r="W911" t="s">
        <v>243</v>
      </c>
      <c r="X911">
        <v>840</v>
      </c>
      <c r="Y911" t="s">
        <v>2009</v>
      </c>
      <c r="Z911" t="s">
        <v>2025</v>
      </c>
      <c r="AA911" t="s">
        <v>2030</v>
      </c>
      <c r="AB911" t="s">
        <v>13632</v>
      </c>
      <c r="AD911" t="s">
        <v>16118</v>
      </c>
      <c r="AE911">
        <v>7</v>
      </c>
      <c r="AF911" t="s">
        <v>2902</v>
      </c>
      <c r="AG911" t="s">
        <v>1754</v>
      </c>
      <c r="AH911">
        <v>30</v>
      </c>
      <c r="AI911">
        <v>1</v>
      </c>
      <c r="AJ911">
        <v>0</v>
      </c>
      <c r="AK911">
        <v>6919.28</v>
      </c>
      <c r="AM911" t="s">
        <v>18031</v>
      </c>
      <c r="AN911" t="s">
        <v>2926</v>
      </c>
      <c r="AO911">
        <v>840000</v>
      </c>
      <c r="AR911" t="s">
        <v>2017</v>
      </c>
      <c r="AU911">
        <v>0.2</v>
      </c>
      <c r="AV911" t="s">
        <v>271</v>
      </c>
      <c r="AW911" t="s">
        <v>3059</v>
      </c>
    </row>
    <row r="912" spans="1:50">
      <c r="A912" s="1" t="s">
        <v>3175</v>
      </c>
      <c r="B912" t="s">
        <v>164</v>
      </c>
      <c r="C912" t="s">
        <v>4122</v>
      </c>
      <c r="D912" t="s">
        <v>225</v>
      </c>
      <c r="E912" t="s">
        <v>264</v>
      </c>
      <c r="F912" t="s">
        <v>7088</v>
      </c>
      <c r="G912" t="s">
        <v>8310</v>
      </c>
      <c r="H912" t="s">
        <v>9714</v>
      </c>
      <c r="J912" t="s">
        <v>1649</v>
      </c>
      <c r="K912">
        <v>11692</v>
      </c>
      <c r="L912" t="s">
        <v>1670</v>
      </c>
      <c r="M912" t="s">
        <v>1670</v>
      </c>
      <c r="N912" t="s">
        <v>12024</v>
      </c>
      <c r="O912" t="s">
        <v>1940</v>
      </c>
      <c r="P912" t="s">
        <v>1958</v>
      </c>
      <c r="Q912" t="s">
        <v>1965</v>
      </c>
      <c r="R912" t="s">
        <v>50</v>
      </c>
      <c r="S912" t="s">
        <v>1671</v>
      </c>
      <c r="U912" t="s">
        <v>1972</v>
      </c>
      <c r="V912" t="s">
        <v>1985</v>
      </c>
      <c r="W912" t="s">
        <v>225</v>
      </c>
      <c r="X912">
        <v>1000</v>
      </c>
      <c r="Y912" t="s">
        <v>2007</v>
      </c>
      <c r="Z912" t="s">
        <v>2014</v>
      </c>
      <c r="AA912" t="s">
        <v>2029</v>
      </c>
      <c r="AB912" t="s">
        <v>13687</v>
      </c>
      <c r="AC912" t="s">
        <v>1754</v>
      </c>
      <c r="AD912" t="s">
        <v>16158</v>
      </c>
      <c r="AE912">
        <v>1</v>
      </c>
      <c r="AF912" t="s">
        <v>2903</v>
      </c>
      <c r="AG912" t="s">
        <v>1754</v>
      </c>
      <c r="AH912">
        <v>3</v>
      </c>
      <c r="AI912">
        <v>1</v>
      </c>
      <c r="AJ912">
        <v>0</v>
      </c>
      <c r="AK912">
        <v>0</v>
      </c>
      <c r="AN912" t="s">
        <v>2926</v>
      </c>
      <c r="AO912" t="s">
        <v>13051</v>
      </c>
      <c r="AU912">
        <v>1.6</v>
      </c>
      <c r="AV912" t="s">
        <v>264</v>
      </c>
      <c r="AW912" t="s">
        <v>85</v>
      </c>
    </row>
    <row r="913" spans="1:50">
      <c r="A913" s="1" t="s">
        <v>117</v>
      </c>
      <c r="B913" t="s">
        <v>164</v>
      </c>
      <c r="C913" t="s">
        <v>4123</v>
      </c>
      <c r="D913" t="s">
        <v>173</v>
      </c>
      <c r="E913" t="s">
        <v>330</v>
      </c>
      <c r="F913" t="s">
        <v>7205</v>
      </c>
      <c r="G913" t="s">
        <v>8311</v>
      </c>
      <c r="H913" t="s">
        <v>9715</v>
      </c>
      <c r="I913" t="s">
        <v>11134</v>
      </c>
      <c r="J913" t="s">
        <v>1645</v>
      </c>
      <c r="K913">
        <v>11691</v>
      </c>
      <c r="L913" t="s">
        <v>1670</v>
      </c>
      <c r="M913" t="s">
        <v>1670</v>
      </c>
      <c r="N913" t="s">
        <v>12025</v>
      </c>
      <c r="O913" t="s">
        <v>1940</v>
      </c>
      <c r="P913" t="s">
        <v>1958</v>
      </c>
      <c r="Q913" t="s">
        <v>1965</v>
      </c>
      <c r="R913" t="s">
        <v>50</v>
      </c>
      <c r="S913" t="s">
        <v>1671</v>
      </c>
      <c r="U913" t="s">
        <v>1972</v>
      </c>
      <c r="V913" t="s">
        <v>1985</v>
      </c>
      <c r="W913" t="s">
        <v>173</v>
      </c>
      <c r="X913">
        <v>950</v>
      </c>
      <c r="Y913" t="s">
        <v>2007</v>
      </c>
      <c r="Z913" t="s">
        <v>2014</v>
      </c>
      <c r="AA913" t="s">
        <v>2029</v>
      </c>
      <c r="AB913" t="s">
        <v>13688</v>
      </c>
      <c r="AC913" t="s">
        <v>15092</v>
      </c>
      <c r="AD913" t="s">
        <v>16159</v>
      </c>
      <c r="AE913">
        <v>2</v>
      </c>
      <c r="AF913" t="s">
        <v>2903</v>
      </c>
      <c r="AG913" t="s">
        <v>1754</v>
      </c>
      <c r="AH913">
        <v>20</v>
      </c>
      <c r="AI913">
        <v>2</v>
      </c>
      <c r="AJ913">
        <v>0</v>
      </c>
      <c r="AK913">
        <v>0</v>
      </c>
      <c r="AN913" t="s">
        <v>2926</v>
      </c>
      <c r="AO913" t="s">
        <v>13051</v>
      </c>
      <c r="AU913">
        <v>1</v>
      </c>
      <c r="AV913" t="s">
        <v>173</v>
      </c>
      <c r="AW913" t="s">
        <v>85</v>
      </c>
    </row>
    <row r="914" spans="1:50">
      <c r="A914" s="1" t="s">
        <v>141</v>
      </c>
      <c r="B914" t="s">
        <v>164</v>
      </c>
      <c r="C914" t="s">
        <v>4124</v>
      </c>
      <c r="D914" t="s">
        <v>232</v>
      </c>
      <c r="E914" t="s">
        <v>330</v>
      </c>
      <c r="F914" t="s">
        <v>7206</v>
      </c>
      <c r="G914" t="s">
        <v>8312</v>
      </c>
      <c r="H914" t="s">
        <v>9716</v>
      </c>
      <c r="J914" t="s">
        <v>1645</v>
      </c>
      <c r="K914">
        <v>11691</v>
      </c>
      <c r="L914" t="s">
        <v>1670</v>
      </c>
      <c r="M914" t="s">
        <v>1670</v>
      </c>
      <c r="N914" t="s">
        <v>12026</v>
      </c>
      <c r="O914" t="s">
        <v>1941</v>
      </c>
      <c r="P914" t="s">
        <v>1958</v>
      </c>
      <c r="Q914" t="s">
        <v>1965</v>
      </c>
      <c r="R914" t="s">
        <v>50</v>
      </c>
      <c r="S914" t="s">
        <v>1671</v>
      </c>
      <c r="U914" t="s">
        <v>1980</v>
      </c>
      <c r="V914" t="s">
        <v>1984</v>
      </c>
      <c r="W914" t="s">
        <v>173</v>
      </c>
      <c r="X914">
        <v>1895</v>
      </c>
      <c r="Y914" t="s">
        <v>2007</v>
      </c>
      <c r="Z914" t="s">
        <v>2013</v>
      </c>
      <c r="AA914" t="s">
        <v>2029</v>
      </c>
      <c r="AB914" t="s">
        <v>13689</v>
      </c>
      <c r="AC914" t="s">
        <v>1691</v>
      </c>
      <c r="AD914" t="s">
        <v>16160</v>
      </c>
      <c r="AE914">
        <v>3</v>
      </c>
      <c r="AF914" t="s">
        <v>2907</v>
      </c>
      <c r="AG914" t="s">
        <v>2915</v>
      </c>
      <c r="AH914">
        <v>5</v>
      </c>
      <c r="AI914">
        <v>3</v>
      </c>
      <c r="AJ914">
        <v>0</v>
      </c>
      <c r="AK914">
        <v>0</v>
      </c>
      <c r="AN914" t="s">
        <v>2926</v>
      </c>
      <c r="AO914" t="s">
        <v>13051</v>
      </c>
      <c r="AU914">
        <v>1.7</v>
      </c>
      <c r="AV914" t="s">
        <v>173</v>
      </c>
      <c r="AW914" t="s">
        <v>3084</v>
      </c>
    </row>
    <row r="915" spans="1:50">
      <c r="A915" s="1" t="s">
        <v>89</v>
      </c>
      <c r="B915" t="s">
        <v>164</v>
      </c>
      <c r="C915" t="s">
        <v>4125</v>
      </c>
      <c r="D915" t="s">
        <v>295</v>
      </c>
      <c r="E915" t="s">
        <v>275</v>
      </c>
      <c r="F915" t="s">
        <v>7207</v>
      </c>
      <c r="G915" t="s">
        <v>8313</v>
      </c>
      <c r="H915" t="s">
        <v>9717</v>
      </c>
      <c r="I915" t="s">
        <v>1509</v>
      </c>
      <c r="J915" t="s">
        <v>1647</v>
      </c>
      <c r="K915">
        <v>11434</v>
      </c>
      <c r="L915" t="s">
        <v>1670</v>
      </c>
      <c r="M915" t="s">
        <v>1670</v>
      </c>
      <c r="N915" t="s">
        <v>12027</v>
      </c>
      <c r="O915" t="s">
        <v>1939</v>
      </c>
      <c r="P915" t="s">
        <v>1958</v>
      </c>
      <c r="Q915" t="s">
        <v>1965</v>
      </c>
      <c r="R915" t="s">
        <v>50</v>
      </c>
      <c r="U915" t="s">
        <v>1972</v>
      </c>
      <c r="W915" t="s">
        <v>295</v>
      </c>
      <c r="X915">
        <v>1213</v>
      </c>
      <c r="Y915" t="s">
        <v>2007</v>
      </c>
      <c r="AA915" t="s">
        <v>2029</v>
      </c>
      <c r="AB915" t="s">
        <v>13690</v>
      </c>
      <c r="AC915">
        <v>6004868713</v>
      </c>
      <c r="AD915" t="s">
        <v>16161</v>
      </c>
      <c r="AE915">
        <v>2</v>
      </c>
      <c r="AG915" t="s">
        <v>2920</v>
      </c>
      <c r="AH915">
        <v>1</v>
      </c>
      <c r="AI915">
        <v>1</v>
      </c>
      <c r="AJ915">
        <v>0</v>
      </c>
      <c r="AK915">
        <v>0</v>
      </c>
      <c r="AO915" t="s">
        <v>13051</v>
      </c>
      <c r="AU915">
        <v>2.25</v>
      </c>
      <c r="AV915" t="s">
        <v>339</v>
      </c>
      <c r="AW915" t="s">
        <v>89</v>
      </c>
    </row>
    <row r="916" spans="1:50">
      <c r="A916" s="1" t="s">
        <v>53</v>
      </c>
      <c r="B916" t="s">
        <v>164</v>
      </c>
      <c r="C916" t="s">
        <v>4126</v>
      </c>
      <c r="D916" t="s">
        <v>342</v>
      </c>
      <c r="E916" t="s">
        <v>407</v>
      </c>
      <c r="F916" t="s">
        <v>6802</v>
      </c>
      <c r="G916" t="s">
        <v>8314</v>
      </c>
      <c r="H916" t="s">
        <v>9718</v>
      </c>
      <c r="I916" t="s">
        <v>1549</v>
      </c>
      <c r="J916" t="s">
        <v>11743</v>
      </c>
      <c r="K916">
        <v>11421</v>
      </c>
      <c r="L916" t="s">
        <v>1670</v>
      </c>
      <c r="M916" t="s">
        <v>1670</v>
      </c>
      <c r="N916" t="s">
        <v>12028</v>
      </c>
      <c r="O916" t="s">
        <v>1940</v>
      </c>
      <c r="P916" t="s">
        <v>1958</v>
      </c>
      <c r="Q916" t="s">
        <v>1965</v>
      </c>
      <c r="R916" t="s">
        <v>50</v>
      </c>
      <c r="S916" t="s">
        <v>1671</v>
      </c>
      <c r="U916" t="s">
        <v>1972</v>
      </c>
      <c r="V916" t="s">
        <v>1984</v>
      </c>
      <c r="W916" t="s">
        <v>342</v>
      </c>
      <c r="X916">
        <v>950</v>
      </c>
      <c r="Y916" t="s">
        <v>2007</v>
      </c>
      <c r="Z916" t="s">
        <v>2014</v>
      </c>
      <c r="AA916" t="s">
        <v>2029</v>
      </c>
      <c r="AB916" t="s">
        <v>13691</v>
      </c>
      <c r="AD916" t="s">
        <v>16162</v>
      </c>
      <c r="AE916">
        <v>2</v>
      </c>
      <c r="AF916" t="s">
        <v>2903</v>
      </c>
      <c r="AG916" t="s">
        <v>1754</v>
      </c>
      <c r="AH916">
        <v>1</v>
      </c>
      <c r="AI916">
        <v>1</v>
      </c>
      <c r="AJ916">
        <v>0</v>
      </c>
      <c r="AK916">
        <v>0</v>
      </c>
      <c r="AN916" t="s">
        <v>2926</v>
      </c>
      <c r="AO916" t="s">
        <v>13051</v>
      </c>
      <c r="AU916">
        <v>1.7</v>
      </c>
      <c r="AV916" t="s">
        <v>407</v>
      </c>
      <c r="AW916" t="s">
        <v>85</v>
      </c>
    </row>
    <row r="917" spans="1:50">
      <c r="A917" s="1" t="s">
        <v>56</v>
      </c>
      <c r="B917" t="s">
        <v>164</v>
      </c>
      <c r="C917" t="s">
        <v>4127</v>
      </c>
      <c r="D917" t="s">
        <v>328</v>
      </c>
      <c r="E917" t="s">
        <v>3037</v>
      </c>
      <c r="F917" t="s">
        <v>7208</v>
      </c>
      <c r="G917" t="s">
        <v>8315</v>
      </c>
      <c r="H917" t="s">
        <v>9719</v>
      </c>
      <c r="J917" t="s">
        <v>11744</v>
      </c>
      <c r="K917">
        <v>11419</v>
      </c>
      <c r="L917" t="s">
        <v>1670</v>
      </c>
      <c r="M917" t="s">
        <v>1672</v>
      </c>
      <c r="N917" t="s">
        <v>12029</v>
      </c>
      <c r="O917" t="s">
        <v>1940</v>
      </c>
      <c r="P917" t="s">
        <v>1958</v>
      </c>
      <c r="Q917" t="s">
        <v>1965</v>
      </c>
      <c r="R917" t="s">
        <v>50</v>
      </c>
      <c r="S917" t="s">
        <v>1671</v>
      </c>
      <c r="U917" t="s">
        <v>1972</v>
      </c>
      <c r="V917" t="s">
        <v>1984</v>
      </c>
      <c r="W917" t="s">
        <v>328</v>
      </c>
      <c r="X917">
        <v>750</v>
      </c>
      <c r="Y917" t="s">
        <v>2007</v>
      </c>
      <c r="Z917" t="s">
        <v>2014</v>
      </c>
      <c r="AA917" t="s">
        <v>2029</v>
      </c>
      <c r="AB917" t="s">
        <v>13692</v>
      </c>
      <c r="AC917" t="s">
        <v>15077</v>
      </c>
      <c r="AD917" t="s">
        <v>16163</v>
      </c>
      <c r="AE917">
        <v>2</v>
      </c>
      <c r="AF917" t="s">
        <v>2903</v>
      </c>
      <c r="AG917" t="s">
        <v>1754</v>
      </c>
      <c r="AH917">
        <v>5</v>
      </c>
      <c r="AI917">
        <v>1</v>
      </c>
      <c r="AJ917">
        <v>0</v>
      </c>
      <c r="AK917">
        <v>0</v>
      </c>
      <c r="AN917" t="s">
        <v>2926</v>
      </c>
      <c r="AO917" t="s">
        <v>13051</v>
      </c>
      <c r="AU917">
        <v>1.5</v>
      </c>
      <c r="AV917" t="s">
        <v>403</v>
      </c>
      <c r="AW917" t="s">
        <v>3073</v>
      </c>
      <c r="AX917" t="s">
        <v>18685</v>
      </c>
    </row>
    <row r="918" spans="1:50">
      <c r="A918" s="1" t="s">
        <v>53</v>
      </c>
      <c r="B918" t="s">
        <v>164</v>
      </c>
      <c r="C918" t="s">
        <v>4128</v>
      </c>
      <c r="D918" t="s">
        <v>313</v>
      </c>
      <c r="E918" t="s">
        <v>248</v>
      </c>
      <c r="F918" t="s">
        <v>7209</v>
      </c>
      <c r="G918" t="s">
        <v>8316</v>
      </c>
      <c r="H918" t="s">
        <v>9720</v>
      </c>
      <c r="I918" t="s">
        <v>1521</v>
      </c>
      <c r="J918" t="s">
        <v>11745</v>
      </c>
      <c r="K918">
        <v>11419</v>
      </c>
      <c r="L918" t="s">
        <v>1670</v>
      </c>
      <c r="M918" t="s">
        <v>1670</v>
      </c>
      <c r="N918" t="s">
        <v>12030</v>
      </c>
      <c r="O918" t="s">
        <v>1936</v>
      </c>
      <c r="P918" t="s">
        <v>1958</v>
      </c>
      <c r="Q918" t="s">
        <v>1965</v>
      </c>
      <c r="R918" t="s">
        <v>50</v>
      </c>
      <c r="S918" t="s">
        <v>1671</v>
      </c>
      <c r="U918" t="s">
        <v>1972</v>
      </c>
      <c r="V918" t="s">
        <v>1984</v>
      </c>
      <c r="W918" t="s">
        <v>313</v>
      </c>
      <c r="X918">
        <v>2300</v>
      </c>
      <c r="Y918" t="s">
        <v>2007</v>
      </c>
      <c r="Z918" t="s">
        <v>2014</v>
      </c>
      <c r="AA918" t="s">
        <v>2029</v>
      </c>
      <c r="AB918" t="s">
        <v>13693</v>
      </c>
      <c r="AD918" t="s">
        <v>16164</v>
      </c>
      <c r="AE918">
        <v>3</v>
      </c>
      <c r="AF918" t="s">
        <v>2903</v>
      </c>
      <c r="AG918" t="s">
        <v>1754</v>
      </c>
      <c r="AH918">
        <v>-1</v>
      </c>
      <c r="AI918">
        <v>1</v>
      </c>
      <c r="AJ918">
        <v>0</v>
      </c>
      <c r="AK918">
        <v>0</v>
      </c>
      <c r="AN918" t="s">
        <v>2926</v>
      </c>
      <c r="AO918" t="s">
        <v>13051</v>
      </c>
      <c r="AU918">
        <v>1.5</v>
      </c>
      <c r="AV918" t="s">
        <v>381</v>
      </c>
      <c r="AW918" t="s">
        <v>3044</v>
      </c>
    </row>
    <row r="919" spans="1:50">
      <c r="A919" s="1" t="s">
        <v>89</v>
      </c>
      <c r="B919" t="s">
        <v>164</v>
      </c>
      <c r="C919" t="s">
        <v>4129</v>
      </c>
      <c r="D919" t="s">
        <v>270</v>
      </c>
      <c r="E919" t="s">
        <v>306</v>
      </c>
      <c r="F919" t="s">
        <v>7210</v>
      </c>
      <c r="G919" t="s">
        <v>8071</v>
      </c>
      <c r="H919" t="s">
        <v>9721</v>
      </c>
      <c r="I919" t="s">
        <v>1549</v>
      </c>
      <c r="J919" t="s">
        <v>1655</v>
      </c>
      <c r="K919">
        <v>11370</v>
      </c>
      <c r="L919" t="s">
        <v>1670</v>
      </c>
      <c r="M919" t="s">
        <v>1670</v>
      </c>
      <c r="N919" t="s">
        <v>12031</v>
      </c>
      <c r="O919" t="s">
        <v>1954</v>
      </c>
      <c r="P919" t="s">
        <v>1958</v>
      </c>
      <c r="Q919" t="s">
        <v>1965</v>
      </c>
      <c r="R919" t="s">
        <v>50</v>
      </c>
      <c r="S919" t="s">
        <v>1671</v>
      </c>
      <c r="U919" t="s">
        <v>1972</v>
      </c>
      <c r="V919" t="s">
        <v>1984</v>
      </c>
      <c r="W919" t="s">
        <v>270</v>
      </c>
      <c r="X919">
        <v>500</v>
      </c>
      <c r="Y919" t="s">
        <v>2007</v>
      </c>
      <c r="Z919" t="s">
        <v>2014</v>
      </c>
      <c r="AA919" t="s">
        <v>2029</v>
      </c>
      <c r="AB919" t="s">
        <v>13694</v>
      </c>
      <c r="AD919" t="s">
        <v>16165</v>
      </c>
      <c r="AE919">
        <v>3</v>
      </c>
      <c r="AF919" t="s">
        <v>2903</v>
      </c>
      <c r="AG919" t="s">
        <v>1754</v>
      </c>
      <c r="AH919">
        <v>1</v>
      </c>
      <c r="AI919">
        <v>1</v>
      </c>
      <c r="AJ919">
        <v>0</v>
      </c>
      <c r="AK919">
        <v>0</v>
      </c>
      <c r="AN919" t="s">
        <v>2927</v>
      </c>
      <c r="AO919" t="s">
        <v>13051</v>
      </c>
      <c r="AU919">
        <v>1.04</v>
      </c>
      <c r="AV919" t="s">
        <v>306</v>
      </c>
      <c r="AW919" t="s">
        <v>89</v>
      </c>
    </row>
    <row r="920" spans="1:50">
      <c r="A920" s="1" t="s">
        <v>3176</v>
      </c>
      <c r="B920" t="s">
        <v>164</v>
      </c>
      <c r="C920" t="s">
        <v>4130</v>
      </c>
      <c r="D920" t="s">
        <v>352</v>
      </c>
      <c r="E920" t="s">
        <v>352</v>
      </c>
      <c r="F920" t="s">
        <v>7211</v>
      </c>
      <c r="G920" t="s">
        <v>8317</v>
      </c>
      <c r="H920" t="s">
        <v>9722</v>
      </c>
      <c r="I920" t="s">
        <v>1627</v>
      </c>
      <c r="J920" t="s">
        <v>1668</v>
      </c>
      <c r="K920">
        <v>11358</v>
      </c>
      <c r="L920" t="s">
        <v>1670</v>
      </c>
      <c r="M920" t="s">
        <v>1670</v>
      </c>
      <c r="N920" t="s">
        <v>1691</v>
      </c>
      <c r="O920" t="s">
        <v>1675</v>
      </c>
      <c r="P920" t="s">
        <v>1958</v>
      </c>
      <c r="Q920" t="s">
        <v>1965</v>
      </c>
      <c r="R920" t="s">
        <v>50</v>
      </c>
      <c r="S920" t="s">
        <v>1671</v>
      </c>
      <c r="U920" t="s">
        <v>1972</v>
      </c>
      <c r="V920" t="s">
        <v>1984</v>
      </c>
      <c r="W920" t="s">
        <v>352</v>
      </c>
      <c r="X920">
        <v>2300</v>
      </c>
      <c r="Y920" t="s">
        <v>2007</v>
      </c>
      <c r="Z920" t="s">
        <v>2017</v>
      </c>
      <c r="AA920" t="s">
        <v>2029</v>
      </c>
      <c r="AB920" t="s">
        <v>13695</v>
      </c>
      <c r="AC920" t="s">
        <v>1691</v>
      </c>
      <c r="AD920" t="s">
        <v>16166</v>
      </c>
      <c r="AE920">
        <v>2</v>
      </c>
      <c r="AF920" t="s">
        <v>2903</v>
      </c>
      <c r="AG920" t="s">
        <v>1754</v>
      </c>
      <c r="AH920">
        <v>4</v>
      </c>
      <c r="AI920">
        <v>1</v>
      </c>
      <c r="AJ920">
        <v>0</v>
      </c>
      <c r="AK920">
        <v>0</v>
      </c>
      <c r="AN920" t="s">
        <v>2926</v>
      </c>
      <c r="AO920" t="s">
        <v>13051</v>
      </c>
      <c r="AU920">
        <v>0.9</v>
      </c>
      <c r="AV920" t="s">
        <v>352</v>
      </c>
      <c r="AW920" t="s">
        <v>3083</v>
      </c>
    </row>
    <row r="921" spans="1:50">
      <c r="A921" s="1" t="s">
        <v>53</v>
      </c>
      <c r="B921" t="s">
        <v>164</v>
      </c>
      <c r="C921" t="s">
        <v>4131</v>
      </c>
      <c r="D921" t="s">
        <v>202</v>
      </c>
      <c r="E921" t="s">
        <v>395</v>
      </c>
      <c r="F921" t="s">
        <v>7212</v>
      </c>
      <c r="G921" t="s">
        <v>8318</v>
      </c>
      <c r="H921" t="s">
        <v>9723</v>
      </c>
      <c r="I921" t="s">
        <v>1618</v>
      </c>
      <c r="J921" t="s">
        <v>1668</v>
      </c>
      <c r="K921">
        <v>11355</v>
      </c>
      <c r="L921" t="s">
        <v>1670</v>
      </c>
      <c r="M921" t="s">
        <v>1670</v>
      </c>
      <c r="N921" t="s">
        <v>12032</v>
      </c>
      <c r="O921" t="s">
        <v>1940</v>
      </c>
      <c r="P921" t="s">
        <v>1958</v>
      </c>
      <c r="Q921" t="s">
        <v>1965</v>
      </c>
      <c r="R921" t="s">
        <v>50</v>
      </c>
      <c r="S921" t="s">
        <v>1671</v>
      </c>
      <c r="U921" t="s">
        <v>1972</v>
      </c>
      <c r="V921" t="s">
        <v>1984</v>
      </c>
      <c r="W921" t="s">
        <v>202</v>
      </c>
      <c r="X921">
        <v>1350</v>
      </c>
      <c r="Y921" t="s">
        <v>2007</v>
      </c>
      <c r="Z921" t="s">
        <v>2028</v>
      </c>
      <c r="AA921" t="s">
        <v>2029</v>
      </c>
      <c r="AB921" t="s">
        <v>13696</v>
      </c>
      <c r="AD921" t="s">
        <v>16167</v>
      </c>
      <c r="AE921">
        <v>97</v>
      </c>
      <c r="AF921" t="s">
        <v>2911</v>
      </c>
      <c r="AG921" t="s">
        <v>1754</v>
      </c>
      <c r="AH921">
        <v>1</v>
      </c>
      <c r="AI921">
        <v>3</v>
      </c>
      <c r="AJ921">
        <v>0</v>
      </c>
      <c r="AK921">
        <v>0</v>
      </c>
      <c r="AN921" t="s">
        <v>2933</v>
      </c>
      <c r="AO921" t="s">
        <v>13051</v>
      </c>
      <c r="AU921">
        <v>3.85</v>
      </c>
      <c r="AV921" t="s">
        <v>226</v>
      </c>
      <c r="AW921" t="s">
        <v>53</v>
      </c>
    </row>
    <row r="922" spans="1:50">
      <c r="A922" s="1" t="s">
        <v>53</v>
      </c>
      <c r="B922" t="s">
        <v>164</v>
      </c>
      <c r="C922" t="s">
        <v>4132</v>
      </c>
      <c r="D922" t="s">
        <v>360</v>
      </c>
      <c r="E922" t="s">
        <v>262</v>
      </c>
      <c r="F922" t="s">
        <v>447</v>
      </c>
      <c r="G922" t="s">
        <v>8319</v>
      </c>
      <c r="H922" t="s">
        <v>9724</v>
      </c>
      <c r="I922" t="s">
        <v>1525</v>
      </c>
      <c r="J922" t="s">
        <v>1668</v>
      </c>
      <c r="K922">
        <v>11355</v>
      </c>
      <c r="L922" t="s">
        <v>1670</v>
      </c>
      <c r="M922" t="s">
        <v>1670</v>
      </c>
      <c r="N922" t="s">
        <v>12033</v>
      </c>
      <c r="O922" t="s">
        <v>1939</v>
      </c>
      <c r="P922" t="s">
        <v>1958</v>
      </c>
      <c r="Q922" t="s">
        <v>1965</v>
      </c>
      <c r="R922" t="s">
        <v>50</v>
      </c>
      <c r="S922" t="s">
        <v>1671</v>
      </c>
      <c r="U922" t="s">
        <v>1972</v>
      </c>
      <c r="V922" t="s">
        <v>1984</v>
      </c>
      <c r="W922" t="s">
        <v>358</v>
      </c>
      <c r="X922">
        <v>450</v>
      </c>
      <c r="Y922" t="s">
        <v>2007</v>
      </c>
      <c r="Z922" t="s">
        <v>2028</v>
      </c>
      <c r="AA922" t="s">
        <v>2029</v>
      </c>
      <c r="AB922" t="s">
        <v>13697</v>
      </c>
      <c r="AD922" t="s">
        <v>16168</v>
      </c>
      <c r="AE922">
        <v>7</v>
      </c>
      <c r="AF922" t="s">
        <v>2903</v>
      </c>
      <c r="AG922" t="s">
        <v>1754</v>
      </c>
      <c r="AH922">
        <v>4</v>
      </c>
      <c r="AI922">
        <v>1</v>
      </c>
      <c r="AJ922">
        <v>0</v>
      </c>
      <c r="AK922">
        <v>0</v>
      </c>
      <c r="AN922" t="s">
        <v>2933</v>
      </c>
      <c r="AO922" t="s">
        <v>13051</v>
      </c>
      <c r="AU922">
        <v>1.6</v>
      </c>
      <c r="AV922" t="s">
        <v>262</v>
      </c>
      <c r="AW922" t="s">
        <v>53</v>
      </c>
    </row>
    <row r="923" spans="1:50">
      <c r="A923" s="1" t="s">
        <v>3151</v>
      </c>
      <c r="B923" t="s">
        <v>164</v>
      </c>
      <c r="C923" t="s">
        <v>4133</v>
      </c>
      <c r="D923" t="s">
        <v>264</v>
      </c>
      <c r="E923" t="s">
        <v>306</v>
      </c>
      <c r="F923" t="s">
        <v>7213</v>
      </c>
      <c r="G923" t="s">
        <v>909</v>
      </c>
      <c r="H923" t="s">
        <v>9725</v>
      </c>
      <c r="J923" t="s">
        <v>1644</v>
      </c>
      <c r="K923">
        <v>11233</v>
      </c>
      <c r="L923" t="s">
        <v>1670</v>
      </c>
      <c r="M923" t="s">
        <v>1670</v>
      </c>
      <c r="N923" t="s">
        <v>12034</v>
      </c>
      <c r="O923" t="s">
        <v>1940</v>
      </c>
      <c r="P923" t="s">
        <v>1958</v>
      </c>
      <c r="Q923" t="s">
        <v>1965</v>
      </c>
      <c r="R923" t="s">
        <v>50</v>
      </c>
      <c r="U923" t="s">
        <v>1972</v>
      </c>
      <c r="W923" t="s">
        <v>306</v>
      </c>
      <c r="X923" t="s">
        <v>13051</v>
      </c>
      <c r="Y923" t="s">
        <v>2009</v>
      </c>
      <c r="AA923" t="s">
        <v>2029</v>
      </c>
      <c r="AB923" t="s">
        <v>13698</v>
      </c>
      <c r="AD923" t="s">
        <v>16169</v>
      </c>
      <c r="AE923" t="s">
        <v>13051</v>
      </c>
      <c r="AF923" t="s">
        <v>2903</v>
      </c>
      <c r="AH923">
        <v>40</v>
      </c>
      <c r="AI923">
        <v>1</v>
      </c>
      <c r="AJ923">
        <v>0</v>
      </c>
      <c r="AK923">
        <v>0</v>
      </c>
      <c r="AN923" t="s">
        <v>2926</v>
      </c>
      <c r="AO923" t="s">
        <v>13051</v>
      </c>
      <c r="AU923">
        <v>1.25</v>
      </c>
      <c r="AV923" t="s">
        <v>264</v>
      </c>
      <c r="AW923" t="s">
        <v>3151</v>
      </c>
    </row>
    <row r="924" spans="1:50">
      <c r="A924" s="1" t="s">
        <v>3177</v>
      </c>
      <c r="B924" t="s">
        <v>164</v>
      </c>
      <c r="C924" t="s">
        <v>4134</v>
      </c>
      <c r="D924" t="s">
        <v>221</v>
      </c>
      <c r="E924" t="s">
        <v>190</v>
      </c>
      <c r="F924" t="s">
        <v>544</v>
      </c>
      <c r="G924" t="s">
        <v>8028</v>
      </c>
      <c r="H924" t="s">
        <v>9420</v>
      </c>
      <c r="I924" t="s">
        <v>1484</v>
      </c>
      <c r="J924" t="s">
        <v>1644</v>
      </c>
      <c r="K924">
        <v>11233</v>
      </c>
      <c r="L924" t="s">
        <v>1670</v>
      </c>
      <c r="M924" t="s">
        <v>1670</v>
      </c>
      <c r="O924" t="s">
        <v>1675</v>
      </c>
      <c r="P924" t="s">
        <v>1958</v>
      </c>
      <c r="Q924" t="s">
        <v>1965</v>
      </c>
      <c r="R924" t="s">
        <v>50</v>
      </c>
      <c r="S924" t="s">
        <v>1671</v>
      </c>
      <c r="U924" t="s">
        <v>1972</v>
      </c>
      <c r="W924" t="s">
        <v>221</v>
      </c>
      <c r="X924" t="s">
        <v>13051</v>
      </c>
      <c r="Y924" t="s">
        <v>2009</v>
      </c>
      <c r="AA924" t="s">
        <v>2029</v>
      </c>
      <c r="AB924" t="s">
        <v>13304</v>
      </c>
      <c r="AE924">
        <v>359</v>
      </c>
      <c r="AF924" t="s">
        <v>2902</v>
      </c>
      <c r="AG924" t="s">
        <v>1754</v>
      </c>
      <c r="AH924" t="s">
        <v>13051</v>
      </c>
      <c r="AI924">
        <v>1</v>
      </c>
      <c r="AJ924">
        <v>0</v>
      </c>
      <c r="AK924">
        <v>0</v>
      </c>
      <c r="AN924" t="s">
        <v>2926</v>
      </c>
      <c r="AO924" t="s">
        <v>13051</v>
      </c>
      <c r="AU924">
        <v>1</v>
      </c>
      <c r="AV924" t="s">
        <v>324</v>
      </c>
      <c r="AW924" t="s">
        <v>3059</v>
      </c>
    </row>
    <row r="925" spans="1:50">
      <c r="A925" s="1" t="s">
        <v>132</v>
      </c>
      <c r="B925" t="s">
        <v>164</v>
      </c>
      <c r="C925" t="s">
        <v>4135</v>
      </c>
      <c r="D925" t="s">
        <v>6165</v>
      </c>
      <c r="E925" t="s">
        <v>300</v>
      </c>
      <c r="F925" t="s">
        <v>7214</v>
      </c>
      <c r="G925" t="s">
        <v>8320</v>
      </c>
      <c r="H925" t="s">
        <v>1144</v>
      </c>
      <c r="I925" t="s">
        <v>1591</v>
      </c>
      <c r="J925" t="s">
        <v>1644</v>
      </c>
      <c r="K925">
        <v>11233</v>
      </c>
      <c r="L925" t="s">
        <v>1670</v>
      </c>
      <c r="M925" t="s">
        <v>1670</v>
      </c>
      <c r="N925" t="s">
        <v>1675</v>
      </c>
      <c r="O925" t="s">
        <v>1937</v>
      </c>
      <c r="P925" t="s">
        <v>1958</v>
      </c>
      <c r="Q925" t="s">
        <v>1965</v>
      </c>
      <c r="R925" t="s">
        <v>50</v>
      </c>
      <c r="S925" t="s">
        <v>1671</v>
      </c>
      <c r="U925" t="s">
        <v>1972</v>
      </c>
      <c r="W925" t="s">
        <v>1989</v>
      </c>
      <c r="X925">
        <v>859</v>
      </c>
      <c r="Y925" t="s">
        <v>2009</v>
      </c>
      <c r="Z925" t="s">
        <v>2020</v>
      </c>
      <c r="AA925" t="s">
        <v>2033</v>
      </c>
      <c r="AB925" t="s">
        <v>13699</v>
      </c>
      <c r="AC925" t="s">
        <v>2904</v>
      </c>
      <c r="AD925" t="s">
        <v>16170</v>
      </c>
      <c r="AE925">
        <v>1107</v>
      </c>
      <c r="AF925" t="s">
        <v>2902</v>
      </c>
      <c r="AG925" t="s">
        <v>2920</v>
      </c>
      <c r="AH925">
        <v>6</v>
      </c>
      <c r="AI925">
        <v>1</v>
      </c>
      <c r="AJ925">
        <v>0</v>
      </c>
      <c r="AK925">
        <v>0</v>
      </c>
      <c r="AN925" t="s">
        <v>2926</v>
      </c>
      <c r="AO925" t="s">
        <v>13051</v>
      </c>
      <c r="AP925" t="s">
        <v>2953</v>
      </c>
      <c r="AU925">
        <v>2</v>
      </c>
      <c r="AV925" t="s">
        <v>300</v>
      </c>
      <c r="AW925" t="s">
        <v>3060</v>
      </c>
    </row>
    <row r="926" spans="1:50">
      <c r="A926" s="1" t="s">
        <v>103</v>
      </c>
      <c r="B926" t="s">
        <v>164</v>
      </c>
      <c r="C926" t="s">
        <v>4136</v>
      </c>
      <c r="D926" t="s">
        <v>349</v>
      </c>
      <c r="E926" t="s">
        <v>270</v>
      </c>
      <c r="F926" t="s">
        <v>7215</v>
      </c>
      <c r="G926" t="s">
        <v>8321</v>
      </c>
      <c r="H926" t="s">
        <v>9726</v>
      </c>
      <c r="I926" t="s">
        <v>1524</v>
      </c>
      <c r="J926" t="s">
        <v>1644</v>
      </c>
      <c r="K926">
        <v>11233</v>
      </c>
      <c r="L926" t="s">
        <v>1670</v>
      </c>
      <c r="M926" t="s">
        <v>1670</v>
      </c>
      <c r="N926" t="s">
        <v>12035</v>
      </c>
      <c r="O926" t="s">
        <v>1936</v>
      </c>
      <c r="P926" t="s">
        <v>1958</v>
      </c>
      <c r="Q926" t="s">
        <v>1965</v>
      </c>
      <c r="R926" t="s">
        <v>50</v>
      </c>
      <c r="U926" t="s">
        <v>1972</v>
      </c>
      <c r="W926" t="s">
        <v>349</v>
      </c>
      <c r="X926">
        <v>800</v>
      </c>
      <c r="Y926" t="s">
        <v>2009</v>
      </c>
      <c r="Z926" t="s">
        <v>2020</v>
      </c>
      <c r="AA926" t="s">
        <v>2029</v>
      </c>
      <c r="AB926" t="s">
        <v>13700</v>
      </c>
      <c r="AD926" t="s">
        <v>16171</v>
      </c>
      <c r="AE926">
        <v>3</v>
      </c>
      <c r="AG926" t="s">
        <v>2916</v>
      </c>
      <c r="AH926">
        <v>5</v>
      </c>
      <c r="AI926">
        <v>1</v>
      </c>
      <c r="AJ926">
        <v>0</v>
      </c>
      <c r="AK926">
        <v>0</v>
      </c>
      <c r="AN926" t="s">
        <v>2926</v>
      </c>
      <c r="AO926" t="s">
        <v>13051</v>
      </c>
      <c r="AU926">
        <v>5</v>
      </c>
      <c r="AV926" t="s">
        <v>311</v>
      </c>
      <c r="AW926" t="s">
        <v>3069</v>
      </c>
    </row>
    <row r="927" spans="1:50">
      <c r="A927" s="1" t="s">
        <v>69</v>
      </c>
      <c r="B927" t="s">
        <v>164</v>
      </c>
      <c r="C927" t="s">
        <v>4137</v>
      </c>
      <c r="D927" t="s">
        <v>356</v>
      </c>
      <c r="E927" t="s">
        <v>385</v>
      </c>
      <c r="F927" t="s">
        <v>7104</v>
      </c>
      <c r="G927" t="s">
        <v>8322</v>
      </c>
      <c r="H927" t="s">
        <v>9656</v>
      </c>
      <c r="I927" t="s">
        <v>1510</v>
      </c>
      <c r="J927" t="s">
        <v>1644</v>
      </c>
      <c r="K927">
        <v>11226</v>
      </c>
      <c r="L927" t="s">
        <v>1672</v>
      </c>
      <c r="M927" t="s">
        <v>1672</v>
      </c>
      <c r="P927" t="s">
        <v>1958</v>
      </c>
      <c r="Q927" t="s">
        <v>1965</v>
      </c>
      <c r="R927" t="s">
        <v>50</v>
      </c>
      <c r="U927" t="s">
        <v>1972</v>
      </c>
      <c r="W927" t="s">
        <v>356</v>
      </c>
      <c r="X927" t="s">
        <v>13051</v>
      </c>
      <c r="Y927" t="s">
        <v>2009</v>
      </c>
      <c r="AA927" t="s">
        <v>2029</v>
      </c>
      <c r="AB927" t="s">
        <v>13620</v>
      </c>
      <c r="AD927" t="s">
        <v>16172</v>
      </c>
      <c r="AE927">
        <v>34</v>
      </c>
      <c r="AH927">
        <v>2</v>
      </c>
      <c r="AI927">
        <v>1</v>
      </c>
      <c r="AJ927">
        <v>0</v>
      </c>
      <c r="AK927">
        <v>0</v>
      </c>
      <c r="AN927" t="s">
        <v>2928</v>
      </c>
      <c r="AO927" t="s">
        <v>13051</v>
      </c>
      <c r="AU927">
        <v>2.35</v>
      </c>
      <c r="AV927" t="s">
        <v>385</v>
      </c>
      <c r="AW927" t="s">
        <v>69</v>
      </c>
    </row>
    <row r="928" spans="1:50">
      <c r="A928" s="1" t="s">
        <v>158</v>
      </c>
      <c r="B928" t="s">
        <v>164</v>
      </c>
      <c r="C928" t="s">
        <v>4138</v>
      </c>
      <c r="D928" t="s">
        <v>171</v>
      </c>
      <c r="E928" t="s">
        <v>328</v>
      </c>
      <c r="F928" t="s">
        <v>7216</v>
      </c>
      <c r="G928" t="s">
        <v>724</v>
      </c>
      <c r="H928" t="s">
        <v>9727</v>
      </c>
      <c r="I928">
        <v>9</v>
      </c>
      <c r="J928" t="s">
        <v>1644</v>
      </c>
      <c r="K928">
        <v>11215</v>
      </c>
      <c r="L928" t="s">
        <v>1670</v>
      </c>
      <c r="M928" t="s">
        <v>1672</v>
      </c>
      <c r="P928" t="s">
        <v>1958</v>
      </c>
      <c r="Q928" t="s">
        <v>1965</v>
      </c>
      <c r="R928" t="s">
        <v>50</v>
      </c>
      <c r="U928" t="s">
        <v>1972</v>
      </c>
      <c r="W928" t="s">
        <v>171</v>
      </c>
      <c r="X928" t="s">
        <v>13051</v>
      </c>
      <c r="Y928" t="s">
        <v>2009</v>
      </c>
      <c r="AA928" t="s">
        <v>2029</v>
      </c>
      <c r="AB928" t="s">
        <v>13701</v>
      </c>
      <c r="AD928" t="s">
        <v>16173</v>
      </c>
      <c r="AE928" t="s">
        <v>13051</v>
      </c>
      <c r="AH928" t="s">
        <v>13051</v>
      </c>
      <c r="AI928">
        <v>1</v>
      </c>
      <c r="AJ928">
        <v>0</v>
      </c>
      <c r="AK928">
        <v>0</v>
      </c>
      <c r="AN928" t="s">
        <v>2927</v>
      </c>
      <c r="AO928" t="s">
        <v>13051</v>
      </c>
      <c r="AU928">
        <v>0.5</v>
      </c>
      <c r="AV928" t="s">
        <v>328</v>
      </c>
      <c r="AW928" t="s">
        <v>158</v>
      </c>
      <c r="AX928" t="s">
        <v>18685</v>
      </c>
    </row>
    <row r="929" spans="1:50">
      <c r="A929" s="1" t="s">
        <v>135</v>
      </c>
      <c r="B929" t="s">
        <v>164</v>
      </c>
      <c r="C929" t="s">
        <v>4139</v>
      </c>
      <c r="D929" t="s">
        <v>384</v>
      </c>
      <c r="E929" t="s">
        <v>361</v>
      </c>
      <c r="F929" t="s">
        <v>7217</v>
      </c>
      <c r="G929" t="s">
        <v>1002</v>
      </c>
      <c r="H929" t="s">
        <v>9632</v>
      </c>
      <c r="I929" t="s">
        <v>1528</v>
      </c>
      <c r="J929" t="s">
        <v>1644</v>
      </c>
      <c r="K929">
        <v>11212</v>
      </c>
      <c r="L929" t="s">
        <v>1670</v>
      </c>
      <c r="M929" t="s">
        <v>1670</v>
      </c>
      <c r="N929" t="s">
        <v>1693</v>
      </c>
      <c r="O929" t="s">
        <v>1939</v>
      </c>
      <c r="P929" t="s">
        <v>1958</v>
      </c>
      <c r="Q929" t="s">
        <v>1965</v>
      </c>
      <c r="R929" t="s">
        <v>50</v>
      </c>
      <c r="S929" t="s">
        <v>1670</v>
      </c>
      <c r="U929" t="s">
        <v>1972</v>
      </c>
      <c r="V929" t="s">
        <v>1984</v>
      </c>
      <c r="W929" t="s">
        <v>253</v>
      </c>
      <c r="X929">
        <v>900</v>
      </c>
      <c r="Y929" t="s">
        <v>2009</v>
      </c>
      <c r="Z929" t="s">
        <v>2015</v>
      </c>
      <c r="AA929" t="s">
        <v>2029</v>
      </c>
      <c r="AB929" t="s">
        <v>2223</v>
      </c>
      <c r="AE929">
        <v>38</v>
      </c>
      <c r="AF929" t="s">
        <v>2902</v>
      </c>
      <c r="AG929" t="s">
        <v>1754</v>
      </c>
      <c r="AH929">
        <v>25</v>
      </c>
      <c r="AI929">
        <v>1</v>
      </c>
      <c r="AJ929">
        <v>0</v>
      </c>
      <c r="AK929">
        <v>0</v>
      </c>
      <c r="AN929" t="s">
        <v>2926</v>
      </c>
      <c r="AO929" t="s">
        <v>13051</v>
      </c>
      <c r="AU929">
        <v>0.1</v>
      </c>
      <c r="AV929" t="s">
        <v>361</v>
      </c>
      <c r="AW929" t="s">
        <v>3059</v>
      </c>
      <c r="AX929" t="s">
        <v>18685</v>
      </c>
    </row>
    <row r="930" spans="1:50">
      <c r="A930" s="1" t="s">
        <v>3151</v>
      </c>
      <c r="B930" t="s">
        <v>164</v>
      </c>
      <c r="C930" t="s">
        <v>4140</v>
      </c>
      <c r="D930" t="s">
        <v>6165</v>
      </c>
      <c r="E930" t="s">
        <v>169</v>
      </c>
      <c r="F930" t="s">
        <v>7218</v>
      </c>
      <c r="G930" t="s">
        <v>843</v>
      </c>
      <c r="H930" t="s">
        <v>9728</v>
      </c>
      <c r="I930" t="s">
        <v>1602</v>
      </c>
      <c r="J930" t="s">
        <v>1644</v>
      </c>
      <c r="K930">
        <v>11207</v>
      </c>
      <c r="L930" t="s">
        <v>1670</v>
      </c>
      <c r="M930" t="s">
        <v>1671</v>
      </c>
      <c r="N930" t="s">
        <v>12036</v>
      </c>
      <c r="O930" t="s">
        <v>1936</v>
      </c>
      <c r="P930" t="s">
        <v>1958</v>
      </c>
      <c r="Q930" t="s">
        <v>1965</v>
      </c>
      <c r="R930" t="s">
        <v>50</v>
      </c>
      <c r="S930" t="s">
        <v>1671</v>
      </c>
      <c r="U930" t="s">
        <v>1972</v>
      </c>
      <c r="W930" t="s">
        <v>1989</v>
      </c>
      <c r="X930">
        <v>1130</v>
      </c>
      <c r="Y930" t="s">
        <v>2009</v>
      </c>
      <c r="Z930" t="s">
        <v>2023</v>
      </c>
      <c r="AA930" t="s">
        <v>2029</v>
      </c>
      <c r="AB930" t="s">
        <v>13702</v>
      </c>
      <c r="AC930" t="s">
        <v>15093</v>
      </c>
      <c r="AD930" t="s">
        <v>16174</v>
      </c>
      <c r="AE930">
        <v>542</v>
      </c>
      <c r="AF930" t="s">
        <v>2902</v>
      </c>
      <c r="AG930" t="s">
        <v>1754</v>
      </c>
      <c r="AH930">
        <v>34</v>
      </c>
      <c r="AI930">
        <v>2</v>
      </c>
      <c r="AJ930">
        <v>0</v>
      </c>
      <c r="AK930">
        <v>0</v>
      </c>
      <c r="AN930" t="s">
        <v>2926</v>
      </c>
      <c r="AO930" t="s">
        <v>13051</v>
      </c>
      <c r="AP930" t="s">
        <v>18226</v>
      </c>
      <c r="AU930">
        <v>1.5</v>
      </c>
      <c r="AV930" t="s">
        <v>6210</v>
      </c>
      <c r="AW930" t="s">
        <v>3060</v>
      </c>
      <c r="AX930" t="s">
        <v>18686</v>
      </c>
    </row>
    <row r="931" spans="1:50">
      <c r="A931" s="1" t="s">
        <v>69</v>
      </c>
      <c r="B931" t="s">
        <v>164</v>
      </c>
      <c r="C931" t="s">
        <v>4141</v>
      </c>
      <c r="D931" t="s">
        <v>310</v>
      </c>
      <c r="E931" t="s">
        <v>171</v>
      </c>
      <c r="F931" t="s">
        <v>521</v>
      </c>
      <c r="G931" t="s">
        <v>8323</v>
      </c>
      <c r="H931" t="s">
        <v>9729</v>
      </c>
      <c r="I931" t="s">
        <v>1596</v>
      </c>
      <c r="J931" t="s">
        <v>1644</v>
      </c>
      <c r="K931">
        <v>11206</v>
      </c>
      <c r="L931" t="s">
        <v>1670</v>
      </c>
      <c r="M931" t="s">
        <v>1670</v>
      </c>
      <c r="N931" t="s">
        <v>12037</v>
      </c>
      <c r="O931" t="s">
        <v>1936</v>
      </c>
      <c r="P931" t="s">
        <v>1958</v>
      </c>
      <c r="Q931" t="s">
        <v>1965</v>
      </c>
      <c r="R931" t="s">
        <v>50</v>
      </c>
      <c r="U931" t="s">
        <v>1972</v>
      </c>
      <c r="W931" t="s">
        <v>310</v>
      </c>
      <c r="X931">
        <v>260</v>
      </c>
      <c r="Y931" t="s">
        <v>2009</v>
      </c>
      <c r="AA931" t="s">
        <v>2029</v>
      </c>
      <c r="AB931" t="s">
        <v>2223</v>
      </c>
      <c r="AE931" t="s">
        <v>13051</v>
      </c>
      <c r="AH931">
        <v>13</v>
      </c>
      <c r="AI931">
        <v>1</v>
      </c>
      <c r="AJ931">
        <v>0</v>
      </c>
      <c r="AK931">
        <v>0</v>
      </c>
      <c r="AN931" t="s">
        <v>2927</v>
      </c>
      <c r="AO931" t="s">
        <v>13051</v>
      </c>
      <c r="AU931">
        <v>2</v>
      </c>
      <c r="AV931" t="s">
        <v>179</v>
      </c>
      <c r="AW931" t="s">
        <v>69</v>
      </c>
    </row>
    <row r="932" spans="1:50">
      <c r="A932" s="1" t="s">
        <v>73</v>
      </c>
      <c r="B932" t="s">
        <v>164</v>
      </c>
      <c r="C932" t="s">
        <v>4142</v>
      </c>
      <c r="D932" t="s">
        <v>266</v>
      </c>
      <c r="E932" t="s">
        <v>253</v>
      </c>
      <c r="F932" t="s">
        <v>429</v>
      </c>
      <c r="G932" t="s">
        <v>8324</v>
      </c>
      <c r="H932" t="s">
        <v>9447</v>
      </c>
      <c r="I932" t="s">
        <v>11135</v>
      </c>
      <c r="J932" t="s">
        <v>1654</v>
      </c>
      <c r="K932">
        <v>11103</v>
      </c>
      <c r="L932" t="s">
        <v>1670</v>
      </c>
      <c r="M932" t="s">
        <v>1670</v>
      </c>
      <c r="O932" t="s">
        <v>1675</v>
      </c>
      <c r="P932" t="s">
        <v>1958</v>
      </c>
      <c r="Q932" t="s">
        <v>1965</v>
      </c>
      <c r="R932" t="s">
        <v>50</v>
      </c>
      <c r="S932" t="s">
        <v>1671</v>
      </c>
      <c r="U932" t="s">
        <v>1972</v>
      </c>
      <c r="W932" t="s">
        <v>316</v>
      </c>
      <c r="X932" t="s">
        <v>13051</v>
      </c>
      <c r="Y932" t="s">
        <v>2007</v>
      </c>
      <c r="Z932" t="s">
        <v>2015</v>
      </c>
      <c r="AA932" t="s">
        <v>2029</v>
      </c>
      <c r="AB932" t="s">
        <v>13319</v>
      </c>
      <c r="AC932" t="s">
        <v>15077</v>
      </c>
      <c r="AD932" t="s">
        <v>15077</v>
      </c>
      <c r="AE932" t="s">
        <v>13051</v>
      </c>
      <c r="AF932" t="s">
        <v>2904</v>
      </c>
      <c r="AG932" t="s">
        <v>1754</v>
      </c>
      <c r="AH932" t="s">
        <v>13051</v>
      </c>
      <c r="AI932">
        <v>1</v>
      </c>
      <c r="AJ932">
        <v>0</v>
      </c>
      <c r="AK932">
        <v>0</v>
      </c>
      <c r="AN932" t="s">
        <v>2926</v>
      </c>
      <c r="AO932" t="s">
        <v>13051</v>
      </c>
      <c r="AU932">
        <v>0.05</v>
      </c>
      <c r="AV932" t="s">
        <v>253</v>
      </c>
      <c r="AW932" t="s">
        <v>73</v>
      </c>
    </row>
    <row r="933" spans="1:50">
      <c r="A933" s="1" t="s">
        <v>93</v>
      </c>
      <c r="B933" t="s">
        <v>164</v>
      </c>
      <c r="C933" t="s">
        <v>4143</v>
      </c>
      <c r="D933" t="s">
        <v>352</v>
      </c>
      <c r="E933" t="s">
        <v>306</v>
      </c>
      <c r="F933" t="s">
        <v>7012</v>
      </c>
      <c r="G933" t="s">
        <v>8056</v>
      </c>
      <c r="H933" t="s">
        <v>9730</v>
      </c>
      <c r="I933" t="s">
        <v>10955</v>
      </c>
      <c r="J933" t="s">
        <v>1656</v>
      </c>
      <c r="K933">
        <v>11101</v>
      </c>
      <c r="L933" t="s">
        <v>1670</v>
      </c>
      <c r="M933" t="s">
        <v>1670</v>
      </c>
      <c r="N933" t="s">
        <v>12038</v>
      </c>
      <c r="O933" t="s">
        <v>1940</v>
      </c>
      <c r="P933" t="s">
        <v>1958</v>
      </c>
      <c r="Q933" t="s">
        <v>1965</v>
      </c>
      <c r="R933" t="s">
        <v>50</v>
      </c>
      <c r="S933" t="s">
        <v>1671</v>
      </c>
      <c r="U933" t="s">
        <v>1972</v>
      </c>
      <c r="V933" t="s">
        <v>1984</v>
      </c>
      <c r="W933" t="s">
        <v>352</v>
      </c>
      <c r="X933">
        <v>652</v>
      </c>
      <c r="Y933" t="s">
        <v>2007</v>
      </c>
      <c r="Z933" t="s">
        <v>2014</v>
      </c>
      <c r="AA933" t="s">
        <v>2029</v>
      </c>
      <c r="AB933" t="s">
        <v>13703</v>
      </c>
      <c r="AC933" t="s">
        <v>15077</v>
      </c>
      <c r="AD933" t="s">
        <v>16175</v>
      </c>
      <c r="AE933">
        <v>306</v>
      </c>
      <c r="AF933" t="s">
        <v>2910</v>
      </c>
      <c r="AG933" t="s">
        <v>1754</v>
      </c>
      <c r="AH933">
        <v>1</v>
      </c>
      <c r="AI933">
        <v>1</v>
      </c>
      <c r="AJ933">
        <v>0</v>
      </c>
      <c r="AK933">
        <v>0</v>
      </c>
      <c r="AN933" t="s">
        <v>2926</v>
      </c>
      <c r="AO933" t="s">
        <v>13051</v>
      </c>
      <c r="AU933">
        <v>1</v>
      </c>
      <c r="AV933" t="s">
        <v>306</v>
      </c>
      <c r="AW933" t="s">
        <v>85</v>
      </c>
    </row>
    <row r="934" spans="1:50">
      <c r="A934" s="1" t="s">
        <v>74</v>
      </c>
      <c r="B934" t="s">
        <v>164</v>
      </c>
      <c r="C934" t="s">
        <v>4144</v>
      </c>
      <c r="D934" t="s">
        <v>339</v>
      </c>
      <c r="E934" t="s">
        <v>401</v>
      </c>
      <c r="F934" t="s">
        <v>7219</v>
      </c>
      <c r="G934" t="s">
        <v>843</v>
      </c>
      <c r="H934" t="s">
        <v>9731</v>
      </c>
      <c r="J934" t="s">
        <v>1641</v>
      </c>
      <c r="K934">
        <v>10467</v>
      </c>
      <c r="L934" t="s">
        <v>1670</v>
      </c>
      <c r="M934" t="s">
        <v>1672</v>
      </c>
      <c r="N934" t="s">
        <v>1687</v>
      </c>
      <c r="O934" t="s">
        <v>1675</v>
      </c>
      <c r="P934" t="s">
        <v>1958</v>
      </c>
      <c r="Q934" t="s">
        <v>1965</v>
      </c>
      <c r="R934" t="s">
        <v>50</v>
      </c>
      <c r="S934" t="s">
        <v>1671</v>
      </c>
      <c r="U934" t="s">
        <v>1972</v>
      </c>
      <c r="V934" t="s">
        <v>1984</v>
      </c>
      <c r="W934" t="s">
        <v>1991</v>
      </c>
      <c r="X934" t="s">
        <v>13051</v>
      </c>
      <c r="Y934" t="s">
        <v>2006</v>
      </c>
      <c r="Z934" t="s">
        <v>2015</v>
      </c>
      <c r="AA934" t="s">
        <v>2032</v>
      </c>
      <c r="AB934" t="s">
        <v>13704</v>
      </c>
      <c r="AD934" t="s">
        <v>16176</v>
      </c>
      <c r="AE934">
        <v>74</v>
      </c>
      <c r="AF934" t="s">
        <v>2904</v>
      </c>
      <c r="AG934" t="s">
        <v>1754</v>
      </c>
      <c r="AH934">
        <v>6</v>
      </c>
      <c r="AI934">
        <v>2</v>
      </c>
      <c r="AJ934">
        <v>0</v>
      </c>
      <c r="AK934">
        <v>0</v>
      </c>
      <c r="AN934" t="s">
        <v>2927</v>
      </c>
      <c r="AO934" t="s">
        <v>13051</v>
      </c>
      <c r="AT934" t="s">
        <v>3021</v>
      </c>
      <c r="AU934">
        <v>0.7</v>
      </c>
      <c r="AV934" t="s">
        <v>219</v>
      </c>
      <c r="AW934" t="s">
        <v>74</v>
      </c>
      <c r="AX934" t="s">
        <v>18685</v>
      </c>
    </row>
    <row r="935" spans="1:50">
      <c r="A935" s="1" t="s">
        <v>128</v>
      </c>
      <c r="B935" t="s">
        <v>164</v>
      </c>
      <c r="C935" t="s">
        <v>4145</v>
      </c>
      <c r="D935" t="s">
        <v>246</v>
      </c>
      <c r="E935" t="s">
        <v>246</v>
      </c>
      <c r="F935" t="s">
        <v>415</v>
      </c>
      <c r="G935" t="s">
        <v>8325</v>
      </c>
      <c r="H935" t="s">
        <v>9732</v>
      </c>
      <c r="J935" t="s">
        <v>1641</v>
      </c>
      <c r="K935">
        <v>10467</v>
      </c>
      <c r="L935" t="s">
        <v>1670</v>
      </c>
      <c r="M935" t="s">
        <v>1670</v>
      </c>
      <c r="N935" t="s">
        <v>1754</v>
      </c>
      <c r="O935" t="s">
        <v>1941</v>
      </c>
      <c r="P935" t="s">
        <v>1958</v>
      </c>
      <c r="Q935" t="s">
        <v>1965</v>
      </c>
      <c r="R935" t="s">
        <v>50</v>
      </c>
      <c r="S935" t="s">
        <v>1671</v>
      </c>
      <c r="U935" t="s">
        <v>1972</v>
      </c>
      <c r="V935" t="s">
        <v>1984</v>
      </c>
      <c r="W935" t="s">
        <v>246</v>
      </c>
      <c r="X935" t="s">
        <v>13051</v>
      </c>
      <c r="Y935" t="s">
        <v>2006</v>
      </c>
      <c r="Z935" t="s">
        <v>2015</v>
      </c>
      <c r="AA935" t="s">
        <v>2029</v>
      </c>
      <c r="AB935" t="s">
        <v>13705</v>
      </c>
      <c r="AC935" t="s">
        <v>1691</v>
      </c>
      <c r="AE935" t="s">
        <v>13051</v>
      </c>
      <c r="AF935" t="s">
        <v>2904</v>
      </c>
      <c r="AG935" t="s">
        <v>1754</v>
      </c>
      <c r="AH935" t="s">
        <v>13051</v>
      </c>
      <c r="AI935">
        <v>1</v>
      </c>
      <c r="AJ935">
        <v>0</v>
      </c>
      <c r="AK935">
        <v>0</v>
      </c>
      <c r="AN935" t="s">
        <v>2926</v>
      </c>
      <c r="AO935" t="s">
        <v>13051</v>
      </c>
      <c r="AU935">
        <v>1.25</v>
      </c>
      <c r="AV935" t="s">
        <v>246</v>
      </c>
      <c r="AW935" t="s">
        <v>128</v>
      </c>
    </row>
    <row r="936" spans="1:50">
      <c r="A936" s="1" t="s">
        <v>52</v>
      </c>
      <c r="B936" t="s">
        <v>164</v>
      </c>
      <c r="C936" t="s">
        <v>4146</v>
      </c>
      <c r="D936" t="s">
        <v>220</v>
      </c>
      <c r="E936" t="s">
        <v>220</v>
      </c>
      <c r="F936" t="s">
        <v>7220</v>
      </c>
      <c r="G936" t="s">
        <v>8326</v>
      </c>
      <c r="H936" t="s">
        <v>9733</v>
      </c>
      <c r="I936" t="s">
        <v>1550</v>
      </c>
      <c r="J936" t="s">
        <v>1641</v>
      </c>
      <c r="K936">
        <v>10461</v>
      </c>
      <c r="L936" t="s">
        <v>1670</v>
      </c>
      <c r="M936" t="s">
        <v>1670</v>
      </c>
      <c r="N936" t="s">
        <v>1691</v>
      </c>
      <c r="O936" t="s">
        <v>1941</v>
      </c>
      <c r="P936" t="s">
        <v>1958</v>
      </c>
      <c r="Q936" t="s">
        <v>1965</v>
      </c>
      <c r="R936" t="s">
        <v>50</v>
      </c>
      <c r="S936" t="s">
        <v>1671</v>
      </c>
      <c r="U936" t="s">
        <v>1972</v>
      </c>
      <c r="W936" t="s">
        <v>220</v>
      </c>
      <c r="X936">
        <v>2400</v>
      </c>
      <c r="Y936" t="s">
        <v>2006</v>
      </c>
      <c r="Z936" t="s">
        <v>2015</v>
      </c>
      <c r="AA936" t="s">
        <v>2029</v>
      </c>
      <c r="AB936" t="s">
        <v>13706</v>
      </c>
      <c r="AD936" t="s">
        <v>16177</v>
      </c>
      <c r="AE936" t="s">
        <v>13051</v>
      </c>
      <c r="AF936" t="s">
        <v>2903</v>
      </c>
      <c r="AG936" t="s">
        <v>1754</v>
      </c>
      <c r="AH936">
        <v>3</v>
      </c>
      <c r="AI936">
        <v>1</v>
      </c>
      <c r="AJ936">
        <v>0</v>
      </c>
      <c r="AK936">
        <v>0</v>
      </c>
      <c r="AN936" t="s">
        <v>2926</v>
      </c>
      <c r="AO936" t="s">
        <v>13051</v>
      </c>
      <c r="AU936">
        <v>0.3</v>
      </c>
      <c r="AV936" t="s">
        <v>220</v>
      </c>
      <c r="AW936" t="s">
        <v>3045</v>
      </c>
    </row>
    <row r="937" spans="1:50">
      <c r="A937" s="1" t="s">
        <v>59</v>
      </c>
      <c r="B937" t="s">
        <v>164</v>
      </c>
      <c r="C937" t="s">
        <v>4147</v>
      </c>
      <c r="D937" t="s">
        <v>264</v>
      </c>
      <c r="E937" t="s">
        <v>391</v>
      </c>
      <c r="F937" t="s">
        <v>7221</v>
      </c>
      <c r="G937" t="s">
        <v>8327</v>
      </c>
      <c r="H937" t="s">
        <v>9734</v>
      </c>
      <c r="I937">
        <v>3</v>
      </c>
      <c r="J937" t="s">
        <v>1641</v>
      </c>
      <c r="K937">
        <v>10460</v>
      </c>
      <c r="L937" t="s">
        <v>1670</v>
      </c>
      <c r="M937" t="s">
        <v>1670</v>
      </c>
      <c r="N937" t="s">
        <v>12039</v>
      </c>
      <c r="O937" t="s">
        <v>1940</v>
      </c>
      <c r="P937" t="s">
        <v>1958</v>
      </c>
      <c r="Q937" t="s">
        <v>1965</v>
      </c>
      <c r="R937" t="s">
        <v>50</v>
      </c>
      <c r="S937" t="s">
        <v>1671</v>
      </c>
      <c r="U937" t="s">
        <v>1972</v>
      </c>
      <c r="V937" t="s">
        <v>1984</v>
      </c>
      <c r="W937" t="s">
        <v>250</v>
      </c>
      <c r="X937" t="s">
        <v>13051</v>
      </c>
      <c r="Y937" t="s">
        <v>2006</v>
      </c>
      <c r="Z937" t="s">
        <v>2015</v>
      </c>
      <c r="AA937" t="s">
        <v>2029</v>
      </c>
      <c r="AB937" t="s">
        <v>13707</v>
      </c>
      <c r="AD937" t="s">
        <v>16178</v>
      </c>
      <c r="AE937">
        <v>30</v>
      </c>
      <c r="AF937" t="s">
        <v>2904</v>
      </c>
      <c r="AG937" t="s">
        <v>1754</v>
      </c>
      <c r="AH937">
        <v>7</v>
      </c>
      <c r="AI937">
        <v>3</v>
      </c>
      <c r="AJ937">
        <v>0</v>
      </c>
      <c r="AK937">
        <v>0</v>
      </c>
      <c r="AN937" t="s">
        <v>2927</v>
      </c>
      <c r="AO937" t="s">
        <v>13051</v>
      </c>
      <c r="AU937">
        <v>0.1</v>
      </c>
      <c r="AV937" t="s">
        <v>391</v>
      </c>
      <c r="AW937" t="s">
        <v>3047</v>
      </c>
    </row>
    <row r="938" spans="1:50">
      <c r="A938" s="1" t="s">
        <v>58</v>
      </c>
      <c r="B938" t="s">
        <v>164</v>
      </c>
      <c r="C938" t="s">
        <v>4148</v>
      </c>
      <c r="D938" t="s">
        <v>170</v>
      </c>
      <c r="E938" t="s">
        <v>195</v>
      </c>
      <c r="F938" t="s">
        <v>6935</v>
      </c>
      <c r="G938" t="s">
        <v>952</v>
      </c>
      <c r="H938" t="s">
        <v>9735</v>
      </c>
      <c r="I938" t="s">
        <v>11136</v>
      </c>
      <c r="J938" t="s">
        <v>1641</v>
      </c>
      <c r="K938">
        <v>10457</v>
      </c>
      <c r="L938" t="s">
        <v>1670</v>
      </c>
      <c r="M938" t="s">
        <v>1670</v>
      </c>
      <c r="O938" t="s">
        <v>1675</v>
      </c>
      <c r="P938" t="s">
        <v>1958</v>
      </c>
      <c r="Q938" t="s">
        <v>1965</v>
      </c>
      <c r="R938" t="s">
        <v>50</v>
      </c>
      <c r="S938" t="s">
        <v>1671</v>
      </c>
      <c r="U938" t="s">
        <v>1972</v>
      </c>
      <c r="W938" t="s">
        <v>221</v>
      </c>
      <c r="X938">
        <v>700</v>
      </c>
      <c r="Y938" t="s">
        <v>2006</v>
      </c>
      <c r="AA938" t="s">
        <v>2029</v>
      </c>
      <c r="AB938" t="s">
        <v>13708</v>
      </c>
      <c r="AD938" t="s">
        <v>16179</v>
      </c>
      <c r="AE938">
        <v>3</v>
      </c>
      <c r="AF938" t="s">
        <v>2904</v>
      </c>
      <c r="AG938" t="s">
        <v>1754</v>
      </c>
      <c r="AH938">
        <v>1</v>
      </c>
      <c r="AI938">
        <v>1</v>
      </c>
      <c r="AJ938">
        <v>0</v>
      </c>
      <c r="AK938">
        <v>0</v>
      </c>
      <c r="AN938" t="s">
        <v>2926</v>
      </c>
      <c r="AO938" t="s">
        <v>13051</v>
      </c>
      <c r="AU938">
        <v>1.5</v>
      </c>
      <c r="AV938" t="s">
        <v>221</v>
      </c>
      <c r="AW938" t="s">
        <v>3068</v>
      </c>
    </row>
    <row r="939" spans="1:50">
      <c r="A939" s="1" t="s">
        <v>111</v>
      </c>
      <c r="B939" t="s">
        <v>164</v>
      </c>
      <c r="C939" t="s">
        <v>4149</v>
      </c>
      <c r="D939" t="s">
        <v>249</v>
      </c>
      <c r="E939" t="s">
        <v>404</v>
      </c>
      <c r="F939" t="s">
        <v>7222</v>
      </c>
      <c r="G939" t="s">
        <v>8328</v>
      </c>
      <c r="H939" t="s">
        <v>9736</v>
      </c>
      <c r="J939" t="s">
        <v>1641</v>
      </c>
      <c r="K939">
        <v>10457</v>
      </c>
      <c r="L939" t="s">
        <v>1670</v>
      </c>
      <c r="M939" t="s">
        <v>1672</v>
      </c>
      <c r="P939" t="s">
        <v>1958</v>
      </c>
      <c r="Q939" t="s">
        <v>1965</v>
      </c>
      <c r="R939" t="s">
        <v>50</v>
      </c>
      <c r="S939" t="s">
        <v>1671</v>
      </c>
      <c r="U939" t="s">
        <v>1972</v>
      </c>
      <c r="W939" t="s">
        <v>1991</v>
      </c>
      <c r="X939">
        <v>2950</v>
      </c>
      <c r="Y939" t="s">
        <v>2006</v>
      </c>
      <c r="Z939" t="s">
        <v>2015</v>
      </c>
      <c r="AA939" t="s">
        <v>2029</v>
      </c>
      <c r="AB939" t="s">
        <v>13279</v>
      </c>
      <c r="AE939">
        <v>1</v>
      </c>
      <c r="AF939" t="s">
        <v>2904</v>
      </c>
      <c r="AG939" t="s">
        <v>1754</v>
      </c>
      <c r="AH939">
        <v>16</v>
      </c>
      <c r="AI939">
        <v>2</v>
      </c>
      <c r="AJ939">
        <v>0</v>
      </c>
      <c r="AK939">
        <v>0</v>
      </c>
      <c r="AN939" t="s">
        <v>2927</v>
      </c>
      <c r="AO939" t="s">
        <v>13051</v>
      </c>
      <c r="AU939">
        <v>1.5</v>
      </c>
      <c r="AV939" t="s">
        <v>249</v>
      </c>
      <c r="AW939" t="s">
        <v>3047</v>
      </c>
      <c r="AX939" t="s">
        <v>18685</v>
      </c>
    </row>
    <row r="940" spans="1:50">
      <c r="A940" s="1" t="s">
        <v>126</v>
      </c>
      <c r="B940" t="s">
        <v>164</v>
      </c>
      <c r="C940" t="s">
        <v>4150</v>
      </c>
      <c r="D940" t="s">
        <v>400</v>
      </c>
      <c r="E940" t="s">
        <v>400</v>
      </c>
      <c r="F940" t="s">
        <v>7223</v>
      </c>
      <c r="G940" t="s">
        <v>8329</v>
      </c>
      <c r="H940" t="s">
        <v>9737</v>
      </c>
      <c r="I940">
        <v>29</v>
      </c>
      <c r="J940" t="s">
        <v>1641</v>
      </c>
      <c r="K940">
        <v>10456</v>
      </c>
      <c r="L940" t="s">
        <v>1670</v>
      </c>
      <c r="M940" t="s">
        <v>1672</v>
      </c>
      <c r="P940" t="s">
        <v>1958</v>
      </c>
      <c r="Q940" t="s">
        <v>1965</v>
      </c>
      <c r="R940" t="s">
        <v>50</v>
      </c>
      <c r="U940" t="s">
        <v>1972</v>
      </c>
      <c r="W940" t="s">
        <v>1991</v>
      </c>
      <c r="X940">
        <v>50</v>
      </c>
      <c r="Y940" t="s">
        <v>2006</v>
      </c>
      <c r="AA940" t="s">
        <v>2029</v>
      </c>
      <c r="AB940" t="s">
        <v>13709</v>
      </c>
      <c r="AD940" t="s">
        <v>16180</v>
      </c>
      <c r="AE940">
        <v>54</v>
      </c>
      <c r="AF940" t="s">
        <v>2902</v>
      </c>
      <c r="AH940">
        <v>-1</v>
      </c>
      <c r="AI940">
        <v>2</v>
      </c>
      <c r="AJ940">
        <v>0</v>
      </c>
      <c r="AK940">
        <v>0</v>
      </c>
      <c r="AO940" t="s">
        <v>13051</v>
      </c>
      <c r="AU940">
        <v>1</v>
      </c>
      <c r="AV940" t="s">
        <v>400</v>
      </c>
      <c r="AW940" t="s">
        <v>126</v>
      </c>
      <c r="AX940" t="s">
        <v>18685</v>
      </c>
    </row>
    <row r="941" spans="1:50">
      <c r="A941" s="1" t="s">
        <v>146</v>
      </c>
      <c r="B941" t="s">
        <v>164</v>
      </c>
      <c r="C941" t="s">
        <v>4151</v>
      </c>
      <c r="D941" t="s">
        <v>6138</v>
      </c>
      <c r="E941" t="s">
        <v>250</v>
      </c>
      <c r="F941" t="s">
        <v>7224</v>
      </c>
      <c r="G941" t="s">
        <v>7464</v>
      </c>
      <c r="H941" t="s">
        <v>9738</v>
      </c>
      <c r="I941">
        <v>105</v>
      </c>
      <c r="J941" t="s">
        <v>1641</v>
      </c>
      <c r="K941">
        <v>10455</v>
      </c>
      <c r="L941" t="s">
        <v>1670</v>
      </c>
      <c r="M941" t="s">
        <v>1670</v>
      </c>
      <c r="O941" t="s">
        <v>1675</v>
      </c>
      <c r="P941" t="s">
        <v>1958</v>
      </c>
      <c r="Q941" t="s">
        <v>1965</v>
      </c>
      <c r="R941" t="s">
        <v>50</v>
      </c>
      <c r="S941" t="s">
        <v>1671</v>
      </c>
      <c r="U941" t="s">
        <v>1972</v>
      </c>
      <c r="W941" t="s">
        <v>250</v>
      </c>
      <c r="X941">
        <v>417</v>
      </c>
      <c r="Y941" t="s">
        <v>2006</v>
      </c>
      <c r="Z941" t="s">
        <v>2015</v>
      </c>
      <c r="AA941" t="s">
        <v>2029</v>
      </c>
      <c r="AB941" t="s">
        <v>13710</v>
      </c>
      <c r="AE941" t="s">
        <v>13051</v>
      </c>
      <c r="AH941">
        <v>8</v>
      </c>
      <c r="AI941">
        <v>1</v>
      </c>
      <c r="AJ941">
        <v>0</v>
      </c>
      <c r="AK941">
        <v>0</v>
      </c>
      <c r="AN941" t="s">
        <v>2927</v>
      </c>
      <c r="AO941" t="s">
        <v>13051</v>
      </c>
      <c r="AU941">
        <v>0.25</v>
      </c>
      <c r="AV941" t="s">
        <v>250</v>
      </c>
      <c r="AW941" t="s">
        <v>3047</v>
      </c>
    </row>
    <row r="942" spans="1:50">
      <c r="A942" s="1" t="s">
        <v>74</v>
      </c>
      <c r="B942" t="s">
        <v>164</v>
      </c>
      <c r="C942" t="s">
        <v>4152</v>
      </c>
      <c r="D942" t="s">
        <v>341</v>
      </c>
      <c r="E942" t="s">
        <v>405</v>
      </c>
      <c r="F942" t="s">
        <v>7225</v>
      </c>
      <c r="G942" t="s">
        <v>8330</v>
      </c>
      <c r="H942" t="s">
        <v>9739</v>
      </c>
      <c r="I942" t="s">
        <v>1569</v>
      </c>
      <c r="J942" t="s">
        <v>1641</v>
      </c>
      <c r="K942">
        <v>10453</v>
      </c>
      <c r="L942" t="s">
        <v>1670</v>
      </c>
      <c r="M942" t="s">
        <v>1672</v>
      </c>
      <c r="N942" t="s">
        <v>12040</v>
      </c>
      <c r="O942" t="s">
        <v>1940</v>
      </c>
      <c r="P942" t="s">
        <v>1958</v>
      </c>
      <c r="Q942" t="s">
        <v>1965</v>
      </c>
      <c r="R942" t="s">
        <v>50</v>
      </c>
      <c r="S942" t="s">
        <v>1671</v>
      </c>
      <c r="U942" t="s">
        <v>1972</v>
      </c>
      <c r="W942" t="s">
        <v>1991</v>
      </c>
      <c r="X942">
        <v>1210</v>
      </c>
      <c r="Y942" t="s">
        <v>2006</v>
      </c>
      <c r="Z942" t="s">
        <v>2017</v>
      </c>
      <c r="AA942" t="s">
        <v>2029</v>
      </c>
      <c r="AB942" t="s">
        <v>13711</v>
      </c>
      <c r="AD942" t="s">
        <v>16181</v>
      </c>
      <c r="AE942">
        <v>16</v>
      </c>
      <c r="AF942" t="s">
        <v>2909</v>
      </c>
      <c r="AG942" t="s">
        <v>2915</v>
      </c>
      <c r="AH942">
        <v>1</v>
      </c>
      <c r="AI942">
        <v>1</v>
      </c>
      <c r="AJ942">
        <v>0</v>
      </c>
      <c r="AK942">
        <v>0</v>
      </c>
      <c r="AN942" t="s">
        <v>2926</v>
      </c>
      <c r="AO942" t="s">
        <v>13051</v>
      </c>
      <c r="AP942" t="s">
        <v>18227</v>
      </c>
      <c r="AT942" t="s">
        <v>18520</v>
      </c>
      <c r="AU942">
        <v>1</v>
      </c>
      <c r="AV942" t="s">
        <v>341</v>
      </c>
      <c r="AW942" t="s">
        <v>3078</v>
      </c>
      <c r="AX942" t="s">
        <v>18685</v>
      </c>
    </row>
    <row r="943" spans="1:50">
      <c r="A943" s="1" t="s">
        <v>146</v>
      </c>
      <c r="B943" t="s">
        <v>164</v>
      </c>
      <c r="C943" t="s">
        <v>4153</v>
      </c>
      <c r="D943" t="s">
        <v>217</v>
      </c>
      <c r="E943" t="s">
        <v>1994</v>
      </c>
      <c r="F943" t="s">
        <v>7023</v>
      </c>
      <c r="G943" t="s">
        <v>865</v>
      </c>
      <c r="H943" t="s">
        <v>9740</v>
      </c>
      <c r="I943" t="s">
        <v>11137</v>
      </c>
      <c r="J943" t="s">
        <v>1641</v>
      </c>
      <c r="K943">
        <v>10453</v>
      </c>
      <c r="L943" t="s">
        <v>1670</v>
      </c>
      <c r="M943" t="s">
        <v>1670</v>
      </c>
      <c r="N943" t="s">
        <v>12041</v>
      </c>
      <c r="O943" t="s">
        <v>1940</v>
      </c>
      <c r="P943" t="s">
        <v>1958</v>
      </c>
      <c r="Q943" t="s">
        <v>1965</v>
      </c>
      <c r="R943" t="s">
        <v>50</v>
      </c>
      <c r="S943" t="s">
        <v>1671</v>
      </c>
      <c r="U943" t="s">
        <v>1972</v>
      </c>
      <c r="V943" t="s">
        <v>1984</v>
      </c>
      <c r="W943" t="s">
        <v>269</v>
      </c>
      <c r="X943">
        <v>210</v>
      </c>
      <c r="Y943" t="s">
        <v>2006</v>
      </c>
      <c r="Z943" t="s">
        <v>2011</v>
      </c>
      <c r="AA943" t="s">
        <v>2029</v>
      </c>
      <c r="AB943" t="s">
        <v>13712</v>
      </c>
      <c r="AD943" t="s">
        <v>16182</v>
      </c>
      <c r="AE943">
        <v>148</v>
      </c>
      <c r="AF943" t="s">
        <v>2905</v>
      </c>
      <c r="AG943" t="s">
        <v>1754</v>
      </c>
      <c r="AH943">
        <v>4</v>
      </c>
      <c r="AI943">
        <v>1</v>
      </c>
      <c r="AJ943">
        <v>0</v>
      </c>
      <c r="AK943">
        <v>0</v>
      </c>
      <c r="AN943" t="s">
        <v>2927</v>
      </c>
      <c r="AO943" t="s">
        <v>13051</v>
      </c>
      <c r="AU943">
        <v>2.2</v>
      </c>
      <c r="AV943" t="s">
        <v>291</v>
      </c>
      <c r="AW943" t="s">
        <v>3047</v>
      </c>
      <c r="AX943" t="s">
        <v>18685</v>
      </c>
    </row>
    <row r="944" spans="1:50">
      <c r="A944" s="1" t="s">
        <v>70</v>
      </c>
      <c r="B944" t="s">
        <v>164</v>
      </c>
      <c r="C944" t="s">
        <v>4154</v>
      </c>
      <c r="D944" t="s">
        <v>349</v>
      </c>
      <c r="E944" t="s">
        <v>273</v>
      </c>
      <c r="F944" t="s">
        <v>510</v>
      </c>
      <c r="G944" t="s">
        <v>8331</v>
      </c>
      <c r="H944" t="s">
        <v>9741</v>
      </c>
      <c r="J944" t="s">
        <v>1641</v>
      </c>
      <c r="K944">
        <v>10453</v>
      </c>
      <c r="L944" t="s">
        <v>1670</v>
      </c>
      <c r="M944" t="s">
        <v>1670</v>
      </c>
      <c r="O944" t="s">
        <v>1675</v>
      </c>
      <c r="P944" t="s">
        <v>1958</v>
      </c>
      <c r="Q944" t="s">
        <v>1965</v>
      </c>
      <c r="R944" t="s">
        <v>50</v>
      </c>
      <c r="S944" t="s">
        <v>1671</v>
      </c>
      <c r="U944" t="s">
        <v>1972</v>
      </c>
      <c r="W944" t="s">
        <v>349</v>
      </c>
      <c r="X944">
        <v>150</v>
      </c>
      <c r="Y944" t="s">
        <v>2006</v>
      </c>
      <c r="Z944" t="s">
        <v>2015</v>
      </c>
      <c r="AA944" t="s">
        <v>2029</v>
      </c>
      <c r="AB944" t="s">
        <v>13713</v>
      </c>
      <c r="AE944">
        <v>2</v>
      </c>
      <c r="AG944" t="s">
        <v>2917</v>
      </c>
      <c r="AH944">
        <v>13</v>
      </c>
      <c r="AI944">
        <v>2</v>
      </c>
      <c r="AJ944">
        <v>0</v>
      </c>
      <c r="AK944">
        <v>0</v>
      </c>
      <c r="AN944" t="s">
        <v>2927</v>
      </c>
      <c r="AO944" t="s">
        <v>13051</v>
      </c>
      <c r="AU944">
        <v>1</v>
      </c>
      <c r="AV944" t="s">
        <v>273</v>
      </c>
      <c r="AW944" t="s">
        <v>3047</v>
      </c>
    </row>
    <row r="945" spans="1:50">
      <c r="A945" s="1" t="s">
        <v>128</v>
      </c>
      <c r="B945" t="s">
        <v>164</v>
      </c>
      <c r="C945" t="s">
        <v>4155</v>
      </c>
      <c r="D945" t="s">
        <v>281</v>
      </c>
      <c r="E945" t="s">
        <v>359</v>
      </c>
      <c r="F945" t="s">
        <v>7226</v>
      </c>
      <c r="G945" t="s">
        <v>8332</v>
      </c>
      <c r="H945" t="s">
        <v>9742</v>
      </c>
      <c r="I945" t="s">
        <v>1477</v>
      </c>
      <c r="J945" t="s">
        <v>1641</v>
      </c>
      <c r="K945">
        <v>10453</v>
      </c>
      <c r="L945" t="s">
        <v>1670</v>
      </c>
      <c r="M945" t="s">
        <v>1670</v>
      </c>
      <c r="O945" t="s">
        <v>1675</v>
      </c>
      <c r="P945" t="s">
        <v>1958</v>
      </c>
      <c r="Q945" t="s">
        <v>1965</v>
      </c>
      <c r="R945" t="s">
        <v>50</v>
      </c>
      <c r="U945" t="s">
        <v>1972</v>
      </c>
      <c r="W945" t="s">
        <v>224</v>
      </c>
      <c r="X945">
        <v>1350</v>
      </c>
      <c r="Y945" t="s">
        <v>2006</v>
      </c>
      <c r="AA945" t="s">
        <v>2029</v>
      </c>
      <c r="AB945" t="s">
        <v>13714</v>
      </c>
      <c r="AD945" t="s">
        <v>16183</v>
      </c>
      <c r="AE945" t="s">
        <v>13051</v>
      </c>
      <c r="AF945" t="s">
        <v>2904</v>
      </c>
      <c r="AG945" t="s">
        <v>1754</v>
      </c>
      <c r="AH945">
        <v>19</v>
      </c>
      <c r="AI945">
        <v>2</v>
      </c>
      <c r="AJ945">
        <v>0</v>
      </c>
      <c r="AK945">
        <v>0</v>
      </c>
      <c r="AN945" t="s">
        <v>2926</v>
      </c>
      <c r="AO945" t="s">
        <v>13051</v>
      </c>
      <c r="AP945" t="s">
        <v>2949</v>
      </c>
      <c r="AU945">
        <v>3.25</v>
      </c>
      <c r="AV945" t="s">
        <v>347</v>
      </c>
      <c r="AW945" t="s">
        <v>3071</v>
      </c>
    </row>
    <row r="946" spans="1:50">
      <c r="A946" s="1" t="s">
        <v>111</v>
      </c>
      <c r="B946" t="s">
        <v>164</v>
      </c>
      <c r="C946" t="s">
        <v>4156</v>
      </c>
      <c r="D946" t="s">
        <v>286</v>
      </c>
      <c r="E946" t="s">
        <v>310</v>
      </c>
      <c r="F946" t="s">
        <v>7227</v>
      </c>
      <c r="G946" t="s">
        <v>8333</v>
      </c>
      <c r="H946" t="s">
        <v>9743</v>
      </c>
      <c r="I946" t="s">
        <v>1490</v>
      </c>
      <c r="J946" t="s">
        <v>1641</v>
      </c>
      <c r="K946">
        <v>10452</v>
      </c>
      <c r="L946" t="s">
        <v>1670</v>
      </c>
      <c r="M946" t="s">
        <v>1670</v>
      </c>
      <c r="N946" t="s">
        <v>12042</v>
      </c>
      <c r="O946" t="s">
        <v>1940</v>
      </c>
      <c r="P946" t="s">
        <v>1958</v>
      </c>
      <c r="Q946" t="s">
        <v>1965</v>
      </c>
      <c r="R946" t="s">
        <v>50</v>
      </c>
      <c r="U946" t="s">
        <v>1972</v>
      </c>
      <c r="W946" t="s">
        <v>310</v>
      </c>
      <c r="X946">
        <v>1500</v>
      </c>
      <c r="Y946" t="s">
        <v>2006</v>
      </c>
      <c r="Z946" t="s">
        <v>2011</v>
      </c>
      <c r="AA946" t="s">
        <v>2029</v>
      </c>
      <c r="AB946" t="s">
        <v>13715</v>
      </c>
      <c r="AD946" t="s">
        <v>16184</v>
      </c>
      <c r="AE946" t="s">
        <v>13051</v>
      </c>
      <c r="AF946" t="s">
        <v>2911</v>
      </c>
      <c r="AH946">
        <v>7</v>
      </c>
      <c r="AI946">
        <v>1</v>
      </c>
      <c r="AJ946">
        <v>0</v>
      </c>
      <c r="AK946">
        <v>0</v>
      </c>
      <c r="AN946" t="s">
        <v>2926</v>
      </c>
      <c r="AO946" t="s">
        <v>13051</v>
      </c>
      <c r="AU946">
        <v>5.5</v>
      </c>
      <c r="AV946" t="s">
        <v>310</v>
      </c>
      <c r="AW946" t="s">
        <v>3058</v>
      </c>
    </row>
    <row r="947" spans="1:50">
      <c r="A947" s="1" t="s">
        <v>115</v>
      </c>
      <c r="B947" t="s">
        <v>164</v>
      </c>
      <c r="C947" t="s">
        <v>4157</v>
      </c>
      <c r="D947" t="s">
        <v>278</v>
      </c>
      <c r="E947" t="s">
        <v>359</v>
      </c>
      <c r="F947" t="s">
        <v>6845</v>
      </c>
      <c r="G947" t="s">
        <v>7944</v>
      </c>
      <c r="H947" t="s">
        <v>9700</v>
      </c>
      <c r="I947" t="s">
        <v>11138</v>
      </c>
      <c r="J947" t="s">
        <v>1641</v>
      </c>
      <c r="K947">
        <v>10452</v>
      </c>
      <c r="L947" t="s">
        <v>1670</v>
      </c>
      <c r="M947" t="s">
        <v>1670</v>
      </c>
      <c r="O947" t="s">
        <v>1939</v>
      </c>
      <c r="P947" t="s">
        <v>1958</v>
      </c>
      <c r="Q947" t="s">
        <v>1965</v>
      </c>
      <c r="R947" t="s">
        <v>50</v>
      </c>
      <c r="S947" t="s">
        <v>1670</v>
      </c>
      <c r="U947" t="s">
        <v>1972</v>
      </c>
      <c r="W947" t="s">
        <v>359</v>
      </c>
      <c r="X947">
        <v>1209.55</v>
      </c>
      <c r="Y947" t="s">
        <v>2006</v>
      </c>
      <c r="Z947" t="s">
        <v>2015</v>
      </c>
      <c r="AA947" t="s">
        <v>2029</v>
      </c>
      <c r="AC947" t="s">
        <v>15094</v>
      </c>
      <c r="AE947">
        <v>149</v>
      </c>
      <c r="AF947" t="s">
        <v>2902</v>
      </c>
      <c r="AG947" t="s">
        <v>2915</v>
      </c>
      <c r="AH947">
        <v>10</v>
      </c>
      <c r="AI947">
        <v>1</v>
      </c>
      <c r="AJ947">
        <v>0</v>
      </c>
      <c r="AK947">
        <v>0</v>
      </c>
      <c r="AN947" t="s">
        <v>2927</v>
      </c>
      <c r="AO947" t="s">
        <v>13051</v>
      </c>
      <c r="AU947">
        <v>0.2</v>
      </c>
      <c r="AV947" t="s">
        <v>271</v>
      </c>
      <c r="AW947" t="s">
        <v>3054</v>
      </c>
    </row>
    <row r="948" spans="1:50">
      <c r="A948" s="1" t="s">
        <v>95</v>
      </c>
      <c r="B948" t="s">
        <v>164</v>
      </c>
      <c r="C948" t="s">
        <v>4158</v>
      </c>
      <c r="D948" t="s">
        <v>350</v>
      </c>
      <c r="E948" t="s">
        <v>220</v>
      </c>
      <c r="F948" t="s">
        <v>521</v>
      </c>
      <c r="G948" t="s">
        <v>8334</v>
      </c>
      <c r="H948" t="s">
        <v>9744</v>
      </c>
      <c r="I948" t="s">
        <v>1477</v>
      </c>
      <c r="J948" t="s">
        <v>1641</v>
      </c>
      <c r="K948">
        <v>10452</v>
      </c>
      <c r="L948" t="s">
        <v>1670</v>
      </c>
      <c r="M948" t="s">
        <v>1670</v>
      </c>
      <c r="O948" t="s">
        <v>1675</v>
      </c>
      <c r="P948" t="s">
        <v>1958</v>
      </c>
      <c r="Q948" t="s">
        <v>1965</v>
      </c>
      <c r="R948" t="s">
        <v>50</v>
      </c>
      <c r="S948" t="s">
        <v>1671</v>
      </c>
      <c r="U948" t="s">
        <v>1972</v>
      </c>
      <c r="W948" t="s">
        <v>350</v>
      </c>
      <c r="X948" t="s">
        <v>13051</v>
      </c>
      <c r="Y948" t="s">
        <v>2006</v>
      </c>
      <c r="Z948" t="s">
        <v>2015</v>
      </c>
      <c r="AA948" t="s">
        <v>2029</v>
      </c>
      <c r="AB948" t="s">
        <v>13716</v>
      </c>
      <c r="AD948" t="s">
        <v>16185</v>
      </c>
      <c r="AE948" t="s">
        <v>13051</v>
      </c>
      <c r="AF948" t="s">
        <v>2904</v>
      </c>
      <c r="AH948">
        <v>5</v>
      </c>
      <c r="AI948">
        <v>1</v>
      </c>
      <c r="AJ948">
        <v>0</v>
      </c>
      <c r="AK948">
        <v>0</v>
      </c>
      <c r="AN948" t="s">
        <v>2927</v>
      </c>
      <c r="AO948" t="s">
        <v>13051</v>
      </c>
      <c r="AU948">
        <v>1.75</v>
      </c>
      <c r="AV948" t="s">
        <v>283</v>
      </c>
      <c r="AW948" t="s">
        <v>3068</v>
      </c>
    </row>
    <row r="949" spans="1:50">
      <c r="A949" s="1" t="s">
        <v>84</v>
      </c>
      <c r="B949" t="s">
        <v>164</v>
      </c>
      <c r="C949" t="s">
        <v>4159</v>
      </c>
      <c r="D949" t="s">
        <v>2003</v>
      </c>
      <c r="E949" t="s">
        <v>264</v>
      </c>
      <c r="F949" t="s">
        <v>7228</v>
      </c>
      <c r="G949" t="s">
        <v>8264</v>
      </c>
      <c r="H949" t="s">
        <v>9745</v>
      </c>
      <c r="I949" t="s">
        <v>11139</v>
      </c>
      <c r="J949" t="s">
        <v>1646</v>
      </c>
      <c r="K949">
        <v>10301</v>
      </c>
      <c r="L949" t="s">
        <v>1670</v>
      </c>
      <c r="M949" t="s">
        <v>1670</v>
      </c>
      <c r="N949" t="s">
        <v>12043</v>
      </c>
      <c r="O949" t="s">
        <v>1940</v>
      </c>
      <c r="P949" t="s">
        <v>1958</v>
      </c>
      <c r="Q949" t="s">
        <v>1965</v>
      </c>
      <c r="R949" t="s">
        <v>50</v>
      </c>
      <c r="S949" t="s">
        <v>1671</v>
      </c>
      <c r="U949" t="s">
        <v>1972</v>
      </c>
      <c r="V949" t="s">
        <v>1987</v>
      </c>
      <c r="W949" t="s">
        <v>2003</v>
      </c>
      <c r="X949">
        <v>293</v>
      </c>
      <c r="Y949" t="s">
        <v>2010</v>
      </c>
      <c r="Z949" t="s">
        <v>2026</v>
      </c>
      <c r="AA949" t="s">
        <v>2029</v>
      </c>
      <c r="AB949" t="s">
        <v>13717</v>
      </c>
      <c r="AC949" t="s">
        <v>1754</v>
      </c>
      <c r="AD949" t="s">
        <v>16186</v>
      </c>
      <c r="AE949">
        <v>2</v>
      </c>
      <c r="AF949" t="s">
        <v>2903</v>
      </c>
      <c r="AG949" t="s">
        <v>2915</v>
      </c>
      <c r="AH949">
        <v>3</v>
      </c>
      <c r="AI949">
        <v>1</v>
      </c>
      <c r="AJ949">
        <v>0</v>
      </c>
      <c r="AK949">
        <v>0</v>
      </c>
      <c r="AN949" t="s">
        <v>2926</v>
      </c>
      <c r="AO949" t="s">
        <v>13051</v>
      </c>
      <c r="AS949" t="s">
        <v>2993</v>
      </c>
      <c r="AT949" t="s">
        <v>2997</v>
      </c>
      <c r="AU949">
        <v>3.1</v>
      </c>
      <c r="AV949" t="s">
        <v>264</v>
      </c>
      <c r="AW949" t="s">
        <v>3056</v>
      </c>
    </row>
    <row r="950" spans="1:50">
      <c r="A950" s="1" t="s">
        <v>91</v>
      </c>
      <c r="B950" t="s">
        <v>164</v>
      </c>
      <c r="C950" t="s">
        <v>4160</v>
      </c>
      <c r="D950" t="s">
        <v>344</v>
      </c>
      <c r="E950" t="s">
        <v>309</v>
      </c>
      <c r="F950" t="s">
        <v>7229</v>
      </c>
      <c r="G950" t="s">
        <v>8335</v>
      </c>
      <c r="H950" t="s">
        <v>9746</v>
      </c>
      <c r="I950" t="s">
        <v>11140</v>
      </c>
      <c r="J950" t="s">
        <v>1643</v>
      </c>
      <c r="K950">
        <v>10040</v>
      </c>
      <c r="L950" t="s">
        <v>1670</v>
      </c>
      <c r="M950" t="s">
        <v>1672</v>
      </c>
      <c r="O950" t="s">
        <v>1940</v>
      </c>
      <c r="P950" t="s">
        <v>1958</v>
      </c>
      <c r="Q950" t="s">
        <v>1965</v>
      </c>
      <c r="R950" t="s">
        <v>50</v>
      </c>
      <c r="S950" t="s">
        <v>1671</v>
      </c>
      <c r="U950" t="s">
        <v>1972</v>
      </c>
      <c r="W950" t="s">
        <v>344</v>
      </c>
      <c r="X950">
        <v>1172</v>
      </c>
      <c r="Y950" t="s">
        <v>2008</v>
      </c>
      <c r="Z950" t="s">
        <v>2013</v>
      </c>
      <c r="AA950" t="s">
        <v>2029</v>
      </c>
      <c r="AB950" t="s">
        <v>13718</v>
      </c>
      <c r="AD950" t="s">
        <v>16187</v>
      </c>
      <c r="AE950">
        <v>134</v>
      </c>
      <c r="AG950" t="s">
        <v>1754</v>
      </c>
      <c r="AH950">
        <v>20</v>
      </c>
      <c r="AI950">
        <v>2</v>
      </c>
      <c r="AJ950">
        <v>0</v>
      </c>
      <c r="AK950">
        <v>0</v>
      </c>
      <c r="AN950" t="s">
        <v>2926</v>
      </c>
      <c r="AO950" t="s">
        <v>13051</v>
      </c>
      <c r="AU950">
        <v>4.2</v>
      </c>
      <c r="AV950" t="s">
        <v>372</v>
      </c>
      <c r="AW950" t="s">
        <v>3042</v>
      </c>
      <c r="AX950" t="s">
        <v>18685</v>
      </c>
    </row>
    <row r="951" spans="1:50">
      <c r="A951" s="1" t="s">
        <v>101</v>
      </c>
      <c r="B951" t="s">
        <v>164</v>
      </c>
      <c r="C951" t="s">
        <v>4161</v>
      </c>
      <c r="D951" t="s">
        <v>174</v>
      </c>
      <c r="E951" t="s">
        <v>285</v>
      </c>
      <c r="F951" t="s">
        <v>7230</v>
      </c>
      <c r="G951" t="s">
        <v>8336</v>
      </c>
      <c r="H951" t="s">
        <v>9747</v>
      </c>
      <c r="I951" t="s">
        <v>1538</v>
      </c>
      <c r="J951" t="s">
        <v>1643</v>
      </c>
      <c r="K951">
        <v>10040</v>
      </c>
      <c r="L951" t="s">
        <v>1670</v>
      </c>
      <c r="M951" t="s">
        <v>1670</v>
      </c>
      <c r="O951" t="s">
        <v>1675</v>
      </c>
      <c r="P951" t="s">
        <v>1958</v>
      </c>
      <c r="Q951" t="s">
        <v>1965</v>
      </c>
      <c r="R951" t="s">
        <v>50</v>
      </c>
      <c r="S951" t="s">
        <v>1670</v>
      </c>
      <c r="U951" t="s">
        <v>1972</v>
      </c>
      <c r="V951" t="s">
        <v>1984</v>
      </c>
      <c r="W951" t="s">
        <v>174</v>
      </c>
      <c r="X951">
        <v>1148</v>
      </c>
      <c r="Y951" t="s">
        <v>2008</v>
      </c>
      <c r="Z951" t="s">
        <v>2013</v>
      </c>
      <c r="AA951" t="s">
        <v>2029</v>
      </c>
      <c r="AB951" t="s">
        <v>13719</v>
      </c>
      <c r="AD951" t="s">
        <v>16188</v>
      </c>
      <c r="AE951">
        <v>30</v>
      </c>
      <c r="AF951" t="s">
        <v>2902</v>
      </c>
      <c r="AG951" t="s">
        <v>1754</v>
      </c>
      <c r="AH951">
        <v>9</v>
      </c>
      <c r="AI951">
        <v>1</v>
      </c>
      <c r="AJ951">
        <v>0</v>
      </c>
      <c r="AK951">
        <v>0</v>
      </c>
      <c r="AN951" t="s">
        <v>2926</v>
      </c>
      <c r="AO951" t="s">
        <v>13051</v>
      </c>
      <c r="AU951">
        <v>0.7</v>
      </c>
      <c r="AV951" t="s">
        <v>285</v>
      </c>
      <c r="AW951" t="s">
        <v>3042</v>
      </c>
      <c r="AX951" t="s">
        <v>18685</v>
      </c>
    </row>
    <row r="952" spans="1:50">
      <c r="A952" s="1" t="s">
        <v>3149</v>
      </c>
      <c r="B952" t="s">
        <v>164</v>
      </c>
      <c r="C952" t="s">
        <v>4162</v>
      </c>
      <c r="D952" t="s">
        <v>372</v>
      </c>
      <c r="E952" t="s">
        <v>382</v>
      </c>
      <c r="F952" t="s">
        <v>470</v>
      </c>
      <c r="G952" t="s">
        <v>8337</v>
      </c>
      <c r="H952" t="s">
        <v>9748</v>
      </c>
      <c r="I952" t="s">
        <v>11141</v>
      </c>
      <c r="J952" t="s">
        <v>1643</v>
      </c>
      <c r="K952">
        <v>10037</v>
      </c>
      <c r="L952" t="s">
        <v>1670</v>
      </c>
      <c r="M952" t="s">
        <v>1670</v>
      </c>
      <c r="N952" t="s">
        <v>12044</v>
      </c>
      <c r="O952" t="s">
        <v>1936</v>
      </c>
      <c r="P952" t="s">
        <v>1958</v>
      </c>
      <c r="Q952" t="s">
        <v>1965</v>
      </c>
      <c r="R952" t="s">
        <v>50</v>
      </c>
      <c r="S952" t="s">
        <v>1671</v>
      </c>
      <c r="U952" t="s">
        <v>1972</v>
      </c>
      <c r="V952" t="s">
        <v>1984</v>
      </c>
      <c r="W952" t="s">
        <v>372</v>
      </c>
      <c r="X952">
        <v>1208.75</v>
      </c>
      <c r="Y952" t="s">
        <v>2008</v>
      </c>
      <c r="Z952" t="s">
        <v>2017</v>
      </c>
      <c r="AA952" t="s">
        <v>2029</v>
      </c>
      <c r="AB952" t="s">
        <v>13720</v>
      </c>
      <c r="AD952" t="s">
        <v>16189</v>
      </c>
      <c r="AE952" t="s">
        <v>13051</v>
      </c>
      <c r="AF952" t="s">
        <v>2906</v>
      </c>
      <c r="AG952" t="s">
        <v>1754</v>
      </c>
      <c r="AH952">
        <v>6</v>
      </c>
      <c r="AI952">
        <v>1</v>
      </c>
      <c r="AJ952">
        <v>0</v>
      </c>
      <c r="AK952">
        <v>0</v>
      </c>
      <c r="AN952" t="s">
        <v>2926</v>
      </c>
      <c r="AO952" t="s">
        <v>13051</v>
      </c>
      <c r="AU952">
        <v>0.1</v>
      </c>
      <c r="AV952" t="s">
        <v>382</v>
      </c>
      <c r="AW952" t="s">
        <v>3051</v>
      </c>
    </row>
    <row r="953" spans="1:50">
      <c r="A953" s="1" t="s">
        <v>64</v>
      </c>
      <c r="B953" t="s">
        <v>164</v>
      </c>
      <c r="C953" t="s">
        <v>4163</v>
      </c>
      <c r="D953" t="s">
        <v>193</v>
      </c>
      <c r="E953" t="s">
        <v>230</v>
      </c>
      <c r="F953" t="s">
        <v>7231</v>
      </c>
      <c r="G953" t="s">
        <v>7886</v>
      </c>
      <c r="H953" t="s">
        <v>9749</v>
      </c>
      <c r="I953" t="s">
        <v>1491</v>
      </c>
      <c r="J953" t="s">
        <v>1643</v>
      </c>
      <c r="K953">
        <v>10034</v>
      </c>
      <c r="L953" t="s">
        <v>1670</v>
      </c>
      <c r="M953" t="s">
        <v>1670</v>
      </c>
      <c r="N953" t="s">
        <v>12045</v>
      </c>
      <c r="O953" t="s">
        <v>1936</v>
      </c>
      <c r="P953" t="s">
        <v>1958</v>
      </c>
      <c r="Q953" t="s">
        <v>1965</v>
      </c>
      <c r="R953" t="s">
        <v>50</v>
      </c>
      <c r="S953" t="s">
        <v>1671</v>
      </c>
      <c r="U953" t="s">
        <v>1972</v>
      </c>
      <c r="W953" t="s">
        <v>193</v>
      </c>
      <c r="X953">
        <v>841</v>
      </c>
      <c r="Y953" t="s">
        <v>2008</v>
      </c>
      <c r="Z953" t="s">
        <v>2020</v>
      </c>
      <c r="AA953" t="s">
        <v>2029</v>
      </c>
      <c r="AB953" t="s">
        <v>13721</v>
      </c>
      <c r="AC953" t="s">
        <v>15095</v>
      </c>
      <c r="AE953">
        <v>73</v>
      </c>
      <c r="AF953" t="s">
        <v>2902</v>
      </c>
      <c r="AG953" t="s">
        <v>1754</v>
      </c>
      <c r="AH953">
        <v>18</v>
      </c>
      <c r="AI953">
        <v>1</v>
      </c>
      <c r="AJ953">
        <v>0</v>
      </c>
      <c r="AK953">
        <v>0</v>
      </c>
      <c r="AN953" t="s">
        <v>2927</v>
      </c>
      <c r="AO953" t="s">
        <v>13051</v>
      </c>
      <c r="AU953">
        <v>1.5</v>
      </c>
      <c r="AV953" t="s">
        <v>369</v>
      </c>
      <c r="AW953" t="s">
        <v>3042</v>
      </c>
      <c r="AX953" t="s">
        <v>18685</v>
      </c>
    </row>
    <row r="954" spans="1:50">
      <c r="A954" s="1" t="s">
        <v>94</v>
      </c>
      <c r="B954" t="s">
        <v>164</v>
      </c>
      <c r="C954" t="s">
        <v>4164</v>
      </c>
      <c r="D954" t="s">
        <v>378</v>
      </c>
      <c r="E954" t="s">
        <v>184</v>
      </c>
      <c r="F954" t="s">
        <v>724</v>
      </c>
      <c r="G954" t="s">
        <v>818</v>
      </c>
      <c r="H954" t="s">
        <v>9750</v>
      </c>
      <c r="I954" t="s">
        <v>1487</v>
      </c>
      <c r="J954" t="s">
        <v>1643</v>
      </c>
      <c r="K954">
        <v>10033</v>
      </c>
      <c r="L954" t="s">
        <v>1670</v>
      </c>
      <c r="M954" t="s">
        <v>1670</v>
      </c>
      <c r="N954" t="s">
        <v>12046</v>
      </c>
      <c r="O954" t="s">
        <v>1936</v>
      </c>
      <c r="P954" t="s">
        <v>1958</v>
      </c>
      <c r="Q954" t="s">
        <v>1965</v>
      </c>
      <c r="R954" t="s">
        <v>50</v>
      </c>
      <c r="S954" t="s">
        <v>1671</v>
      </c>
      <c r="U954" t="s">
        <v>1972</v>
      </c>
      <c r="W954" t="s">
        <v>378</v>
      </c>
      <c r="X954">
        <v>1060.82</v>
      </c>
      <c r="Y954" t="s">
        <v>2008</v>
      </c>
      <c r="Z954" t="s">
        <v>2013</v>
      </c>
      <c r="AA954" t="s">
        <v>2029</v>
      </c>
      <c r="AB954" t="s">
        <v>13722</v>
      </c>
      <c r="AD954" t="s">
        <v>16190</v>
      </c>
      <c r="AE954" t="s">
        <v>13051</v>
      </c>
      <c r="AF954" t="s">
        <v>2902</v>
      </c>
      <c r="AG954" t="s">
        <v>1754</v>
      </c>
      <c r="AH954">
        <v>29</v>
      </c>
      <c r="AI954">
        <v>1</v>
      </c>
      <c r="AJ954">
        <v>0</v>
      </c>
      <c r="AK954">
        <v>0</v>
      </c>
      <c r="AN954" t="s">
        <v>2927</v>
      </c>
      <c r="AO954" t="s">
        <v>13051</v>
      </c>
      <c r="AU954">
        <v>2.5</v>
      </c>
      <c r="AV954" t="s">
        <v>184</v>
      </c>
      <c r="AW954" t="s">
        <v>3042</v>
      </c>
    </row>
    <row r="955" spans="1:50">
      <c r="A955" s="1" t="s">
        <v>100</v>
      </c>
      <c r="B955" t="s">
        <v>164</v>
      </c>
      <c r="C955" t="s">
        <v>4165</v>
      </c>
      <c r="D955" t="s">
        <v>310</v>
      </c>
      <c r="E955" t="s">
        <v>400</v>
      </c>
      <c r="F955" t="s">
        <v>7232</v>
      </c>
      <c r="G955" t="s">
        <v>8338</v>
      </c>
      <c r="H955" t="s">
        <v>9751</v>
      </c>
      <c r="I955" t="s">
        <v>1517</v>
      </c>
      <c r="J955" t="s">
        <v>1643</v>
      </c>
      <c r="K955">
        <v>10033</v>
      </c>
      <c r="L955" t="s">
        <v>1670</v>
      </c>
      <c r="M955" t="s">
        <v>1671</v>
      </c>
      <c r="O955" t="s">
        <v>1941</v>
      </c>
      <c r="P955" t="s">
        <v>1958</v>
      </c>
      <c r="Q955" t="s">
        <v>1965</v>
      </c>
      <c r="R955" t="s">
        <v>50</v>
      </c>
      <c r="S955" t="s">
        <v>1671</v>
      </c>
      <c r="U955" t="s">
        <v>1972</v>
      </c>
      <c r="W955" t="s">
        <v>310</v>
      </c>
      <c r="X955" t="s">
        <v>13051</v>
      </c>
      <c r="Y955" t="s">
        <v>2008</v>
      </c>
      <c r="Z955" t="s">
        <v>2013</v>
      </c>
      <c r="AA955" t="s">
        <v>2029</v>
      </c>
      <c r="AB955" t="s">
        <v>2072</v>
      </c>
      <c r="AD955" t="s">
        <v>16191</v>
      </c>
      <c r="AE955">
        <v>42</v>
      </c>
      <c r="AF955" t="s">
        <v>2902</v>
      </c>
      <c r="AG955" t="s">
        <v>1754</v>
      </c>
      <c r="AH955">
        <v>10</v>
      </c>
      <c r="AI955">
        <v>2</v>
      </c>
      <c r="AJ955">
        <v>0</v>
      </c>
      <c r="AK955">
        <v>0</v>
      </c>
      <c r="AN955" t="s">
        <v>2926</v>
      </c>
      <c r="AO955" t="s">
        <v>13051</v>
      </c>
      <c r="AU955">
        <v>0.1</v>
      </c>
      <c r="AV955" t="s">
        <v>310</v>
      </c>
      <c r="AW955" t="s">
        <v>3077</v>
      </c>
      <c r="AX955" t="s">
        <v>18685</v>
      </c>
    </row>
    <row r="956" spans="1:50">
      <c r="A956" s="1" t="s">
        <v>91</v>
      </c>
      <c r="B956" t="s">
        <v>164</v>
      </c>
      <c r="C956" t="s">
        <v>4166</v>
      </c>
      <c r="D956" t="s">
        <v>180</v>
      </c>
      <c r="E956" t="s">
        <v>376</v>
      </c>
      <c r="F956" t="s">
        <v>573</v>
      </c>
      <c r="G956" t="s">
        <v>1105</v>
      </c>
      <c r="H956" t="s">
        <v>9752</v>
      </c>
      <c r="I956" t="s">
        <v>1635</v>
      </c>
      <c r="J956" t="s">
        <v>1643</v>
      </c>
      <c r="K956">
        <v>10032</v>
      </c>
      <c r="L956" t="s">
        <v>1670</v>
      </c>
      <c r="M956" t="s">
        <v>1670</v>
      </c>
      <c r="N956" t="s">
        <v>12047</v>
      </c>
      <c r="O956" t="s">
        <v>1936</v>
      </c>
      <c r="P956" t="s">
        <v>1958</v>
      </c>
      <c r="Q956" t="s">
        <v>1965</v>
      </c>
      <c r="R956" t="s">
        <v>50</v>
      </c>
      <c r="S956" t="s">
        <v>1671</v>
      </c>
      <c r="U956" t="s">
        <v>1972</v>
      </c>
      <c r="V956" t="s">
        <v>1984</v>
      </c>
      <c r="W956" t="s">
        <v>180</v>
      </c>
      <c r="X956">
        <v>1726.98</v>
      </c>
      <c r="Y956" t="s">
        <v>2008</v>
      </c>
      <c r="Z956" t="s">
        <v>2020</v>
      </c>
      <c r="AA956" t="s">
        <v>2029</v>
      </c>
      <c r="AB956" t="s">
        <v>13723</v>
      </c>
      <c r="AC956" t="s">
        <v>15096</v>
      </c>
      <c r="AD956" t="s">
        <v>16192</v>
      </c>
      <c r="AE956">
        <v>127</v>
      </c>
      <c r="AF956" t="s">
        <v>2902</v>
      </c>
      <c r="AH956">
        <v>24</v>
      </c>
      <c r="AI956">
        <v>1</v>
      </c>
      <c r="AJ956">
        <v>0</v>
      </c>
      <c r="AK956">
        <v>0</v>
      </c>
      <c r="AN956" t="s">
        <v>2926</v>
      </c>
      <c r="AO956" t="s">
        <v>13051</v>
      </c>
      <c r="AU956">
        <v>3.15</v>
      </c>
      <c r="AV956" t="s">
        <v>250</v>
      </c>
      <c r="AW956" t="s">
        <v>3042</v>
      </c>
    </row>
    <row r="957" spans="1:50">
      <c r="A957" s="1" t="s">
        <v>94</v>
      </c>
      <c r="B957" t="s">
        <v>164</v>
      </c>
      <c r="C957" t="s">
        <v>4167</v>
      </c>
      <c r="D957" t="s">
        <v>290</v>
      </c>
      <c r="E957" t="s">
        <v>249</v>
      </c>
      <c r="F957" t="s">
        <v>7133</v>
      </c>
      <c r="G957" t="s">
        <v>8339</v>
      </c>
      <c r="H957" t="s">
        <v>9753</v>
      </c>
      <c r="I957">
        <v>7</v>
      </c>
      <c r="J957" t="s">
        <v>1643</v>
      </c>
      <c r="K957">
        <v>10032</v>
      </c>
      <c r="L957" t="s">
        <v>1670</v>
      </c>
      <c r="M957" t="s">
        <v>1672</v>
      </c>
      <c r="O957" t="s">
        <v>1941</v>
      </c>
      <c r="P957" t="s">
        <v>1958</v>
      </c>
      <c r="Q957" t="s">
        <v>1965</v>
      </c>
      <c r="R957" t="s">
        <v>50</v>
      </c>
      <c r="S957" t="s">
        <v>1671</v>
      </c>
      <c r="U957" t="s">
        <v>1972</v>
      </c>
      <c r="W957" t="s">
        <v>290</v>
      </c>
      <c r="X957">
        <v>871</v>
      </c>
      <c r="Y957" t="s">
        <v>2008</v>
      </c>
      <c r="Z957" t="s">
        <v>2013</v>
      </c>
      <c r="AA957" t="s">
        <v>2029</v>
      </c>
      <c r="AB957" t="s">
        <v>13724</v>
      </c>
      <c r="AD957" t="s">
        <v>16193</v>
      </c>
      <c r="AE957">
        <v>41</v>
      </c>
      <c r="AF957" t="s">
        <v>2902</v>
      </c>
      <c r="AG957" t="s">
        <v>1754</v>
      </c>
      <c r="AH957">
        <v>10</v>
      </c>
      <c r="AI957">
        <v>2</v>
      </c>
      <c r="AJ957">
        <v>0</v>
      </c>
      <c r="AK957">
        <v>0</v>
      </c>
      <c r="AN957" t="s">
        <v>2926</v>
      </c>
      <c r="AO957" t="s">
        <v>13051</v>
      </c>
      <c r="AU957">
        <v>1</v>
      </c>
      <c r="AV957" t="s">
        <v>357</v>
      </c>
      <c r="AW957" t="s">
        <v>3042</v>
      </c>
      <c r="AX957" t="s">
        <v>18685</v>
      </c>
    </row>
    <row r="958" spans="1:50">
      <c r="A958" s="1" t="s">
        <v>94</v>
      </c>
      <c r="B958" t="s">
        <v>164</v>
      </c>
      <c r="C958" t="s">
        <v>4168</v>
      </c>
      <c r="D958" t="s">
        <v>296</v>
      </c>
      <c r="E958" t="s">
        <v>223</v>
      </c>
      <c r="F958" t="s">
        <v>544</v>
      </c>
      <c r="G958" t="s">
        <v>977</v>
      </c>
      <c r="H958" t="s">
        <v>9754</v>
      </c>
      <c r="I958" t="s">
        <v>11142</v>
      </c>
      <c r="J958" t="s">
        <v>1643</v>
      </c>
      <c r="K958">
        <v>10032</v>
      </c>
      <c r="L958" t="s">
        <v>1670</v>
      </c>
      <c r="M958" t="s">
        <v>1670</v>
      </c>
      <c r="P958" t="s">
        <v>1958</v>
      </c>
      <c r="Q958" t="s">
        <v>1965</v>
      </c>
      <c r="R958" t="s">
        <v>50</v>
      </c>
      <c r="S958" t="s">
        <v>1671</v>
      </c>
      <c r="U958" t="s">
        <v>1972</v>
      </c>
      <c r="W958" t="s">
        <v>402</v>
      </c>
      <c r="X958">
        <v>916.09</v>
      </c>
      <c r="Y958" t="s">
        <v>2008</v>
      </c>
      <c r="Z958" t="s">
        <v>2013</v>
      </c>
      <c r="AA958" t="s">
        <v>2029</v>
      </c>
      <c r="AB958" t="s">
        <v>13725</v>
      </c>
      <c r="AD958" t="s">
        <v>16194</v>
      </c>
      <c r="AE958">
        <v>115</v>
      </c>
      <c r="AF958" t="s">
        <v>2902</v>
      </c>
      <c r="AG958" t="s">
        <v>1754</v>
      </c>
      <c r="AH958">
        <v>39</v>
      </c>
      <c r="AI958">
        <v>1</v>
      </c>
      <c r="AJ958">
        <v>0</v>
      </c>
      <c r="AK958">
        <v>0</v>
      </c>
      <c r="AN958" t="s">
        <v>2926</v>
      </c>
      <c r="AO958" t="s">
        <v>13051</v>
      </c>
      <c r="AU958">
        <v>1.15</v>
      </c>
      <c r="AV958" t="s">
        <v>223</v>
      </c>
      <c r="AW958" t="s">
        <v>3042</v>
      </c>
    </row>
    <row r="959" spans="1:50">
      <c r="A959" s="1" t="s">
        <v>94</v>
      </c>
      <c r="B959" t="s">
        <v>164</v>
      </c>
      <c r="C959" t="s">
        <v>4169</v>
      </c>
      <c r="D959" t="s">
        <v>190</v>
      </c>
      <c r="E959" t="s">
        <v>384</v>
      </c>
      <c r="F959" t="s">
        <v>7233</v>
      </c>
      <c r="G959" t="s">
        <v>8340</v>
      </c>
      <c r="H959" t="s">
        <v>9755</v>
      </c>
      <c r="I959">
        <v>1</v>
      </c>
      <c r="J959" t="s">
        <v>1643</v>
      </c>
      <c r="K959">
        <v>10032</v>
      </c>
      <c r="L959" t="s">
        <v>1670</v>
      </c>
      <c r="M959" t="s">
        <v>1670</v>
      </c>
      <c r="N959" t="s">
        <v>12048</v>
      </c>
      <c r="P959" t="s">
        <v>1958</v>
      </c>
      <c r="Q959" t="s">
        <v>1965</v>
      </c>
      <c r="R959" t="s">
        <v>50</v>
      </c>
      <c r="S959" t="s">
        <v>1671</v>
      </c>
      <c r="U959" t="s">
        <v>1972</v>
      </c>
      <c r="W959" t="s">
        <v>190</v>
      </c>
      <c r="X959">
        <v>2500</v>
      </c>
      <c r="Y959" t="s">
        <v>2008</v>
      </c>
      <c r="Z959" t="s">
        <v>2013</v>
      </c>
      <c r="AA959" t="s">
        <v>2029</v>
      </c>
      <c r="AB959" t="s">
        <v>13726</v>
      </c>
      <c r="AC959" t="s">
        <v>15097</v>
      </c>
      <c r="AD959" t="s">
        <v>16195</v>
      </c>
      <c r="AE959" t="s">
        <v>13051</v>
      </c>
      <c r="AF959" t="s">
        <v>2902</v>
      </c>
      <c r="AG959" t="s">
        <v>1754</v>
      </c>
      <c r="AH959">
        <v>2</v>
      </c>
      <c r="AI959">
        <v>1</v>
      </c>
      <c r="AJ959">
        <v>0</v>
      </c>
      <c r="AK959">
        <v>0</v>
      </c>
      <c r="AN959" t="s">
        <v>2926</v>
      </c>
      <c r="AO959" t="s">
        <v>13051</v>
      </c>
      <c r="AU959">
        <v>1.2</v>
      </c>
      <c r="AV959" t="s">
        <v>384</v>
      </c>
      <c r="AW959" t="s">
        <v>3042</v>
      </c>
      <c r="AX959" t="s">
        <v>18685</v>
      </c>
    </row>
    <row r="960" spans="1:50">
      <c r="A960" s="1" t="s">
        <v>72</v>
      </c>
      <c r="B960" t="s">
        <v>164</v>
      </c>
      <c r="C960" t="s">
        <v>4170</v>
      </c>
      <c r="D960" t="s">
        <v>253</v>
      </c>
      <c r="E960" t="s">
        <v>254</v>
      </c>
      <c r="F960" t="s">
        <v>530</v>
      </c>
      <c r="G960" t="s">
        <v>8341</v>
      </c>
      <c r="H960" t="s">
        <v>9756</v>
      </c>
      <c r="I960" t="s">
        <v>1591</v>
      </c>
      <c r="J960" t="s">
        <v>1643</v>
      </c>
      <c r="K960">
        <v>10029</v>
      </c>
      <c r="L960" t="s">
        <v>1670</v>
      </c>
      <c r="M960" t="s">
        <v>1670</v>
      </c>
      <c r="N960" t="s">
        <v>12049</v>
      </c>
      <c r="O960" t="s">
        <v>1940</v>
      </c>
      <c r="P960" t="s">
        <v>1958</v>
      </c>
      <c r="Q960" t="s">
        <v>1965</v>
      </c>
      <c r="R960" t="s">
        <v>50</v>
      </c>
      <c r="S960" t="s">
        <v>1671</v>
      </c>
      <c r="U960" t="s">
        <v>1972</v>
      </c>
      <c r="V960" t="s">
        <v>1984</v>
      </c>
      <c r="W960" t="s">
        <v>406</v>
      </c>
      <c r="X960">
        <v>4098</v>
      </c>
      <c r="Y960" t="s">
        <v>2008</v>
      </c>
      <c r="Z960" t="s">
        <v>13055</v>
      </c>
      <c r="AA960" t="s">
        <v>2029</v>
      </c>
      <c r="AB960" t="s">
        <v>13727</v>
      </c>
      <c r="AD960" t="s">
        <v>16196</v>
      </c>
      <c r="AE960">
        <v>50</v>
      </c>
      <c r="AF960" t="s">
        <v>2902</v>
      </c>
      <c r="AG960" t="s">
        <v>1754</v>
      </c>
      <c r="AH960">
        <v>10</v>
      </c>
      <c r="AI960">
        <v>1</v>
      </c>
      <c r="AJ960">
        <v>0</v>
      </c>
      <c r="AK960">
        <v>0</v>
      </c>
      <c r="AN960" t="s">
        <v>2926</v>
      </c>
      <c r="AO960" t="s">
        <v>13051</v>
      </c>
      <c r="AU960">
        <v>6.35</v>
      </c>
      <c r="AV960" t="s">
        <v>317</v>
      </c>
      <c r="AW960" t="s">
        <v>18654</v>
      </c>
      <c r="AX960" t="s">
        <v>18685</v>
      </c>
    </row>
    <row r="961" spans="1:50">
      <c r="A961" s="1" t="s">
        <v>102</v>
      </c>
      <c r="B961" t="s">
        <v>164</v>
      </c>
      <c r="C961" t="s">
        <v>4171</v>
      </c>
      <c r="D961" t="s">
        <v>204</v>
      </c>
      <c r="E961" t="s">
        <v>247</v>
      </c>
      <c r="F961" t="s">
        <v>6914</v>
      </c>
      <c r="G961" t="s">
        <v>8342</v>
      </c>
      <c r="H961" t="s">
        <v>9757</v>
      </c>
      <c r="I961" t="s">
        <v>1477</v>
      </c>
      <c r="J961" t="s">
        <v>1643</v>
      </c>
      <c r="K961">
        <v>10029</v>
      </c>
      <c r="L961" t="s">
        <v>1670</v>
      </c>
      <c r="M961" t="s">
        <v>1670</v>
      </c>
      <c r="N961" t="s">
        <v>12050</v>
      </c>
      <c r="O961" t="s">
        <v>1936</v>
      </c>
      <c r="P961" t="s">
        <v>1958</v>
      </c>
      <c r="Q961" t="s">
        <v>1965</v>
      </c>
      <c r="R961" t="s">
        <v>50</v>
      </c>
      <c r="S961" t="s">
        <v>1671</v>
      </c>
      <c r="U961" t="s">
        <v>1972</v>
      </c>
      <c r="V961" t="s">
        <v>1984</v>
      </c>
      <c r="W961" t="s">
        <v>406</v>
      </c>
      <c r="X961">
        <v>1300</v>
      </c>
      <c r="Y961" t="s">
        <v>2008</v>
      </c>
      <c r="Z961" t="s">
        <v>2020</v>
      </c>
      <c r="AA961" t="s">
        <v>2029</v>
      </c>
      <c r="AB961" t="s">
        <v>13728</v>
      </c>
      <c r="AD961" t="s">
        <v>16197</v>
      </c>
      <c r="AE961">
        <v>18</v>
      </c>
      <c r="AF961" t="s">
        <v>2902</v>
      </c>
      <c r="AG961" t="s">
        <v>1754</v>
      </c>
      <c r="AH961">
        <v>5</v>
      </c>
      <c r="AI961">
        <v>1</v>
      </c>
      <c r="AJ961">
        <v>0</v>
      </c>
      <c r="AK961">
        <v>0</v>
      </c>
      <c r="AN961" t="s">
        <v>2926</v>
      </c>
      <c r="AO961" t="s">
        <v>13051</v>
      </c>
      <c r="AP961" t="s">
        <v>18228</v>
      </c>
      <c r="AU961">
        <v>1</v>
      </c>
      <c r="AV961" t="s">
        <v>204</v>
      </c>
      <c r="AW961" t="s">
        <v>3058</v>
      </c>
      <c r="AX961" t="s">
        <v>18685</v>
      </c>
    </row>
    <row r="962" spans="1:50">
      <c r="A962" s="1" t="s">
        <v>3158</v>
      </c>
      <c r="B962" t="s">
        <v>164</v>
      </c>
      <c r="C962" t="s">
        <v>4172</v>
      </c>
      <c r="D962" t="s">
        <v>305</v>
      </c>
      <c r="E962" t="s">
        <v>194</v>
      </c>
      <c r="F962" t="s">
        <v>7234</v>
      </c>
      <c r="G962" t="s">
        <v>8343</v>
      </c>
      <c r="H962" t="s">
        <v>9758</v>
      </c>
      <c r="I962" t="s">
        <v>1622</v>
      </c>
      <c r="J962" t="s">
        <v>1643</v>
      </c>
      <c r="K962">
        <v>10025</v>
      </c>
      <c r="L962" t="s">
        <v>1670</v>
      </c>
      <c r="M962" t="s">
        <v>1670</v>
      </c>
      <c r="O962" t="s">
        <v>1675</v>
      </c>
      <c r="P962" t="s">
        <v>1958</v>
      </c>
      <c r="Q962" t="s">
        <v>1965</v>
      </c>
      <c r="R962" t="s">
        <v>50</v>
      </c>
      <c r="S962" t="s">
        <v>1671</v>
      </c>
      <c r="U962" t="s">
        <v>1972</v>
      </c>
      <c r="W962" t="s">
        <v>305</v>
      </c>
      <c r="X962">
        <v>723.04</v>
      </c>
      <c r="Y962" t="s">
        <v>2008</v>
      </c>
      <c r="Z962" t="s">
        <v>2016</v>
      </c>
      <c r="AA962" t="s">
        <v>2029</v>
      </c>
      <c r="AB962" t="s">
        <v>13729</v>
      </c>
      <c r="AE962">
        <v>403</v>
      </c>
      <c r="AF962" t="s">
        <v>2902</v>
      </c>
      <c r="AG962" t="s">
        <v>1754</v>
      </c>
      <c r="AH962">
        <v>50</v>
      </c>
      <c r="AI962">
        <v>2</v>
      </c>
      <c r="AJ962">
        <v>0</v>
      </c>
      <c r="AK962">
        <v>0</v>
      </c>
      <c r="AN962" t="s">
        <v>2926</v>
      </c>
      <c r="AO962" t="s">
        <v>13051</v>
      </c>
      <c r="AU962">
        <v>0.9</v>
      </c>
      <c r="AV962" t="s">
        <v>362</v>
      </c>
      <c r="AW962" t="s">
        <v>3042</v>
      </c>
    </row>
    <row r="963" spans="1:50">
      <c r="A963" s="1" t="s">
        <v>151</v>
      </c>
      <c r="B963" t="s">
        <v>163</v>
      </c>
      <c r="C963" t="s">
        <v>4173</v>
      </c>
      <c r="D963" t="s">
        <v>354</v>
      </c>
      <c r="F963" t="s">
        <v>7235</v>
      </c>
      <c r="G963" t="s">
        <v>7456</v>
      </c>
      <c r="H963" t="s">
        <v>9759</v>
      </c>
      <c r="J963" t="s">
        <v>1657</v>
      </c>
      <c r="K963">
        <v>11422</v>
      </c>
      <c r="L963" t="s">
        <v>1670</v>
      </c>
      <c r="M963" t="s">
        <v>1672</v>
      </c>
      <c r="O963" t="s">
        <v>1675</v>
      </c>
      <c r="P963" t="s">
        <v>1958</v>
      </c>
      <c r="R963" t="s">
        <v>51</v>
      </c>
      <c r="S963" t="s">
        <v>1671</v>
      </c>
      <c r="U963" t="s">
        <v>1972</v>
      </c>
      <c r="W963" t="s">
        <v>354</v>
      </c>
      <c r="X963">
        <v>900</v>
      </c>
      <c r="Y963" t="s">
        <v>2007</v>
      </c>
      <c r="Z963" t="s">
        <v>2012</v>
      </c>
      <c r="AB963" t="s">
        <v>13730</v>
      </c>
      <c r="AE963">
        <v>3</v>
      </c>
      <c r="AF963" t="s">
        <v>2903</v>
      </c>
      <c r="AG963" t="s">
        <v>1754</v>
      </c>
      <c r="AH963">
        <v>1</v>
      </c>
      <c r="AI963">
        <v>1</v>
      </c>
      <c r="AJ963">
        <v>0</v>
      </c>
      <c r="AK963">
        <v>0</v>
      </c>
      <c r="AL963" t="s">
        <v>2923</v>
      </c>
      <c r="AM963" t="s">
        <v>2924</v>
      </c>
      <c r="AN963" t="s">
        <v>2926</v>
      </c>
      <c r="AO963" t="s">
        <v>13051</v>
      </c>
      <c r="AU963">
        <v>1.1</v>
      </c>
      <c r="AV963" t="s">
        <v>222</v>
      </c>
      <c r="AW963" t="s">
        <v>151</v>
      </c>
    </row>
    <row r="964" spans="1:50">
      <c r="A964" s="1" t="s">
        <v>73</v>
      </c>
      <c r="B964" t="s">
        <v>163</v>
      </c>
      <c r="C964" t="s">
        <v>4174</v>
      </c>
      <c r="D964" t="s">
        <v>293</v>
      </c>
      <c r="F964" t="s">
        <v>6997</v>
      </c>
      <c r="G964" t="s">
        <v>8344</v>
      </c>
      <c r="H964" t="s">
        <v>9760</v>
      </c>
      <c r="I964" t="s">
        <v>11143</v>
      </c>
      <c r="J964" t="s">
        <v>1652</v>
      </c>
      <c r="K964">
        <v>11360</v>
      </c>
      <c r="L964" t="s">
        <v>1670</v>
      </c>
      <c r="M964" t="s">
        <v>1670</v>
      </c>
      <c r="N964" t="s">
        <v>12051</v>
      </c>
      <c r="O964" t="s">
        <v>1675</v>
      </c>
      <c r="P964" t="s">
        <v>1958</v>
      </c>
      <c r="R964" t="s">
        <v>51</v>
      </c>
      <c r="S964" t="s">
        <v>1671</v>
      </c>
      <c r="U964" t="s">
        <v>1972</v>
      </c>
      <c r="W964" t="s">
        <v>385</v>
      </c>
      <c r="X964" t="s">
        <v>13051</v>
      </c>
      <c r="Y964" t="s">
        <v>2007</v>
      </c>
      <c r="Z964" t="s">
        <v>2012</v>
      </c>
      <c r="AB964" t="s">
        <v>13731</v>
      </c>
      <c r="AE964" t="s">
        <v>13051</v>
      </c>
      <c r="AF964" t="s">
        <v>2903</v>
      </c>
      <c r="AH964">
        <v>10</v>
      </c>
      <c r="AI964">
        <v>2</v>
      </c>
      <c r="AJ964">
        <v>0</v>
      </c>
      <c r="AK964">
        <v>0</v>
      </c>
      <c r="AL964" t="s">
        <v>2923</v>
      </c>
      <c r="AM964" t="s">
        <v>2924</v>
      </c>
      <c r="AN964" t="s">
        <v>2926</v>
      </c>
      <c r="AO964" t="s">
        <v>13051</v>
      </c>
      <c r="AU964" t="s">
        <v>13051</v>
      </c>
      <c r="AW964" t="s">
        <v>73</v>
      </c>
    </row>
    <row r="965" spans="1:50">
      <c r="A965" s="1" t="s">
        <v>86</v>
      </c>
      <c r="B965" t="s">
        <v>164</v>
      </c>
      <c r="C965" t="s">
        <v>4175</v>
      </c>
      <c r="D965" t="s">
        <v>201</v>
      </c>
      <c r="E965" t="s">
        <v>314</v>
      </c>
      <c r="F965" t="s">
        <v>427</v>
      </c>
      <c r="G965" t="s">
        <v>825</v>
      </c>
      <c r="H965" t="s">
        <v>9761</v>
      </c>
      <c r="I965" t="s">
        <v>1622</v>
      </c>
      <c r="J965" t="s">
        <v>1641</v>
      </c>
      <c r="K965">
        <v>10468</v>
      </c>
      <c r="L965" t="s">
        <v>1670</v>
      </c>
      <c r="M965" t="s">
        <v>1670</v>
      </c>
      <c r="N965" t="s">
        <v>1691</v>
      </c>
      <c r="O965" t="s">
        <v>1941</v>
      </c>
      <c r="P965" t="s">
        <v>1958</v>
      </c>
      <c r="Q965" t="s">
        <v>1965</v>
      </c>
      <c r="R965" t="s">
        <v>50</v>
      </c>
      <c r="S965" t="s">
        <v>1671</v>
      </c>
      <c r="U965" t="s">
        <v>1972</v>
      </c>
      <c r="V965" t="s">
        <v>1984</v>
      </c>
      <c r="W965" t="s">
        <v>6764</v>
      </c>
      <c r="X965">
        <v>1073.4</v>
      </c>
      <c r="Y965" t="s">
        <v>2006</v>
      </c>
      <c r="Z965" t="s">
        <v>2015</v>
      </c>
      <c r="AA965" t="s">
        <v>2029</v>
      </c>
      <c r="AB965" t="s">
        <v>13732</v>
      </c>
      <c r="AC965" t="s">
        <v>1691</v>
      </c>
      <c r="AE965">
        <v>47</v>
      </c>
      <c r="AF965" t="s">
        <v>2902</v>
      </c>
      <c r="AG965" t="s">
        <v>1754</v>
      </c>
      <c r="AH965">
        <v>28</v>
      </c>
      <c r="AI965">
        <v>4</v>
      </c>
      <c r="AJ965">
        <v>0</v>
      </c>
      <c r="AK965">
        <v>0</v>
      </c>
      <c r="AN965" t="s">
        <v>2927</v>
      </c>
      <c r="AO965" t="s">
        <v>13051</v>
      </c>
      <c r="AP965" t="s">
        <v>18229</v>
      </c>
      <c r="AU965">
        <v>0.2</v>
      </c>
      <c r="AV965" t="s">
        <v>175</v>
      </c>
      <c r="AW965" t="s">
        <v>3047</v>
      </c>
    </row>
    <row r="966" spans="1:50">
      <c r="A966" s="1" t="s">
        <v>149</v>
      </c>
      <c r="B966" t="s">
        <v>163</v>
      </c>
      <c r="C966" t="s">
        <v>4176</v>
      </c>
      <c r="D966" t="s">
        <v>364</v>
      </c>
      <c r="F966" t="s">
        <v>701</v>
      </c>
      <c r="G966" t="s">
        <v>8345</v>
      </c>
      <c r="H966" t="s">
        <v>9762</v>
      </c>
      <c r="I966">
        <v>206</v>
      </c>
      <c r="J966" t="s">
        <v>1649</v>
      </c>
      <c r="K966">
        <v>11692</v>
      </c>
      <c r="L966" t="s">
        <v>1670</v>
      </c>
      <c r="M966" t="s">
        <v>1672</v>
      </c>
      <c r="N966" t="s">
        <v>12052</v>
      </c>
      <c r="O966" t="s">
        <v>1936</v>
      </c>
      <c r="P966" t="s">
        <v>1958</v>
      </c>
      <c r="R966" t="s">
        <v>50</v>
      </c>
      <c r="S966" t="s">
        <v>1671</v>
      </c>
      <c r="U966" t="s">
        <v>1972</v>
      </c>
      <c r="V966" t="s">
        <v>1984</v>
      </c>
      <c r="W966" t="s">
        <v>364</v>
      </c>
      <c r="X966">
        <v>1673</v>
      </c>
      <c r="Y966" t="s">
        <v>2007</v>
      </c>
      <c r="Z966" t="s">
        <v>2013</v>
      </c>
      <c r="AB966" t="s">
        <v>13733</v>
      </c>
      <c r="AD966" t="s">
        <v>16198</v>
      </c>
      <c r="AE966" t="s">
        <v>13051</v>
      </c>
      <c r="AF966" t="s">
        <v>2903</v>
      </c>
      <c r="AG966" t="s">
        <v>2915</v>
      </c>
      <c r="AH966">
        <v>6</v>
      </c>
      <c r="AI966">
        <v>1</v>
      </c>
      <c r="AJ966">
        <v>0</v>
      </c>
      <c r="AK966">
        <v>0</v>
      </c>
      <c r="AN966" t="s">
        <v>2926</v>
      </c>
      <c r="AO966" t="s">
        <v>13051</v>
      </c>
      <c r="AU966">
        <v>2</v>
      </c>
      <c r="AV966" t="s">
        <v>364</v>
      </c>
      <c r="AW966" t="s">
        <v>3044</v>
      </c>
      <c r="AX966" t="s">
        <v>18685</v>
      </c>
    </row>
    <row r="967" spans="1:50">
      <c r="A967" s="1" t="s">
        <v>60</v>
      </c>
      <c r="B967" t="s">
        <v>163</v>
      </c>
      <c r="C967" t="s">
        <v>4177</v>
      </c>
      <c r="D967" t="s">
        <v>338</v>
      </c>
      <c r="F967" t="s">
        <v>427</v>
      </c>
      <c r="G967" t="s">
        <v>8105</v>
      </c>
      <c r="H967" t="s">
        <v>9763</v>
      </c>
      <c r="I967" t="s">
        <v>1486</v>
      </c>
      <c r="J967" t="s">
        <v>1645</v>
      </c>
      <c r="K967">
        <v>11691</v>
      </c>
      <c r="L967" t="s">
        <v>1670</v>
      </c>
      <c r="M967" t="s">
        <v>1670</v>
      </c>
      <c r="N967" t="s">
        <v>12053</v>
      </c>
      <c r="O967" t="s">
        <v>1936</v>
      </c>
      <c r="P967" t="s">
        <v>1958</v>
      </c>
      <c r="R967" t="s">
        <v>50</v>
      </c>
      <c r="S967" t="s">
        <v>1671</v>
      </c>
      <c r="U967" t="s">
        <v>1972</v>
      </c>
      <c r="V967" t="s">
        <v>1985</v>
      </c>
      <c r="W967" t="s">
        <v>338</v>
      </c>
      <c r="X967">
        <v>1085</v>
      </c>
      <c r="Y967" t="s">
        <v>2007</v>
      </c>
      <c r="Z967" t="s">
        <v>2014</v>
      </c>
      <c r="AB967" t="s">
        <v>13734</v>
      </c>
      <c r="AC967" t="s">
        <v>15098</v>
      </c>
      <c r="AD967" t="s">
        <v>15077</v>
      </c>
      <c r="AE967">
        <v>84</v>
      </c>
      <c r="AF967" t="s">
        <v>2902</v>
      </c>
      <c r="AG967" t="s">
        <v>1754</v>
      </c>
      <c r="AH967">
        <v>25</v>
      </c>
      <c r="AI967">
        <v>3</v>
      </c>
      <c r="AJ967">
        <v>0</v>
      </c>
      <c r="AK967">
        <v>0</v>
      </c>
      <c r="AN967" t="s">
        <v>2927</v>
      </c>
      <c r="AO967" t="s">
        <v>13051</v>
      </c>
      <c r="AU967">
        <v>0.5</v>
      </c>
      <c r="AV967" t="s">
        <v>338</v>
      </c>
      <c r="AW967" t="s">
        <v>85</v>
      </c>
    </row>
    <row r="968" spans="1:50">
      <c r="A968" s="1" t="s">
        <v>120</v>
      </c>
      <c r="B968" t="s">
        <v>163</v>
      </c>
      <c r="C968" t="s">
        <v>4178</v>
      </c>
      <c r="D968" t="s">
        <v>302</v>
      </c>
      <c r="F968" t="s">
        <v>7236</v>
      </c>
      <c r="G968" t="s">
        <v>8346</v>
      </c>
      <c r="H968" t="s">
        <v>9764</v>
      </c>
      <c r="I968" t="s">
        <v>1569</v>
      </c>
      <c r="J968" t="s">
        <v>1644</v>
      </c>
      <c r="K968">
        <v>11226</v>
      </c>
      <c r="L968" t="s">
        <v>1670</v>
      </c>
      <c r="M968" t="s">
        <v>1670</v>
      </c>
      <c r="N968" t="s">
        <v>12054</v>
      </c>
      <c r="O968" t="s">
        <v>1936</v>
      </c>
      <c r="P968" t="s">
        <v>1958</v>
      </c>
      <c r="R968" t="s">
        <v>50</v>
      </c>
      <c r="S968" t="s">
        <v>1671</v>
      </c>
      <c r="U968" t="s">
        <v>1974</v>
      </c>
      <c r="W968" t="s">
        <v>287</v>
      </c>
      <c r="X968">
        <v>1850</v>
      </c>
      <c r="Y968" t="s">
        <v>2009</v>
      </c>
      <c r="Z968" t="s">
        <v>2012</v>
      </c>
      <c r="AB968" t="s">
        <v>13386</v>
      </c>
      <c r="AC968" t="s">
        <v>15099</v>
      </c>
      <c r="AD968" t="s">
        <v>16199</v>
      </c>
      <c r="AE968">
        <v>16</v>
      </c>
      <c r="AF968" t="s">
        <v>2902</v>
      </c>
      <c r="AH968">
        <v>10</v>
      </c>
      <c r="AI968">
        <v>1</v>
      </c>
      <c r="AJ968">
        <v>0</v>
      </c>
      <c r="AK968">
        <v>0</v>
      </c>
      <c r="AL968" t="s">
        <v>2923</v>
      </c>
      <c r="AM968" t="s">
        <v>2924</v>
      </c>
      <c r="AN968" t="s">
        <v>2926</v>
      </c>
      <c r="AO968" t="s">
        <v>13051</v>
      </c>
      <c r="AP968" t="s">
        <v>18230</v>
      </c>
      <c r="AU968">
        <v>2.6</v>
      </c>
      <c r="AV968" t="s">
        <v>397</v>
      </c>
      <c r="AW968" t="s">
        <v>3059</v>
      </c>
    </row>
    <row r="969" spans="1:50">
      <c r="A969" s="1" t="s">
        <v>120</v>
      </c>
      <c r="B969" t="s">
        <v>163</v>
      </c>
      <c r="C969" t="s">
        <v>4179</v>
      </c>
      <c r="D969" t="s">
        <v>255</v>
      </c>
      <c r="F969" t="s">
        <v>567</v>
      </c>
      <c r="G969" t="s">
        <v>8347</v>
      </c>
      <c r="H969" t="s">
        <v>9765</v>
      </c>
      <c r="I969" t="s">
        <v>1596</v>
      </c>
      <c r="J969" t="s">
        <v>1644</v>
      </c>
      <c r="K969">
        <v>11212</v>
      </c>
      <c r="L969" t="s">
        <v>1670</v>
      </c>
      <c r="M969" t="s">
        <v>1670</v>
      </c>
      <c r="N969" t="s">
        <v>12055</v>
      </c>
      <c r="O969" t="s">
        <v>1936</v>
      </c>
      <c r="P969" t="s">
        <v>1958</v>
      </c>
      <c r="R969" t="s">
        <v>50</v>
      </c>
      <c r="S969" t="s">
        <v>1671</v>
      </c>
      <c r="U969" t="s">
        <v>1974</v>
      </c>
      <c r="W969" t="s">
        <v>353</v>
      </c>
      <c r="X969">
        <v>1268</v>
      </c>
      <c r="Y969" t="s">
        <v>2009</v>
      </c>
      <c r="Z969" t="s">
        <v>2014</v>
      </c>
      <c r="AB969" t="s">
        <v>13735</v>
      </c>
      <c r="AC969" t="s">
        <v>15100</v>
      </c>
      <c r="AD969" t="s">
        <v>16200</v>
      </c>
      <c r="AE969">
        <v>31</v>
      </c>
      <c r="AF969" t="s">
        <v>2902</v>
      </c>
      <c r="AG969" t="s">
        <v>2916</v>
      </c>
      <c r="AH969">
        <v>2</v>
      </c>
      <c r="AI969">
        <v>2</v>
      </c>
      <c r="AJ969">
        <v>0</v>
      </c>
      <c r="AK969">
        <v>0</v>
      </c>
      <c r="AN969" t="s">
        <v>2926</v>
      </c>
      <c r="AO969" t="s">
        <v>13051</v>
      </c>
      <c r="AU969">
        <v>0.75</v>
      </c>
      <c r="AV969" t="s">
        <v>3030</v>
      </c>
      <c r="AW969" t="s">
        <v>3059</v>
      </c>
    </row>
    <row r="970" spans="1:50">
      <c r="A970" s="1" t="s">
        <v>107</v>
      </c>
      <c r="B970" t="s">
        <v>163</v>
      </c>
      <c r="C970" t="s">
        <v>4180</v>
      </c>
      <c r="D970" t="s">
        <v>313</v>
      </c>
      <c r="F970" t="s">
        <v>7237</v>
      </c>
      <c r="G970" t="s">
        <v>7695</v>
      </c>
      <c r="H970" t="s">
        <v>9766</v>
      </c>
      <c r="I970" t="s">
        <v>11144</v>
      </c>
      <c r="J970" t="s">
        <v>1644</v>
      </c>
      <c r="K970">
        <v>11203</v>
      </c>
      <c r="L970" t="s">
        <v>1670</v>
      </c>
      <c r="M970" t="s">
        <v>1670</v>
      </c>
      <c r="N970" t="s">
        <v>12056</v>
      </c>
      <c r="O970" t="s">
        <v>1940</v>
      </c>
      <c r="P970" t="s">
        <v>1958</v>
      </c>
      <c r="R970" t="s">
        <v>50</v>
      </c>
      <c r="S970" t="s">
        <v>1671</v>
      </c>
      <c r="U970" t="s">
        <v>1972</v>
      </c>
      <c r="V970" t="s">
        <v>1984</v>
      </c>
      <c r="W970" t="s">
        <v>6191</v>
      </c>
      <c r="X970">
        <v>2500</v>
      </c>
      <c r="Y970" t="s">
        <v>2009</v>
      </c>
      <c r="Z970" t="s">
        <v>2028</v>
      </c>
      <c r="AB970" t="s">
        <v>13736</v>
      </c>
      <c r="AC970" t="s">
        <v>1754</v>
      </c>
      <c r="AD970" t="s">
        <v>16201</v>
      </c>
      <c r="AE970">
        <v>2</v>
      </c>
      <c r="AF970" t="s">
        <v>2903</v>
      </c>
      <c r="AG970" t="s">
        <v>1754</v>
      </c>
      <c r="AH970">
        <v>1</v>
      </c>
      <c r="AI970">
        <v>3</v>
      </c>
      <c r="AJ970">
        <v>0</v>
      </c>
      <c r="AK970">
        <v>0</v>
      </c>
      <c r="AN970" t="s">
        <v>2926</v>
      </c>
      <c r="AO970" t="s">
        <v>13051</v>
      </c>
      <c r="AP970" t="s">
        <v>18231</v>
      </c>
      <c r="AU970" t="s">
        <v>13051</v>
      </c>
      <c r="AW970" t="s">
        <v>3060</v>
      </c>
    </row>
    <row r="971" spans="1:50">
      <c r="A971" s="1" t="s">
        <v>115</v>
      </c>
      <c r="B971" t="s">
        <v>163</v>
      </c>
      <c r="C971" t="s">
        <v>4181</v>
      </c>
      <c r="D971" t="s">
        <v>274</v>
      </c>
      <c r="F971" t="s">
        <v>7078</v>
      </c>
      <c r="G971" t="s">
        <v>808</v>
      </c>
      <c r="H971" t="s">
        <v>9767</v>
      </c>
      <c r="I971" t="s">
        <v>11145</v>
      </c>
      <c r="J971" t="s">
        <v>1641</v>
      </c>
      <c r="K971">
        <v>10467</v>
      </c>
      <c r="L971" t="s">
        <v>1670</v>
      </c>
      <c r="M971" t="s">
        <v>1670</v>
      </c>
      <c r="O971" t="s">
        <v>1675</v>
      </c>
      <c r="P971" t="s">
        <v>1958</v>
      </c>
      <c r="R971" t="s">
        <v>50</v>
      </c>
      <c r="S971" t="s">
        <v>1671</v>
      </c>
      <c r="U971" t="s">
        <v>1972</v>
      </c>
      <c r="W971" t="s">
        <v>274</v>
      </c>
      <c r="X971" t="s">
        <v>13051</v>
      </c>
      <c r="Y971" t="s">
        <v>2006</v>
      </c>
      <c r="Z971" t="s">
        <v>2015</v>
      </c>
      <c r="AB971" t="s">
        <v>13737</v>
      </c>
      <c r="AD971" t="s">
        <v>16202</v>
      </c>
      <c r="AE971">
        <v>49</v>
      </c>
      <c r="AF971" t="s">
        <v>2902</v>
      </c>
      <c r="AG971" t="s">
        <v>1754</v>
      </c>
      <c r="AH971" t="s">
        <v>13051</v>
      </c>
      <c r="AI971">
        <v>1</v>
      </c>
      <c r="AJ971">
        <v>0</v>
      </c>
      <c r="AK971">
        <v>0</v>
      </c>
      <c r="AN971" t="s">
        <v>2927</v>
      </c>
      <c r="AO971" t="s">
        <v>13051</v>
      </c>
      <c r="AU971">
        <v>1.5</v>
      </c>
      <c r="AV971" t="s">
        <v>195</v>
      </c>
      <c r="AW971" t="s">
        <v>115</v>
      </c>
    </row>
    <row r="972" spans="1:50">
      <c r="A972" s="1" t="s">
        <v>153</v>
      </c>
      <c r="B972" t="s">
        <v>163</v>
      </c>
      <c r="C972" t="s">
        <v>4182</v>
      </c>
      <c r="D972" t="s">
        <v>353</v>
      </c>
      <c r="F972" t="s">
        <v>508</v>
      </c>
      <c r="G972" t="s">
        <v>8348</v>
      </c>
      <c r="H972" t="s">
        <v>9768</v>
      </c>
      <c r="I972">
        <v>402</v>
      </c>
      <c r="J972" t="s">
        <v>1641</v>
      </c>
      <c r="K972">
        <v>10457</v>
      </c>
      <c r="L972" t="s">
        <v>1670</v>
      </c>
      <c r="M972" t="s">
        <v>1670</v>
      </c>
      <c r="O972" t="s">
        <v>1941</v>
      </c>
      <c r="P972" t="s">
        <v>1958</v>
      </c>
      <c r="R972" t="s">
        <v>50</v>
      </c>
      <c r="U972" t="s">
        <v>1972</v>
      </c>
      <c r="W972" t="s">
        <v>353</v>
      </c>
      <c r="X972">
        <v>400</v>
      </c>
      <c r="Y972" t="s">
        <v>2006</v>
      </c>
      <c r="AB972" t="s">
        <v>13475</v>
      </c>
      <c r="AD972" t="s">
        <v>16203</v>
      </c>
      <c r="AE972" t="s">
        <v>13051</v>
      </c>
      <c r="AH972">
        <v>12</v>
      </c>
      <c r="AI972">
        <v>2</v>
      </c>
      <c r="AJ972">
        <v>0</v>
      </c>
      <c r="AK972">
        <v>0</v>
      </c>
      <c r="AN972" t="s">
        <v>2926</v>
      </c>
      <c r="AO972" t="s">
        <v>13051</v>
      </c>
      <c r="AU972" t="s">
        <v>13051</v>
      </c>
      <c r="AW972" t="s">
        <v>18660</v>
      </c>
    </row>
    <row r="973" spans="1:50">
      <c r="A973" s="1" t="s">
        <v>123</v>
      </c>
      <c r="B973" t="s">
        <v>163</v>
      </c>
      <c r="C973" t="s">
        <v>4183</v>
      </c>
      <c r="D973" t="s">
        <v>406</v>
      </c>
      <c r="F973" t="s">
        <v>7238</v>
      </c>
      <c r="G973" t="s">
        <v>8349</v>
      </c>
      <c r="H973" t="s">
        <v>9769</v>
      </c>
      <c r="I973" t="s">
        <v>1538</v>
      </c>
      <c r="J973" t="s">
        <v>1641</v>
      </c>
      <c r="K973">
        <v>10453</v>
      </c>
      <c r="L973" t="s">
        <v>1670</v>
      </c>
      <c r="M973" t="s">
        <v>1670</v>
      </c>
      <c r="O973" t="s">
        <v>1936</v>
      </c>
      <c r="P973" t="s">
        <v>1958</v>
      </c>
      <c r="R973" t="s">
        <v>50</v>
      </c>
      <c r="S973" t="s">
        <v>1671</v>
      </c>
      <c r="U973" t="s">
        <v>1972</v>
      </c>
      <c r="W973" t="s">
        <v>406</v>
      </c>
      <c r="X973">
        <v>1527.83</v>
      </c>
      <c r="Y973" t="s">
        <v>2006</v>
      </c>
      <c r="AB973" t="s">
        <v>13738</v>
      </c>
      <c r="AD973" t="s">
        <v>16204</v>
      </c>
      <c r="AE973" t="s">
        <v>13051</v>
      </c>
      <c r="AF973" t="s">
        <v>2902</v>
      </c>
      <c r="AG973" t="s">
        <v>2915</v>
      </c>
      <c r="AH973">
        <v>3</v>
      </c>
      <c r="AI973">
        <v>2</v>
      </c>
      <c r="AJ973">
        <v>0</v>
      </c>
      <c r="AK973">
        <v>0</v>
      </c>
      <c r="AN973" t="s">
        <v>18041</v>
      </c>
      <c r="AO973" t="s">
        <v>13051</v>
      </c>
      <c r="AU973">
        <v>0.1</v>
      </c>
      <c r="AV973" t="s">
        <v>303</v>
      </c>
      <c r="AW973" t="s">
        <v>123</v>
      </c>
    </row>
    <row r="974" spans="1:50">
      <c r="A974" s="1" t="s">
        <v>115</v>
      </c>
      <c r="B974" t="s">
        <v>163</v>
      </c>
      <c r="C974" t="s">
        <v>4184</v>
      </c>
      <c r="D974" t="s">
        <v>350</v>
      </c>
      <c r="F974" t="s">
        <v>7239</v>
      </c>
      <c r="G974" t="s">
        <v>8350</v>
      </c>
      <c r="H974" t="s">
        <v>9770</v>
      </c>
      <c r="I974" t="s">
        <v>11120</v>
      </c>
      <c r="J974" t="s">
        <v>1641</v>
      </c>
      <c r="K974">
        <v>10452</v>
      </c>
      <c r="L974" t="s">
        <v>1670</v>
      </c>
      <c r="M974" t="s">
        <v>1670</v>
      </c>
      <c r="O974" t="s">
        <v>1675</v>
      </c>
      <c r="P974" t="s">
        <v>1958</v>
      </c>
      <c r="R974" t="s">
        <v>50</v>
      </c>
      <c r="S974" t="s">
        <v>1671</v>
      </c>
      <c r="U974" t="s">
        <v>1972</v>
      </c>
      <c r="W974" t="s">
        <v>350</v>
      </c>
      <c r="X974">
        <v>100</v>
      </c>
      <c r="Y974" t="s">
        <v>2006</v>
      </c>
      <c r="Z974" t="s">
        <v>2015</v>
      </c>
      <c r="AB974" t="s">
        <v>13739</v>
      </c>
      <c r="AE974">
        <v>92</v>
      </c>
      <c r="AF974" t="s">
        <v>2902</v>
      </c>
      <c r="AG974" t="s">
        <v>2915</v>
      </c>
      <c r="AH974">
        <v>9</v>
      </c>
      <c r="AI974">
        <v>2</v>
      </c>
      <c r="AJ974">
        <v>0</v>
      </c>
      <c r="AK974">
        <v>0</v>
      </c>
      <c r="AN974" t="s">
        <v>2926</v>
      </c>
      <c r="AO974" t="s">
        <v>13051</v>
      </c>
      <c r="AU974">
        <v>2.5</v>
      </c>
      <c r="AV974" t="s">
        <v>193</v>
      </c>
      <c r="AW974" t="s">
        <v>115</v>
      </c>
    </row>
    <row r="975" spans="1:50">
      <c r="A975" s="1" t="s">
        <v>95</v>
      </c>
      <c r="B975" t="s">
        <v>163</v>
      </c>
      <c r="C975" t="s">
        <v>4185</v>
      </c>
      <c r="D975" t="s">
        <v>3039</v>
      </c>
      <c r="F975" t="s">
        <v>7240</v>
      </c>
      <c r="G975" t="s">
        <v>918</v>
      </c>
      <c r="H975" t="s">
        <v>9771</v>
      </c>
      <c r="I975" t="s">
        <v>11146</v>
      </c>
      <c r="J975" t="s">
        <v>1641</v>
      </c>
      <c r="K975">
        <v>10452</v>
      </c>
      <c r="L975" t="s">
        <v>1670</v>
      </c>
      <c r="M975" t="s">
        <v>1672</v>
      </c>
      <c r="O975" t="s">
        <v>1675</v>
      </c>
      <c r="P975" t="s">
        <v>1958</v>
      </c>
      <c r="R975" t="s">
        <v>50</v>
      </c>
      <c r="S975" t="s">
        <v>1671</v>
      </c>
      <c r="U975" t="s">
        <v>1972</v>
      </c>
      <c r="W975" t="s">
        <v>1991</v>
      </c>
      <c r="X975">
        <v>808.88</v>
      </c>
      <c r="Y975" t="s">
        <v>2006</v>
      </c>
      <c r="Z975" t="s">
        <v>2015</v>
      </c>
      <c r="AB975" t="s">
        <v>13740</v>
      </c>
      <c r="AE975" t="s">
        <v>13051</v>
      </c>
      <c r="AF975" t="s">
        <v>2902</v>
      </c>
      <c r="AH975">
        <v>37</v>
      </c>
      <c r="AI975">
        <v>1</v>
      </c>
      <c r="AJ975">
        <v>0</v>
      </c>
      <c r="AK975">
        <v>0</v>
      </c>
      <c r="AN975" t="s">
        <v>2926</v>
      </c>
      <c r="AO975" t="s">
        <v>13051</v>
      </c>
      <c r="AU975">
        <v>1</v>
      </c>
      <c r="AV975" t="s">
        <v>249</v>
      </c>
      <c r="AW975" t="s">
        <v>95</v>
      </c>
      <c r="AX975" t="s">
        <v>18685</v>
      </c>
    </row>
    <row r="976" spans="1:50">
      <c r="A976" s="1" t="s">
        <v>71</v>
      </c>
      <c r="B976" t="s">
        <v>163</v>
      </c>
      <c r="C976" t="s">
        <v>4186</v>
      </c>
      <c r="D976" t="s">
        <v>173</v>
      </c>
      <c r="F976" t="s">
        <v>6900</v>
      </c>
      <c r="G976" t="s">
        <v>909</v>
      </c>
      <c r="H976" t="s">
        <v>9772</v>
      </c>
      <c r="I976" t="s">
        <v>1509</v>
      </c>
      <c r="J976" t="s">
        <v>1646</v>
      </c>
      <c r="K976">
        <v>10301</v>
      </c>
      <c r="L976" t="s">
        <v>1671</v>
      </c>
      <c r="M976" t="s">
        <v>1671</v>
      </c>
      <c r="N976" t="s">
        <v>1693</v>
      </c>
      <c r="O976" t="s">
        <v>1675</v>
      </c>
      <c r="P976" t="s">
        <v>1958</v>
      </c>
      <c r="R976" t="s">
        <v>50</v>
      </c>
      <c r="S976" t="s">
        <v>1671</v>
      </c>
      <c r="U976" t="s">
        <v>1972</v>
      </c>
      <c r="V976" t="s">
        <v>1984</v>
      </c>
      <c r="W976" t="s">
        <v>173</v>
      </c>
      <c r="X976">
        <v>1200</v>
      </c>
      <c r="Y976" t="s">
        <v>2010</v>
      </c>
      <c r="Z976" t="s">
        <v>2013</v>
      </c>
      <c r="AB976" t="s">
        <v>13238</v>
      </c>
      <c r="AE976">
        <v>8</v>
      </c>
      <c r="AF976" t="s">
        <v>2903</v>
      </c>
      <c r="AG976" t="s">
        <v>2921</v>
      </c>
      <c r="AH976">
        <v>8</v>
      </c>
      <c r="AI976">
        <v>1</v>
      </c>
      <c r="AJ976">
        <v>0</v>
      </c>
      <c r="AK976">
        <v>0</v>
      </c>
      <c r="AN976" t="s">
        <v>2926</v>
      </c>
      <c r="AO976" t="s">
        <v>13051</v>
      </c>
      <c r="AU976">
        <v>2.6</v>
      </c>
      <c r="AV976" t="s">
        <v>310</v>
      </c>
      <c r="AW976" t="s">
        <v>18654</v>
      </c>
    </row>
    <row r="977" spans="1:50">
      <c r="A977" s="1" t="s">
        <v>68</v>
      </c>
      <c r="B977" t="s">
        <v>163</v>
      </c>
      <c r="C977" t="s">
        <v>4187</v>
      </c>
      <c r="D977" t="s">
        <v>339</v>
      </c>
      <c r="F977" t="s">
        <v>7241</v>
      </c>
      <c r="G977" t="s">
        <v>8135</v>
      </c>
      <c r="H977" t="s">
        <v>9773</v>
      </c>
      <c r="I977" t="s">
        <v>1491</v>
      </c>
      <c r="J977" t="s">
        <v>1643</v>
      </c>
      <c r="K977">
        <v>10034</v>
      </c>
      <c r="L977" t="s">
        <v>1670</v>
      </c>
      <c r="M977" t="s">
        <v>1670</v>
      </c>
      <c r="N977" t="s">
        <v>12057</v>
      </c>
      <c r="O977" t="s">
        <v>1936</v>
      </c>
      <c r="P977" t="s">
        <v>1958</v>
      </c>
      <c r="R977" t="s">
        <v>50</v>
      </c>
      <c r="S977" t="s">
        <v>1671</v>
      </c>
      <c r="T977" t="s">
        <v>50</v>
      </c>
      <c r="U977" t="s">
        <v>1972</v>
      </c>
      <c r="W977" t="s">
        <v>339</v>
      </c>
      <c r="X977">
        <v>1348.75</v>
      </c>
      <c r="Y977" t="s">
        <v>2008</v>
      </c>
      <c r="AB977" t="s">
        <v>13741</v>
      </c>
      <c r="AD977" t="s">
        <v>16205</v>
      </c>
      <c r="AE977" t="s">
        <v>13051</v>
      </c>
      <c r="AF977" t="s">
        <v>2902</v>
      </c>
      <c r="AH977">
        <v>21</v>
      </c>
      <c r="AI977">
        <v>1</v>
      </c>
      <c r="AJ977">
        <v>0</v>
      </c>
      <c r="AK977">
        <v>0</v>
      </c>
      <c r="AN977" t="s">
        <v>2926</v>
      </c>
      <c r="AO977" t="s">
        <v>13051</v>
      </c>
      <c r="AU977">
        <v>1</v>
      </c>
      <c r="AV977" t="s">
        <v>269</v>
      </c>
      <c r="AW977" t="s">
        <v>3065</v>
      </c>
    </row>
    <row r="978" spans="1:50">
      <c r="A978" s="1" t="s">
        <v>91</v>
      </c>
      <c r="B978" t="s">
        <v>163</v>
      </c>
      <c r="C978" t="s">
        <v>4188</v>
      </c>
      <c r="D978" t="s">
        <v>268</v>
      </c>
      <c r="F978" t="s">
        <v>7233</v>
      </c>
      <c r="G978" t="s">
        <v>8340</v>
      </c>
      <c r="H978" t="s">
        <v>9755</v>
      </c>
      <c r="I978">
        <v>1</v>
      </c>
      <c r="J978" t="s">
        <v>1643</v>
      </c>
      <c r="K978">
        <v>10032</v>
      </c>
      <c r="L978" t="s">
        <v>1670</v>
      </c>
      <c r="M978" t="s">
        <v>1672</v>
      </c>
      <c r="O978" t="s">
        <v>1675</v>
      </c>
      <c r="P978" t="s">
        <v>1958</v>
      </c>
      <c r="R978" t="s">
        <v>50</v>
      </c>
      <c r="S978" t="s">
        <v>1671</v>
      </c>
      <c r="U978" t="s">
        <v>1972</v>
      </c>
      <c r="W978" t="s">
        <v>268</v>
      </c>
      <c r="X978">
        <v>2500</v>
      </c>
      <c r="Y978" t="s">
        <v>2008</v>
      </c>
      <c r="Z978" t="s">
        <v>2020</v>
      </c>
      <c r="AB978" t="s">
        <v>13726</v>
      </c>
      <c r="AD978" t="s">
        <v>16195</v>
      </c>
      <c r="AE978">
        <v>4</v>
      </c>
      <c r="AF978" t="s">
        <v>2902</v>
      </c>
      <c r="AG978" t="s">
        <v>1754</v>
      </c>
      <c r="AH978">
        <v>2</v>
      </c>
      <c r="AI978">
        <v>1</v>
      </c>
      <c r="AJ978">
        <v>0</v>
      </c>
      <c r="AK978">
        <v>0</v>
      </c>
      <c r="AN978" t="s">
        <v>2926</v>
      </c>
      <c r="AO978" t="s">
        <v>13051</v>
      </c>
      <c r="AU978">
        <v>1.5</v>
      </c>
      <c r="AV978" t="s">
        <v>268</v>
      </c>
      <c r="AW978" t="s">
        <v>3042</v>
      </c>
      <c r="AX978" t="s">
        <v>18685</v>
      </c>
    </row>
    <row r="979" spans="1:50">
      <c r="A979" s="1" t="s">
        <v>68</v>
      </c>
      <c r="B979" t="s">
        <v>163</v>
      </c>
      <c r="C979" t="s">
        <v>4189</v>
      </c>
      <c r="D979" t="s">
        <v>293</v>
      </c>
      <c r="F979" t="s">
        <v>7242</v>
      </c>
      <c r="G979" t="s">
        <v>8351</v>
      </c>
      <c r="H979" t="s">
        <v>9774</v>
      </c>
      <c r="I979" t="s">
        <v>1484</v>
      </c>
      <c r="J979" t="s">
        <v>1643</v>
      </c>
      <c r="K979">
        <v>10031</v>
      </c>
      <c r="L979" t="s">
        <v>1670</v>
      </c>
      <c r="M979" t="s">
        <v>1670</v>
      </c>
      <c r="P979" t="s">
        <v>1958</v>
      </c>
      <c r="R979" t="s">
        <v>50</v>
      </c>
      <c r="S979" t="s">
        <v>1671</v>
      </c>
      <c r="U979" t="s">
        <v>1972</v>
      </c>
      <c r="W979" t="s">
        <v>293</v>
      </c>
      <c r="X979">
        <v>995</v>
      </c>
      <c r="Y979" t="s">
        <v>2008</v>
      </c>
      <c r="Z979" t="s">
        <v>2014</v>
      </c>
      <c r="AB979" t="s">
        <v>13742</v>
      </c>
      <c r="AD979" t="s">
        <v>16206</v>
      </c>
      <c r="AE979" t="s">
        <v>13051</v>
      </c>
      <c r="AF979" t="s">
        <v>2902</v>
      </c>
      <c r="AG979" t="s">
        <v>1754</v>
      </c>
      <c r="AH979">
        <v>25</v>
      </c>
      <c r="AI979">
        <v>1</v>
      </c>
      <c r="AJ979">
        <v>0</v>
      </c>
      <c r="AK979">
        <v>0</v>
      </c>
      <c r="AN979" t="s">
        <v>2926</v>
      </c>
      <c r="AO979" t="s">
        <v>13051</v>
      </c>
      <c r="AU979">
        <v>1.5</v>
      </c>
      <c r="AV979" t="s">
        <v>3036</v>
      </c>
      <c r="AW979" t="s">
        <v>3042</v>
      </c>
    </row>
    <row r="980" spans="1:50">
      <c r="A980" s="1" t="s">
        <v>3178</v>
      </c>
      <c r="B980" t="s">
        <v>163</v>
      </c>
      <c r="C980" t="s">
        <v>4190</v>
      </c>
      <c r="D980" t="s">
        <v>279</v>
      </c>
      <c r="F980" t="s">
        <v>7243</v>
      </c>
      <c r="G980" t="s">
        <v>8352</v>
      </c>
      <c r="H980" t="s">
        <v>9775</v>
      </c>
      <c r="I980">
        <v>3</v>
      </c>
      <c r="J980" t="s">
        <v>1643</v>
      </c>
      <c r="K980">
        <v>10027</v>
      </c>
      <c r="L980" t="s">
        <v>1670</v>
      </c>
      <c r="M980" t="s">
        <v>1670</v>
      </c>
      <c r="O980" t="s">
        <v>1675</v>
      </c>
      <c r="P980" t="s">
        <v>1958</v>
      </c>
      <c r="R980" t="s">
        <v>50</v>
      </c>
      <c r="S980" t="s">
        <v>1671</v>
      </c>
      <c r="U980" t="s">
        <v>1972</v>
      </c>
      <c r="W980" t="s">
        <v>1990</v>
      </c>
      <c r="X980">
        <v>1428</v>
      </c>
      <c r="Y980" t="s">
        <v>2008</v>
      </c>
      <c r="Z980" t="s">
        <v>2013</v>
      </c>
      <c r="AB980" t="s">
        <v>13743</v>
      </c>
      <c r="AD980" t="s">
        <v>16207</v>
      </c>
      <c r="AE980">
        <v>7</v>
      </c>
      <c r="AF980" t="s">
        <v>2902</v>
      </c>
      <c r="AG980" t="s">
        <v>1754</v>
      </c>
      <c r="AH980">
        <v>5</v>
      </c>
      <c r="AI980">
        <v>1</v>
      </c>
      <c r="AJ980">
        <v>0</v>
      </c>
      <c r="AK980">
        <v>0</v>
      </c>
      <c r="AN980" t="s">
        <v>2926</v>
      </c>
      <c r="AO980" t="s">
        <v>13051</v>
      </c>
      <c r="AU980" t="s">
        <v>13051</v>
      </c>
      <c r="AW980" t="s">
        <v>3048</v>
      </c>
    </row>
    <row r="981" spans="1:50">
      <c r="A981" s="1" t="s">
        <v>104</v>
      </c>
      <c r="B981" t="s">
        <v>164</v>
      </c>
      <c r="C981" t="s">
        <v>4191</v>
      </c>
      <c r="D981" t="s">
        <v>182</v>
      </c>
      <c r="E981" t="s">
        <v>326</v>
      </c>
      <c r="F981" t="s">
        <v>7244</v>
      </c>
      <c r="G981" t="s">
        <v>8353</v>
      </c>
      <c r="H981" t="s">
        <v>9776</v>
      </c>
      <c r="I981" t="s">
        <v>1549</v>
      </c>
      <c r="J981" t="s">
        <v>1646</v>
      </c>
      <c r="K981">
        <v>10303</v>
      </c>
      <c r="L981" t="s">
        <v>1670</v>
      </c>
      <c r="M981" t="s">
        <v>1670</v>
      </c>
      <c r="N981" t="s">
        <v>12058</v>
      </c>
      <c r="O981" t="s">
        <v>1954</v>
      </c>
      <c r="P981" t="s">
        <v>1960</v>
      </c>
      <c r="Q981" t="s">
        <v>1969</v>
      </c>
      <c r="R981" t="s">
        <v>51</v>
      </c>
      <c r="S981" t="s">
        <v>1671</v>
      </c>
      <c r="U981" t="s">
        <v>1972</v>
      </c>
      <c r="V981" t="s">
        <v>1984</v>
      </c>
      <c r="W981" t="s">
        <v>182</v>
      </c>
      <c r="X981">
        <v>1200</v>
      </c>
      <c r="Y981" t="s">
        <v>2010</v>
      </c>
      <c r="Z981" t="s">
        <v>2012</v>
      </c>
      <c r="AA981" t="s">
        <v>2034</v>
      </c>
      <c r="AB981" t="s">
        <v>13744</v>
      </c>
      <c r="AD981" t="s">
        <v>16208</v>
      </c>
      <c r="AE981">
        <v>2</v>
      </c>
      <c r="AF981" t="s">
        <v>2903</v>
      </c>
      <c r="AG981" t="s">
        <v>1754</v>
      </c>
      <c r="AH981">
        <v>1</v>
      </c>
      <c r="AI981">
        <v>1</v>
      </c>
      <c r="AJ981">
        <v>0</v>
      </c>
      <c r="AK981">
        <v>0</v>
      </c>
      <c r="AL981" t="s">
        <v>2923</v>
      </c>
      <c r="AM981" t="s">
        <v>2924</v>
      </c>
      <c r="AN981" t="s">
        <v>2926</v>
      </c>
      <c r="AO981" t="s">
        <v>13051</v>
      </c>
      <c r="AQ981" t="s">
        <v>2976</v>
      </c>
      <c r="AR981" t="s">
        <v>18457</v>
      </c>
      <c r="AS981" t="s">
        <v>2993</v>
      </c>
      <c r="AT981" t="s">
        <v>3023</v>
      </c>
      <c r="AU981">
        <v>27.3</v>
      </c>
      <c r="AV981" t="s">
        <v>326</v>
      </c>
      <c r="AW981" t="s">
        <v>71</v>
      </c>
    </row>
    <row r="982" spans="1:50">
      <c r="A982" s="1" t="s">
        <v>78</v>
      </c>
      <c r="B982" t="s">
        <v>164</v>
      </c>
      <c r="C982" t="s">
        <v>4192</v>
      </c>
      <c r="D982" t="s">
        <v>260</v>
      </c>
      <c r="E982" t="s">
        <v>350</v>
      </c>
      <c r="F982" t="s">
        <v>532</v>
      </c>
      <c r="G982" t="s">
        <v>810</v>
      </c>
      <c r="H982" t="s">
        <v>9777</v>
      </c>
      <c r="I982" t="s">
        <v>1491</v>
      </c>
      <c r="J982" t="s">
        <v>1646</v>
      </c>
      <c r="K982">
        <v>10301</v>
      </c>
      <c r="L982" t="s">
        <v>1670</v>
      </c>
      <c r="M982" t="s">
        <v>1670</v>
      </c>
      <c r="N982" t="s">
        <v>12059</v>
      </c>
      <c r="O982" t="s">
        <v>1936</v>
      </c>
      <c r="P982" t="s">
        <v>1960</v>
      </c>
      <c r="Q982" t="s">
        <v>1969</v>
      </c>
      <c r="R982" t="s">
        <v>51</v>
      </c>
      <c r="S982" t="s">
        <v>1671</v>
      </c>
      <c r="U982" t="s">
        <v>1972</v>
      </c>
      <c r="V982" t="s">
        <v>1984</v>
      </c>
      <c r="W982" t="s">
        <v>260</v>
      </c>
      <c r="X982">
        <v>1284</v>
      </c>
      <c r="Y982" t="s">
        <v>2010</v>
      </c>
      <c r="Z982" t="s">
        <v>2012</v>
      </c>
      <c r="AA982" t="s">
        <v>2032</v>
      </c>
      <c r="AB982" t="s">
        <v>13745</v>
      </c>
      <c r="AD982" t="s">
        <v>16209</v>
      </c>
      <c r="AE982">
        <v>6</v>
      </c>
      <c r="AF982" t="s">
        <v>2909</v>
      </c>
      <c r="AG982" t="s">
        <v>2915</v>
      </c>
      <c r="AH982">
        <v>10</v>
      </c>
      <c r="AI982">
        <v>1</v>
      </c>
      <c r="AJ982">
        <v>0</v>
      </c>
      <c r="AK982">
        <v>0</v>
      </c>
      <c r="AL982" t="s">
        <v>2923</v>
      </c>
      <c r="AM982" t="s">
        <v>2924</v>
      </c>
      <c r="AN982" t="s">
        <v>2926</v>
      </c>
      <c r="AO982" t="s">
        <v>13051</v>
      </c>
      <c r="AQ982" t="s">
        <v>2978</v>
      </c>
      <c r="AR982" t="s">
        <v>2017</v>
      </c>
      <c r="AS982" t="s">
        <v>2992</v>
      </c>
      <c r="AT982" t="s">
        <v>18521</v>
      </c>
      <c r="AU982">
        <v>31.7</v>
      </c>
      <c r="AV982" t="s">
        <v>3031</v>
      </c>
      <c r="AW982" t="s">
        <v>3062</v>
      </c>
    </row>
    <row r="983" spans="1:50">
      <c r="A983" s="1" t="s">
        <v>96</v>
      </c>
      <c r="B983" t="s">
        <v>164</v>
      </c>
      <c r="C983" t="s">
        <v>4193</v>
      </c>
      <c r="D983" t="s">
        <v>218</v>
      </c>
      <c r="E983" t="s">
        <v>299</v>
      </c>
      <c r="F983" t="s">
        <v>637</v>
      </c>
      <c r="G983" t="s">
        <v>8354</v>
      </c>
      <c r="H983" t="s">
        <v>1276</v>
      </c>
      <c r="I983">
        <v>3</v>
      </c>
      <c r="J983" t="s">
        <v>1644</v>
      </c>
      <c r="K983">
        <v>11238</v>
      </c>
      <c r="L983" t="s">
        <v>1670</v>
      </c>
      <c r="M983" t="s">
        <v>1672</v>
      </c>
      <c r="O983" t="s">
        <v>1941</v>
      </c>
      <c r="P983" t="s">
        <v>1962</v>
      </c>
      <c r="Q983" t="s">
        <v>1965</v>
      </c>
      <c r="R983" t="s">
        <v>50</v>
      </c>
      <c r="U983" t="s">
        <v>1972</v>
      </c>
      <c r="W983" t="s">
        <v>299</v>
      </c>
      <c r="X983">
        <v>1150</v>
      </c>
      <c r="Y983" t="s">
        <v>2009</v>
      </c>
      <c r="AA983" t="s">
        <v>2041</v>
      </c>
      <c r="AB983" t="s">
        <v>13746</v>
      </c>
      <c r="AE983" t="s">
        <v>13051</v>
      </c>
      <c r="AG983" t="s">
        <v>1754</v>
      </c>
      <c r="AH983">
        <v>19</v>
      </c>
      <c r="AI983">
        <v>1</v>
      </c>
      <c r="AJ983">
        <v>0</v>
      </c>
      <c r="AK983">
        <v>0</v>
      </c>
      <c r="AN983" t="s">
        <v>2926</v>
      </c>
      <c r="AO983" t="s">
        <v>13051</v>
      </c>
      <c r="AS983" t="s">
        <v>2992</v>
      </c>
      <c r="AT983" t="s">
        <v>3001</v>
      </c>
      <c r="AU983">
        <v>1.5</v>
      </c>
      <c r="AV983" t="s">
        <v>299</v>
      </c>
      <c r="AW983" t="s">
        <v>3074</v>
      </c>
      <c r="AX983" t="s">
        <v>18685</v>
      </c>
    </row>
    <row r="984" spans="1:50">
      <c r="A984" s="1" t="s">
        <v>3151</v>
      </c>
      <c r="B984" t="s">
        <v>164</v>
      </c>
      <c r="C984" t="s">
        <v>4194</v>
      </c>
      <c r="D984" t="s">
        <v>281</v>
      </c>
      <c r="E984" t="s">
        <v>375</v>
      </c>
      <c r="F984" t="s">
        <v>672</v>
      </c>
      <c r="G984" t="s">
        <v>8355</v>
      </c>
      <c r="H984" t="s">
        <v>9778</v>
      </c>
      <c r="I984" t="s">
        <v>1509</v>
      </c>
      <c r="J984" t="s">
        <v>1644</v>
      </c>
      <c r="K984">
        <v>11212</v>
      </c>
      <c r="L984" t="s">
        <v>1670</v>
      </c>
      <c r="M984" t="s">
        <v>1670</v>
      </c>
      <c r="N984" t="s">
        <v>12060</v>
      </c>
      <c r="O984" t="s">
        <v>1940</v>
      </c>
      <c r="P984" t="s">
        <v>1962</v>
      </c>
      <c r="Q984" t="s">
        <v>1965</v>
      </c>
      <c r="R984" t="s">
        <v>50</v>
      </c>
      <c r="U984" t="s">
        <v>1972</v>
      </c>
      <c r="W984" t="s">
        <v>281</v>
      </c>
      <c r="X984">
        <v>1350</v>
      </c>
      <c r="Y984" t="s">
        <v>2009</v>
      </c>
      <c r="Z984" t="s">
        <v>2014</v>
      </c>
      <c r="AA984" t="s">
        <v>2029</v>
      </c>
      <c r="AB984" t="s">
        <v>13747</v>
      </c>
      <c r="AD984" t="s">
        <v>16210</v>
      </c>
      <c r="AE984">
        <v>4</v>
      </c>
      <c r="AH984">
        <v>7</v>
      </c>
      <c r="AI984">
        <v>1</v>
      </c>
      <c r="AJ984">
        <v>0</v>
      </c>
      <c r="AK984">
        <v>0</v>
      </c>
      <c r="AM984" t="s">
        <v>18031</v>
      </c>
      <c r="AN984" t="s">
        <v>2926</v>
      </c>
      <c r="AO984" t="s">
        <v>13051</v>
      </c>
      <c r="AU984">
        <v>1</v>
      </c>
      <c r="AV984" t="s">
        <v>273</v>
      </c>
      <c r="AW984" t="s">
        <v>3049</v>
      </c>
    </row>
    <row r="985" spans="1:50">
      <c r="A985" s="1" t="s">
        <v>73</v>
      </c>
      <c r="B985" t="s">
        <v>164</v>
      </c>
      <c r="C985" t="s">
        <v>4195</v>
      </c>
      <c r="D985" t="s">
        <v>285</v>
      </c>
      <c r="E985" t="s">
        <v>336</v>
      </c>
      <c r="F985" t="s">
        <v>7245</v>
      </c>
      <c r="G985" t="s">
        <v>8356</v>
      </c>
      <c r="H985" t="s">
        <v>9779</v>
      </c>
      <c r="I985" t="s">
        <v>11147</v>
      </c>
      <c r="J985" t="s">
        <v>1656</v>
      </c>
      <c r="K985">
        <v>11101</v>
      </c>
      <c r="L985" t="s">
        <v>1670</v>
      </c>
      <c r="M985" t="s">
        <v>1670</v>
      </c>
      <c r="N985" t="s">
        <v>12061</v>
      </c>
      <c r="O985" t="s">
        <v>1940</v>
      </c>
      <c r="P985" t="s">
        <v>1962</v>
      </c>
      <c r="Q985" t="s">
        <v>1965</v>
      </c>
      <c r="R985" t="s">
        <v>50</v>
      </c>
      <c r="S985" t="s">
        <v>1671</v>
      </c>
      <c r="U985" t="s">
        <v>1972</v>
      </c>
      <c r="V985" t="s">
        <v>1984</v>
      </c>
      <c r="W985" t="s">
        <v>285</v>
      </c>
      <c r="X985">
        <v>500</v>
      </c>
      <c r="Y985" t="s">
        <v>2007</v>
      </c>
      <c r="Z985" t="s">
        <v>2014</v>
      </c>
      <c r="AA985" t="s">
        <v>2029</v>
      </c>
      <c r="AB985" t="s">
        <v>13748</v>
      </c>
      <c r="AD985" t="s">
        <v>16211</v>
      </c>
      <c r="AE985">
        <v>2</v>
      </c>
      <c r="AF985" t="s">
        <v>2903</v>
      </c>
      <c r="AG985" t="s">
        <v>1754</v>
      </c>
      <c r="AH985">
        <v>13</v>
      </c>
      <c r="AI985">
        <v>1</v>
      </c>
      <c r="AJ985">
        <v>0</v>
      </c>
      <c r="AK985">
        <v>0</v>
      </c>
      <c r="AN985" t="s">
        <v>2926</v>
      </c>
      <c r="AO985" t="s">
        <v>13051</v>
      </c>
      <c r="AU985">
        <v>0.75</v>
      </c>
      <c r="AV985" t="s">
        <v>336</v>
      </c>
      <c r="AW985" t="s">
        <v>3044</v>
      </c>
    </row>
    <row r="986" spans="1:50">
      <c r="A986" s="1" t="s">
        <v>78</v>
      </c>
      <c r="B986" t="s">
        <v>164</v>
      </c>
      <c r="C986" t="s">
        <v>4196</v>
      </c>
      <c r="D986" t="s">
        <v>209</v>
      </c>
      <c r="E986" t="s">
        <v>341</v>
      </c>
      <c r="F986" t="s">
        <v>7246</v>
      </c>
      <c r="G986" t="s">
        <v>7887</v>
      </c>
      <c r="H986" t="s">
        <v>1338</v>
      </c>
      <c r="I986" t="s">
        <v>11148</v>
      </c>
      <c r="J986" t="s">
        <v>1646</v>
      </c>
      <c r="K986">
        <v>10304</v>
      </c>
      <c r="L986" t="s">
        <v>1670</v>
      </c>
      <c r="M986" t="s">
        <v>1670</v>
      </c>
      <c r="O986" t="s">
        <v>1675</v>
      </c>
      <c r="P986" t="s">
        <v>1962</v>
      </c>
      <c r="Q986" t="s">
        <v>1965</v>
      </c>
      <c r="R986" t="s">
        <v>50</v>
      </c>
      <c r="S986" t="s">
        <v>1671</v>
      </c>
      <c r="U986" t="s">
        <v>1972</v>
      </c>
      <c r="V986" t="s">
        <v>1984</v>
      </c>
      <c r="W986" t="s">
        <v>344</v>
      </c>
      <c r="X986" t="s">
        <v>13051</v>
      </c>
      <c r="Y986" t="s">
        <v>2010</v>
      </c>
      <c r="AA986" t="s">
        <v>2029</v>
      </c>
      <c r="AB986" t="s">
        <v>13749</v>
      </c>
      <c r="AD986" t="s">
        <v>16212</v>
      </c>
      <c r="AE986" t="s">
        <v>13051</v>
      </c>
      <c r="AF986" t="s">
        <v>2909</v>
      </c>
      <c r="AH986">
        <v>3</v>
      </c>
      <c r="AI986">
        <v>1</v>
      </c>
      <c r="AJ986">
        <v>0</v>
      </c>
      <c r="AK986">
        <v>0</v>
      </c>
      <c r="AN986" t="s">
        <v>2926</v>
      </c>
      <c r="AO986" t="s">
        <v>13051</v>
      </c>
      <c r="AU986">
        <v>0.6</v>
      </c>
      <c r="AV986" t="s">
        <v>341</v>
      </c>
      <c r="AW986" t="s">
        <v>3056</v>
      </c>
    </row>
    <row r="987" spans="1:50">
      <c r="A987" s="1" t="s">
        <v>137</v>
      </c>
      <c r="B987" t="s">
        <v>164</v>
      </c>
      <c r="C987" t="s">
        <v>4197</v>
      </c>
      <c r="D987" t="s">
        <v>201</v>
      </c>
      <c r="E987" t="s">
        <v>6156</v>
      </c>
      <c r="F987" t="s">
        <v>547</v>
      </c>
      <c r="G987" t="s">
        <v>8357</v>
      </c>
      <c r="H987" t="s">
        <v>9578</v>
      </c>
      <c r="I987" t="s">
        <v>1504</v>
      </c>
      <c r="J987" t="s">
        <v>1643</v>
      </c>
      <c r="K987">
        <v>10032</v>
      </c>
      <c r="L987" t="s">
        <v>1670</v>
      </c>
      <c r="M987" t="s">
        <v>1672</v>
      </c>
      <c r="O987" t="s">
        <v>1949</v>
      </c>
      <c r="P987" t="s">
        <v>1962</v>
      </c>
      <c r="Q987" t="s">
        <v>1965</v>
      </c>
      <c r="R987" t="s">
        <v>50</v>
      </c>
      <c r="S987" t="s">
        <v>1670</v>
      </c>
      <c r="U987" t="s">
        <v>1972</v>
      </c>
      <c r="W987" t="s">
        <v>201</v>
      </c>
      <c r="X987">
        <v>1065.07</v>
      </c>
      <c r="Y987" t="s">
        <v>2008</v>
      </c>
      <c r="Z987" t="s">
        <v>2013</v>
      </c>
      <c r="AA987" t="s">
        <v>13060</v>
      </c>
      <c r="AE987">
        <v>115</v>
      </c>
      <c r="AF987" t="s">
        <v>2902</v>
      </c>
      <c r="AG987" t="s">
        <v>1754</v>
      </c>
      <c r="AH987" t="s">
        <v>13051</v>
      </c>
      <c r="AI987">
        <v>1</v>
      </c>
      <c r="AJ987">
        <v>0</v>
      </c>
      <c r="AK987">
        <v>0</v>
      </c>
      <c r="AN987" t="s">
        <v>2927</v>
      </c>
      <c r="AO987" t="s">
        <v>13051</v>
      </c>
      <c r="AU987">
        <v>0.05</v>
      </c>
      <c r="AV987" t="s">
        <v>201</v>
      </c>
      <c r="AW987" t="s">
        <v>3042</v>
      </c>
      <c r="AX987" t="s">
        <v>18685</v>
      </c>
    </row>
    <row r="988" spans="1:50">
      <c r="A988" s="1" t="s">
        <v>139</v>
      </c>
      <c r="B988" t="s">
        <v>164</v>
      </c>
      <c r="C988" t="s">
        <v>4198</v>
      </c>
      <c r="D988" t="s">
        <v>301</v>
      </c>
      <c r="E988" t="s">
        <v>193</v>
      </c>
      <c r="F988" t="s">
        <v>7247</v>
      </c>
      <c r="G988" t="s">
        <v>8358</v>
      </c>
      <c r="H988" t="s">
        <v>9780</v>
      </c>
      <c r="I988">
        <v>6</v>
      </c>
      <c r="J988" t="s">
        <v>1643</v>
      </c>
      <c r="K988">
        <v>10029</v>
      </c>
      <c r="L988" t="s">
        <v>1670</v>
      </c>
      <c r="M988" t="s">
        <v>1670</v>
      </c>
      <c r="O988" t="s">
        <v>1937</v>
      </c>
      <c r="P988" t="s">
        <v>1962</v>
      </c>
      <c r="Q988" t="s">
        <v>1965</v>
      </c>
      <c r="R988" t="s">
        <v>50</v>
      </c>
      <c r="S988" t="s">
        <v>1671</v>
      </c>
      <c r="U988" t="s">
        <v>1972</v>
      </c>
      <c r="V988" t="s">
        <v>1984</v>
      </c>
      <c r="W988" t="s">
        <v>339</v>
      </c>
      <c r="X988">
        <v>1200</v>
      </c>
      <c r="Y988" t="s">
        <v>2008</v>
      </c>
      <c r="Z988" t="s">
        <v>2019</v>
      </c>
      <c r="AA988" t="s">
        <v>2029</v>
      </c>
      <c r="AB988" t="s">
        <v>13750</v>
      </c>
      <c r="AE988">
        <v>12</v>
      </c>
      <c r="AF988" t="s">
        <v>2902</v>
      </c>
      <c r="AG988" t="s">
        <v>1754</v>
      </c>
      <c r="AH988">
        <v>19</v>
      </c>
      <c r="AI988">
        <v>1</v>
      </c>
      <c r="AJ988">
        <v>0</v>
      </c>
      <c r="AK988">
        <v>0</v>
      </c>
      <c r="AN988" t="s">
        <v>2926</v>
      </c>
      <c r="AO988" t="s">
        <v>13051</v>
      </c>
      <c r="AU988">
        <v>5.6</v>
      </c>
      <c r="AV988" t="s">
        <v>239</v>
      </c>
      <c r="AW988" t="s">
        <v>3084</v>
      </c>
      <c r="AX988" t="s">
        <v>18685</v>
      </c>
    </row>
    <row r="989" spans="1:50">
      <c r="A989" s="1" t="s">
        <v>53</v>
      </c>
      <c r="B989" t="s">
        <v>164</v>
      </c>
      <c r="C989" t="s">
        <v>4199</v>
      </c>
      <c r="D989" t="s">
        <v>195</v>
      </c>
      <c r="E989" t="s">
        <v>230</v>
      </c>
      <c r="F989" t="s">
        <v>7131</v>
      </c>
      <c r="G989" t="s">
        <v>8359</v>
      </c>
      <c r="H989" t="s">
        <v>1213</v>
      </c>
      <c r="I989" t="s">
        <v>1497</v>
      </c>
      <c r="J989" t="s">
        <v>1649</v>
      </c>
      <c r="K989">
        <v>11692</v>
      </c>
      <c r="L989" t="s">
        <v>1670</v>
      </c>
      <c r="M989" t="s">
        <v>1670</v>
      </c>
      <c r="N989" t="s">
        <v>1687</v>
      </c>
      <c r="O989" t="s">
        <v>1937</v>
      </c>
      <c r="P989" t="s">
        <v>1962</v>
      </c>
      <c r="Q989" t="s">
        <v>1968</v>
      </c>
      <c r="R989" t="s">
        <v>50</v>
      </c>
      <c r="S989" t="s">
        <v>1671</v>
      </c>
      <c r="U989" t="s">
        <v>1972</v>
      </c>
      <c r="V989" t="s">
        <v>1984</v>
      </c>
      <c r="W989" t="s">
        <v>195</v>
      </c>
      <c r="X989">
        <v>1468</v>
      </c>
      <c r="Y989" t="s">
        <v>2007</v>
      </c>
      <c r="Z989" t="s">
        <v>2014</v>
      </c>
      <c r="AA989" t="s">
        <v>2030</v>
      </c>
      <c r="AB989" t="s">
        <v>13751</v>
      </c>
      <c r="AC989" t="s">
        <v>15101</v>
      </c>
      <c r="AD989" t="s">
        <v>16213</v>
      </c>
      <c r="AE989">
        <v>53</v>
      </c>
      <c r="AF989" t="s">
        <v>2909</v>
      </c>
      <c r="AG989" t="s">
        <v>1754</v>
      </c>
      <c r="AH989">
        <v>32</v>
      </c>
      <c r="AI989">
        <v>1</v>
      </c>
      <c r="AJ989">
        <v>0</v>
      </c>
      <c r="AK989">
        <v>0</v>
      </c>
      <c r="AN989" t="s">
        <v>2926</v>
      </c>
      <c r="AO989" t="s">
        <v>13051</v>
      </c>
      <c r="AU989">
        <v>6.5</v>
      </c>
      <c r="AV989" t="s">
        <v>364</v>
      </c>
      <c r="AW989" t="s">
        <v>53</v>
      </c>
    </row>
    <row r="990" spans="1:50">
      <c r="A990" s="1" t="s">
        <v>3172</v>
      </c>
      <c r="B990" t="s">
        <v>164</v>
      </c>
      <c r="C990" t="s">
        <v>4200</v>
      </c>
      <c r="D990" t="s">
        <v>213</v>
      </c>
      <c r="E990" t="s">
        <v>191</v>
      </c>
      <c r="F990" t="s">
        <v>680</v>
      </c>
      <c r="G990" t="s">
        <v>893</v>
      </c>
      <c r="H990" t="s">
        <v>9781</v>
      </c>
      <c r="I990" t="s">
        <v>1541</v>
      </c>
      <c r="J990" t="s">
        <v>1660</v>
      </c>
      <c r="K990">
        <v>11377</v>
      </c>
      <c r="L990" t="s">
        <v>1670</v>
      </c>
      <c r="M990" t="s">
        <v>1670</v>
      </c>
      <c r="O990" t="s">
        <v>1937</v>
      </c>
      <c r="P990" t="s">
        <v>1962</v>
      </c>
      <c r="Q990" t="s">
        <v>1968</v>
      </c>
      <c r="R990" t="s">
        <v>50</v>
      </c>
      <c r="S990" t="s">
        <v>1671</v>
      </c>
      <c r="U990" t="s">
        <v>1972</v>
      </c>
      <c r="V990" t="s">
        <v>1984</v>
      </c>
      <c r="W990" t="s">
        <v>213</v>
      </c>
      <c r="X990">
        <v>1024.65</v>
      </c>
      <c r="Y990" t="s">
        <v>2007</v>
      </c>
      <c r="Z990" t="s">
        <v>2021</v>
      </c>
      <c r="AA990" t="s">
        <v>2030</v>
      </c>
      <c r="AB990" t="s">
        <v>13752</v>
      </c>
      <c r="AD990" t="s">
        <v>16214</v>
      </c>
      <c r="AE990">
        <v>39</v>
      </c>
      <c r="AF990" t="s">
        <v>2902</v>
      </c>
      <c r="AG990" t="s">
        <v>1754</v>
      </c>
      <c r="AH990">
        <v>26</v>
      </c>
      <c r="AI990">
        <v>1</v>
      </c>
      <c r="AJ990">
        <v>0</v>
      </c>
      <c r="AK990">
        <v>0</v>
      </c>
      <c r="AN990" t="s">
        <v>2927</v>
      </c>
      <c r="AO990" t="s">
        <v>13051</v>
      </c>
      <c r="AS990" t="s">
        <v>2992</v>
      </c>
      <c r="AT990" t="s">
        <v>18522</v>
      </c>
      <c r="AU990">
        <v>0.5</v>
      </c>
      <c r="AV990" t="s">
        <v>213</v>
      </c>
      <c r="AW990" t="s">
        <v>3172</v>
      </c>
      <c r="AX990" t="s">
        <v>18685</v>
      </c>
    </row>
    <row r="991" spans="1:50">
      <c r="A991" s="1" t="s">
        <v>3055</v>
      </c>
      <c r="B991" t="s">
        <v>164</v>
      </c>
      <c r="C991" t="s">
        <v>4201</v>
      </c>
      <c r="D991" t="s">
        <v>301</v>
      </c>
      <c r="E991" t="s">
        <v>310</v>
      </c>
      <c r="F991" t="s">
        <v>7248</v>
      </c>
      <c r="G991" t="s">
        <v>8360</v>
      </c>
      <c r="H991" t="s">
        <v>9782</v>
      </c>
      <c r="I991" t="s">
        <v>1508</v>
      </c>
      <c r="J991" t="s">
        <v>1644</v>
      </c>
      <c r="K991">
        <v>11211</v>
      </c>
      <c r="L991" t="s">
        <v>1670</v>
      </c>
      <c r="M991" t="s">
        <v>1670</v>
      </c>
      <c r="P991" t="s">
        <v>1962</v>
      </c>
      <c r="Q991" t="s">
        <v>1968</v>
      </c>
      <c r="R991" t="s">
        <v>50</v>
      </c>
      <c r="U991" t="s">
        <v>1972</v>
      </c>
      <c r="W991" t="s">
        <v>310</v>
      </c>
      <c r="X991" t="s">
        <v>13051</v>
      </c>
      <c r="Y991" t="s">
        <v>2009</v>
      </c>
      <c r="AA991" t="s">
        <v>2029</v>
      </c>
      <c r="AB991" t="s">
        <v>2223</v>
      </c>
      <c r="AE991" t="s">
        <v>13051</v>
      </c>
      <c r="AH991" t="s">
        <v>13051</v>
      </c>
      <c r="AI991">
        <v>1</v>
      </c>
      <c r="AJ991">
        <v>0</v>
      </c>
      <c r="AK991">
        <v>0</v>
      </c>
      <c r="AN991" t="s">
        <v>2926</v>
      </c>
      <c r="AO991" t="s">
        <v>13051</v>
      </c>
      <c r="AU991">
        <v>1</v>
      </c>
      <c r="AV991" t="s">
        <v>199</v>
      </c>
      <c r="AW991" t="s">
        <v>3060</v>
      </c>
      <c r="AX991" t="s">
        <v>18685</v>
      </c>
    </row>
    <row r="992" spans="1:50">
      <c r="A992" s="1" t="s">
        <v>130</v>
      </c>
      <c r="B992" t="s">
        <v>164</v>
      </c>
      <c r="C992" t="s">
        <v>4202</v>
      </c>
      <c r="D992" t="s">
        <v>313</v>
      </c>
      <c r="E992" t="s">
        <v>240</v>
      </c>
      <c r="F992" t="s">
        <v>7249</v>
      </c>
      <c r="G992" t="s">
        <v>868</v>
      </c>
      <c r="H992" t="s">
        <v>9783</v>
      </c>
      <c r="I992">
        <v>7</v>
      </c>
      <c r="J992" t="s">
        <v>1644</v>
      </c>
      <c r="K992">
        <v>11208</v>
      </c>
      <c r="L992" t="s">
        <v>1670</v>
      </c>
      <c r="M992" t="s">
        <v>1670</v>
      </c>
      <c r="O992" t="s">
        <v>1937</v>
      </c>
      <c r="P992" t="s">
        <v>1962</v>
      </c>
      <c r="Q992" t="s">
        <v>1968</v>
      </c>
      <c r="R992" t="s">
        <v>50</v>
      </c>
      <c r="S992" t="s">
        <v>1670</v>
      </c>
      <c r="U992" t="s">
        <v>1972</v>
      </c>
      <c r="V992" t="s">
        <v>1984</v>
      </c>
      <c r="W992" t="s">
        <v>231</v>
      </c>
      <c r="X992">
        <v>600</v>
      </c>
      <c r="Y992" t="s">
        <v>2009</v>
      </c>
      <c r="Z992" t="s">
        <v>2016</v>
      </c>
      <c r="AA992" t="s">
        <v>2031</v>
      </c>
      <c r="AB992" t="s">
        <v>13753</v>
      </c>
      <c r="AD992" t="s">
        <v>16215</v>
      </c>
      <c r="AE992">
        <v>7</v>
      </c>
      <c r="AF992" t="s">
        <v>2903</v>
      </c>
      <c r="AG992" t="s">
        <v>1754</v>
      </c>
      <c r="AH992">
        <v>2</v>
      </c>
      <c r="AI992">
        <v>1</v>
      </c>
      <c r="AJ992">
        <v>0</v>
      </c>
      <c r="AK992">
        <v>0</v>
      </c>
      <c r="AN992" t="s">
        <v>2926</v>
      </c>
      <c r="AO992" t="s">
        <v>13051</v>
      </c>
      <c r="AU992">
        <v>0.1</v>
      </c>
      <c r="AV992" t="s">
        <v>208</v>
      </c>
      <c r="AW992" t="s">
        <v>3059</v>
      </c>
    </row>
    <row r="993" spans="1:50">
      <c r="A993" s="1" t="s">
        <v>66</v>
      </c>
      <c r="B993" t="s">
        <v>164</v>
      </c>
      <c r="C993" t="s">
        <v>4203</v>
      </c>
      <c r="D993" t="s">
        <v>406</v>
      </c>
      <c r="E993" t="s">
        <v>310</v>
      </c>
      <c r="F993" t="s">
        <v>7250</v>
      </c>
      <c r="G993" t="s">
        <v>8361</v>
      </c>
      <c r="H993" t="s">
        <v>9784</v>
      </c>
      <c r="I993">
        <v>1</v>
      </c>
      <c r="J993" t="s">
        <v>1644</v>
      </c>
      <c r="K993">
        <v>11207</v>
      </c>
      <c r="L993" t="s">
        <v>1670</v>
      </c>
      <c r="M993" t="s">
        <v>1672</v>
      </c>
      <c r="N993" t="s">
        <v>12062</v>
      </c>
      <c r="O993" t="s">
        <v>1940</v>
      </c>
      <c r="P993" t="s">
        <v>1962</v>
      </c>
      <c r="Q993" t="s">
        <v>1968</v>
      </c>
      <c r="R993" t="s">
        <v>50</v>
      </c>
      <c r="U993" t="s">
        <v>1972</v>
      </c>
      <c r="W993" t="s">
        <v>406</v>
      </c>
      <c r="X993">
        <v>1200</v>
      </c>
      <c r="Y993" t="s">
        <v>2009</v>
      </c>
      <c r="AA993" t="s">
        <v>2029</v>
      </c>
      <c r="AB993" t="s">
        <v>13754</v>
      </c>
      <c r="AE993">
        <v>2</v>
      </c>
      <c r="AF993" t="s">
        <v>2904</v>
      </c>
      <c r="AH993">
        <v>11</v>
      </c>
      <c r="AI993">
        <v>3</v>
      </c>
      <c r="AJ993">
        <v>0</v>
      </c>
      <c r="AK993">
        <v>0</v>
      </c>
      <c r="AN993" t="s">
        <v>2935</v>
      </c>
      <c r="AO993" t="s">
        <v>13051</v>
      </c>
      <c r="AU993">
        <v>0.5</v>
      </c>
      <c r="AV993" t="s">
        <v>406</v>
      </c>
      <c r="AW993" t="s">
        <v>3049</v>
      </c>
    </row>
    <row r="994" spans="1:50">
      <c r="A994" s="1" t="s">
        <v>107</v>
      </c>
      <c r="B994" t="s">
        <v>164</v>
      </c>
      <c r="C994" t="s">
        <v>4204</v>
      </c>
      <c r="D994" t="s">
        <v>247</v>
      </c>
      <c r="E994" t="s">
        <v>306</v>
      </c>
      <c r="F994" t="s">
        <v>7251</v>
      </c>
      <c r="G994" t="s">
        <v>8362</v>
      </c>
      <c r="H994" t="s">
        <v>9785</v>
      </c>
      <c r="I994" t="s">
        <v>1511</v>
      </c>
      <c r="J994" t="s">
        <v>1644</v>
      </c>
      <c r="K994">
        <v>11207</v>
      </c>
      <c r="L994" t="s">
        <v>1670</v>
      </c>
      <c r="M994" t="s">
        <v>1670</v>
      </c>
      <c r="N994" t="s">
        <v>12063</v>
      </c>
      <c r="O994" t="s">
        <v>1936</v>
      </c>
      <c r="P994" t="s">
        <v>1962</v>
      </c>
      <c r="Q994" t="s">
        <v>1968</v>
      </c>
      <c r="R994" t="s">
        <v>50</v>
      </c>
      <c r="S994" t="s">
        <v>1671</v>
      </c>
      <c r="U994" t="s">
        <v>1972</v>
      </c>
      <c r="W994" t="s">
        <v>306</v>
      </c>
      <c r="X994">
        <v>1100</v>
      </c>
      <c r="Y994" t="s">
        <v>2009</v>
      </c>
      <c r="Z994" t="s">
        <v>2019</v>
      </c>
      <c r="AA994" t="s">
        <v>2029</v>
      </c>
      <c r="AB994" t="s">
        <v>13755</v>
      </c>
      <c r="AD994" t="s">
        <v>16216</v>
      </c>
      <c r="AE994">
        <v>6</v>
      </c>
      <c r="AF994" t="s">
        <v>2902</v>
      </c>
      <c r="AG994" t="s">
        <v>1754</v>
      </c>
      <c r="AH994">
        <v>5</v>
      </c>
      <c r="AI994">
        <v>2</v>
      </c>
      <c r="AJ994">
        <v>0</v>
      </c>
      <c r="AK994">
        <v>0</v>
      </c>
      <c r="AN994" t="s">
        <v>2926</v>
      </c>
      <c r="AO994" t="s">
        <v>13051</v>
      </c>
      <c r="AU994">
        <v>6.6</v>
      </c>
      <c r="AV994" t="s">
        <v>331</v>
      </c>
      <c r="AW994" t="s">
        <v>3068</v>
      </c>
    </row>
    <row r="995" spans="1:50">
      <c r="A995" s="1" t="s">
        <v>66</v>
      </c>
      <c r="B995" t="s">
        <v>164</v>
      </c>
      <c r="C995" t="s">
        <v>4205</v>
      </c>
      <c r="D995" t="s">
        <v>301</v>
      </c>
      <c r="E995" t="s">
        <v>274</v>
      </c>
      <c r="F995" t="s">
        <v>7252</v>
      </c>
      <c r="G995" t="s">
        <v>781</v>
      </c>
      <c r="H995" t="s">
        <v>9786</v>
      </c>
      <c r="I995" t="s">
        <v>1508</v>
      </c>
      <c r="J995" t="s">
        <v>1644</v>
      </c>
      <c r="K995">
        <v>11207</v>
      </c>
      <c r="L995" t="s">
        <v>1670</v>
      </c>
      <c r="M995" t="s">
        <v>1670</v>
      </c>
      <c r="N995" t="s">
        <v>1687</v>
      </c>
      <c r="O995" t="s">
        <v>1953</v>
      </c>
      <c r="P995" t="s">
        <v>1962</v>
      </c>
      <c r="Q995" t="s">
        <v>1968</v>
      </c>
      <c r="R995" t="s">
        <v>50</v>
      </c>
      <c r="S995" t="s">
        <v>1671</v>
      </c>
      <c r="U995" t="s">
        <v>1972</v>
      </c>
      <c r="V995" t="s">
        <v>1984</v>
      </c>
      <c r="W995" t="s">
        <v>315</v>
      </c>
      <c r="X995" t="s">
        <v>13051</v>
      </c>
      <c r="Y995" t="s">
        <v>2009</v>
      </c>
      <c r="Z995" t="s">
        <v>2015</v>
      </c>
      <c r="AA995" t="s">
        <v>13062</v>
      </c>
      <c r="AB995" t="s">
        <v>2223</v>
      </c>
      <c r="AD995" t="s">
        <v>16217</v>
      </c>
      <c r="AE995">
        <v>576</v>
      </c>
      <c r="AH995">
        <v>23</v>
      </c>
      <c r="AI995">
        <v>2</v>
      </c>
      <c r="AJ995">
        <v>0</v>
      </c>
      <c r="AK995">
        <v>0</v>
      </c>
      <c r="AN995" t="s">
        <v>2926</v>
      </c>
      <c r="AO995" t="s">
        <v>13051</v>
      </c>
      <c r="AU995">
        <v>1</v>
      </c>
      <c r="AV995" t="s">
        <v>199</v>
      </c>
      <c r="AW995" t="s">
        <v>3060</v>
      </c>
      <c r="AX995" t="s">
        <v>18685</v>
      </c>
    </row>
    <row r="996" spans="1:50">
      <c r="A996" s="1" t="s">
        <v>98</v>
      </c>
      <c r="B996" t="s">
        <v>164</v>
      </c>
      <c r="C996" t="s">
        <v>4206</v>
      </c>
      <c r="D996" t="s">
        <v>1993</v>
      </c>
      <c r="E996" t="s">
        <v>254</v>
      </c>
      <c r="F996" t="s">
        <v>573</v>
      </c>
      <c r="G996" t="s">
        <v>8233</v>
      </c>
      <c r="H996" t="s">
        <v>9678</v>
      </c>
      <c r="I996" t="s">
        <v>1525</v>
      </c>
      <c r="J996" t="s">
        <v>1641</v>
      </c>
      <c r="K996">
        <v>10459</v>
      </c>
      <c r="L996" t="s">
        <v>1670</v>
      </c>
      <c r="M996" t="s">
        <v>1670</v>
      </c>
      <c r="O996" t="s">
        <v>1941</v>
      </c>
      <c r="P996" t="s">
        <v>1962</v>
      </c>
      <c r="Q996" t="s">
        <v>1968</v>
      </c>
      <c r="R996" t="s">
        <v>50</v>
      </c>
      <c r="S996" t="s">
        <v>1671</v>
      </c>
      <c r="U996" t="s">
        <v>1972</v>
      </c>
      <c r="W996" t="s">
        <v>1993</v>
      </c>
      <c r="X996">
        <v>1750</v>
      </c>
      <c r="Y996" t="s">
        <v>2006</v>
      </c>
      <c r="Z996" t="s">
        <v>2015</v>
      </c>
      <c r="AA996" t="s">
        <v>2029</v>
      </c>
      <c r="AB996" t="s">
        <v>13582</v>
      </c>
      <c r="AD996" t="s">
        <v>16076</v>
      </c>
      <c r="AE996">
        <v>20</v>
      </c>
      <c r="AF996" t="s">
        <v>2903</v>
      </c>
      <c r="AG996" t="s">
        <v>1754</v>
      </c>
      <c r="AH996">
        <v>1</v>
      </c>
      <c r="AI996">
        <v>1</v>
      </c>
      <c r="AJ996">
        <v>0</v>
      </c>
      <c r="AK996">
        <v>0</v>
      </c>
      <c r="AN996" t="s">
        <v>2926</v>
      </c>
      <c r="AO996" t="s">
        <v>13051</v>
      </c>
      <c r="AU996">
        <v>2.5</v>
      </c>
      <c r="AV996" t="s">
        <v>254</v>
      </c>
      <c r="AW996" t="s">
        <v>98</v>
      </c>
    </row>
    <row r="997" spans="1:50">
      <c r="A997" s="1" t="s">
        <v>116</v>
      </c>
      <c r="B997" t="s">
        <v>164</v>
      </c>
      <c r="C997" t="s">
        <v>4207</v>
      </c>
      <c r="D997" t="s">
        <v>292</v>
      </c>
      <c r="E997" t="s">
        <v>334</v>
      </c>
      <c r="F997" t="s">
        <v>438</v>
      </c>
      <c r="G997" t="s">
        <v>8363</v>
      </c>
      <c r="H997" t="s">
        <v>9787</v>
      </c>
      <c r="I997" t="s">
        <v>1506</v>
      </c>
      <c r="J997" t="s">
        <v>1643</v>
      </c>
      <c r="K997">
        <v>10029</v>
      </c>
      <c r="L997" t="s">
        <v>1670</v>
      </c>
      <c r="M997" t="s">
        <v>1670</v>
      </c>
      <c r="N997" t="s">
        <v>12064</v>
      </c>
      <c r="O997" t="s">
        <v>1936</v>
      </c>
      <c r="P997" t="s">
        <v>1962</v>
      </c>
      <c r="Q997" t="s">
        <v>1968</v>
      </c>
      <c r="R997" t="s">
        <v>50</v>
      </c>
      <c r="S997" t="s">
        <v>1671</v>
      </c>
      <c r="U997" t="s">
        <v>1972</v>
      </c>
      <c r="V997" t="s">
        <v>1983</v>
      </c>
      <c r="W997" t="s">
        <v>292</v>
      </c>
      <c r="X997">
        <v>711</v>
      </c>
      <c r="Y997" t="s">
        <v>2008</v>
      </c>
      <c r="Z997" t="s">
        <v>2021</v>
      </c>
      <c r="AA997" t="s">
        <v>2029</v>
      </c>
      <c r="AB997" t="s">
        <v>13756</v>
      </c>
      <c r="AD997" t="s">
        <v>16218</v>
      </c>
      <c r="AE997">
        <v>15</v>
      </c>
      <c r="AF997" t="s">
        <v>2902</v>
      </c>
      <c r="AG997" t="s">
        <v>2915</v>
      </c>
      <c r="AH997">
        <v>3</v>
      </c>
      <c r="AI997">
        <v>1</v>
      </c>
      <c r="AJ997">
        <v>0</v>
      </c>
      <c r="AK997">
        <v>0</v>
      </c>
      <c r="AN997" t="s">
        <v>2926</v>
      </c>
      <c r="AO997" t="s">
        <v>13051</v>
      </c>
      <c r="AU997">
        <v>1.5</v>
      </c>
      <c r="AV997" t="s">
        <v>18644</v>
      </c>
      <c r="AW997" t="s">
        <v>3051</v>
      </c>
    </row>
    <row r="998" spans="1:50">
      <c r="A998" s="1" t="s">
        <v>73</v>
      </c>
      <c r="B998" t="s">
        <v>163</v>
      </c>
      <c r="C998" t="s">
        <v>4208</v>
      </c>
      <c r="D998" t="s">
        <v>326</v>
      </c>
      <c r="F998" t="s">
        <v>508</v>
      </c>
      <c r="G998" t="s">
        <v>8364</v>
      </c>
      <c r="H998" t="s">
        <v>9788</v>
      </c>
      <c r="I998" t="s">
        <v>11149</v>
      </c>
      <c r="J998" t="s">
        <v>1645</v>
      </c>
      <c r="K998">
        <v>11691</v>
      </c>
      <c r="L998" t="s">
        <v>1670</v>
      </c>
      <c r="M998" t="s">
        <v>1670</v>
      </c>
      <c r="O998" t="s">
        <v>1675</v>
      </c>
      <c r="P998" t="s">
        <v>1962</v>
      </c>
      <c r="R998" t="s">
        <v>50</v>
      </c>
      <c r="S998" t="s">
        <v>1671</v>
      </c>
      <c r="U998" t="s">
        <v>1972</v>
      </c>
      <c r="W998" t="s">
        <v>255</v>
      </c>
      <c r="X998">
        <v>1233</v>
      </c>
      <c r="Y998" t="s">
        <v>2007</v>
      </c>
      <c r="AB998" t="s">
        <v>13757</v>
      </c>
      <c r="AD998" t="s">
        <v>16219</v>
      </c>
      <c r="AE998">
        <v>917</v>
      </c>
      <c r="AF998" t="s">
        <v>2902</v>
      </c>
      <c r="AG998" t="s">
        <v>2915</v>
      </c>
      <c r="AH998">
        <v>10</v>
      </c>
      <c r="AI998">
        <v>1</v>
      </c>
      <c r="AJ998">
        <v>0</v>
      </c>
      <c r="AK998">
        <v>0</v>
      </c>
      <c r="AN998" t="s">
        <v>2926</v>
      </c>
      <c r="AO998" t="s">
        <v>13051</v>
      </c>
      <c r="AU998">
        <v>1.2</v>
      </c>
      <c r="AV998" t="s">
        <v>269</v>
      </c>
      <c r="AW998" t="s">
        <v>73</v>
      </c>
    </row>
    <row r="999" spans="1:50">
      <c r="A999" s="1" t="s">
        <v>69</v>
      </c>
      <c r="B999" t="s">
        <v>163</v>
      </c>
      <c r="C999" t="s">
        <v>4209</v>
      </c>
      <c r="D999" t="s">
        <v>301</v>
      </c>
      <c r="F999" t="s">
        <v>6803</v>
      </c>
      <c r="G999" t="s">
        <v>8365</v>
      </c>
      <c r="H999" t="s">
        <v>9789</v>
      </c>
      <c r="I999" t="s">
        <v>11150</v>
      </c>
      <c r="J999" t="s">
        <v>1644</v>
      </c>
      <c r="K999">
        <v>11238</v>
      </c>
      <c r="L999" t="s">
        <v>1670</v>
      </c>
      <c r="M999" t="s">
        <v>1670</v>
      </c>
      <c r="O999" t="s">
        <v>1675</v>
      </c>
      <c r="P999" t="s">
        <v>1962</v>
      </c>
      <c r="R999" t="s">
        <v>50</v>
      </c>
      <c r="S999" t="s">
        <v>1671</v>
      </c>
      <c r="U999" t="s">
        <v>1972</v>
      </c>
      <c r="W999" t="s">
        <v>301</v>
      </c>
      <c r="X999" t="s">
        <v>13051</v>
      </c>
      <c r="Y999" t="s">
        <v>2009</v>
      </c>
      <c r="AB999" t="s">
        <v>13754</v>
      </c>
      <c r="AE999" t="s">
        <v>13051</v>
      </c>
      <c r="AH999" t="s">
        <v>13051</v>
      </c>
      <c r="AI999">
        <v>2</v>
      </c>
      <c r="AJ999">
        <v>0</v>
      </c>
      <c r="AK999">
        <v>0</v>
      </c>
      <c r="AN999" t="s">
        <v>2926</v>
      </c>
      <c r="AO999" t="s">
        <v>13051</v>
      </c>
      <c r="AU999">
        <v>0.7</v>
      </c>
      <c r="AV999" t="s">
        <v>179</v>
      </c>
      <c r="AW999" t="s">
        <v>69</v>
      </c>
    </row>
    <row r="1000" spans="1:50">
      <c r="A1000" s="1" t="s">
        <v>82</v>
      </c>
      <c r="B1000" t="s">
        <v>163</v>
      </c>
      <c r="C1000" t="s">
        <v>4210</v>
      </c>
      <c r="D1000" t="s">
        <v>294</v>
      </c>
      <c r="F1000" t="s">
        <v>7253</v>
      </c>
      <c r="G1000" t="s">
        <v>8366</v>
      </c>
      <c r="H1000" t="s">
        <v>1144</v>
      </c>
      <c r="I1000" t="s">
        <v>11151</v>
      </c>
      <c r="J1000" t="s">
        <v>1644</v>
      </c>
      <c r="K1000">
        <v>11233</v>
      </c>
      <c r="L1000" t="s">
        <v>1670</v>
      </c>
      <c r="M1000" t="s">
        <v>1671</v>
      </c>
      <c r="N1000" t="s">
        <v>1754</v>
      </c>
      <c r="O1000" t="s">
        <v>1937</v>
      </c>
      <c r="P1000" t="s">
        <v>1962</v>
      </c>
      <c r="R1000" t="s">
        <v>50</v>
      </c>
      <c r="S1000" t="s">
        <v>1670</v>
      </c>
      <c r="U1000" t="s">
        <v>1972</v>
      </c>
      <c r="V1000" t="s">
        <v>1984</v>
      </c>
      <c r="W1000" t="s">
        <v>221</v>
      </c>
      <c r="X1000">
        <v>505</v>
      </c>
      <c r="Y1000" t="s">
        <v>2009</v>
      </c>
      <c r="AB1000" t="s">
        <v>13758</v>
      </c>
      <c r="AE1000">
        <v>359</v>
      </c>
      <c r="AF1000" t="s">
        <v>2902</v>
      </c>
      <c r="AH1000">
        <v>40</v>
      </c>
      <c r="AI1000">
        <v>1</v>
      </c>
      <c r="AJ1000">
        <v>0</v>
      </c>
      <c r="AK1000">
        <v>0</v>
      </c>
      <c r="AN1000" t="s">
        <v>2926</v>
      </c>
      <c r="AO1000" t="s">
        <v>13051</v>
      </c>
      <c r="AP1000" t="s">
        <v>18232</v>
      </c>
      <c r="AU1000" t="s">
        <v>13051</v>
      </c>
      <c r="AW1000" t="s">
        <v>3060</v>
      </c>
    </row>
    <row r="1001" spans="1:50">
      <c r="A1001" s="1" t="s">
        <v>82</v>
      </c>
      <c r="B1001" t="s">
        <v>163</v>
      </c>
      <c r="C1001" t="s">
        <v>4211</v>
      </c>
      <c r="D1001" t="s">
        <v>294</v>
      </c>
      <c r="F1001" t="s">
        <v>7254</v>
      </c>
      <c r="G1001" t="s">
        <v>7652</v>
      </c>
      <c r="H1001" t="s">
        <v>1144</v>
      </c>
      <c r="I1001" t="s">
        <v>1637</v>
      </c>
      <c r="J1001" t="s">
        <v>1644</v>
      </c>
      <c r="K1001">
        <v>11233</v>
      </c>
      <c r="L1001" t="s">
        <v>1670</v>
      </c>
      <c r="M1001" t="s">
        <v>1671</v>
      </c>
      <c r="N1001" t="s">
        <v>1754</v>
      </c>
      <c r="O1001" t="s">
        <v>1937</v>
      </c>
      <c r="P1001" t="s">
        <v>1962</v>
      </c>
      <c r="R1001" t="s">
        <v>50</v>
      </c>
      <c r="S1001" t="s">
        <v>1670</v>
      </c>
      <c r="U1001" t="s">
        <v>1972</v>
      </c>
      <c r="V1001" t="s">
        <v>1984</v>
      </c>
      <c r="W1001" t="s">
        <v>221</v>
      </c>
      <c r="X1001" t="s">
        <v>13051</v>
      </c>
      <c r="Y1001" t="s">
        <v>2009</v>
      </c>
      <c r="AB1001" t="s">
        <v>13759</v>
      </c>
      <c r="AE1001">
        <v>359</v>
      </c>
      <c r="AF1001" t="s">
        <v>2902</v>
      </c>
      <c r="AH1001">
        <v>14</v>
      </c>
      <c r="AI1001">
        <v>1</v>
      </c>
      <c r="AJ1001">
        <v>0</v>
      </c>
      <c r="AK1001">
        <v>0</v>
      </c>
      <c r="AN1001" t="s">
        <v>2926</v>
      </c>
      <c r="AO1001" t="s">
        <v>13051</v>
      </c>
      <c r="AP1001" t="s">
        <v>18233</v>
      </c>
      <c r="AU1001" t="s">
        <v>13051</v>
      </c>
      <c r="AW1001" t="s">
        <v>3060</v>
      </c>
    </row>
    <row r="1002" spans="1:50">
      <c r="A1002" s="1" t="s">
        <v>82</v>
      </c>
      <c r="B1002" t="s">
        <v>163</v>
      </c>
      <c r="C1002" t="s">
        <v>4212</v>
      </c>
      <c r="D1002" t="s">
        <v>294</v>
      </c>
      <c r="F1002" t="s">
        <v>6940</v>
      </c>
      <c r="G1002" t="s">
        <v>8284</v>
      </c>
      <c r="H1002" t="s">
        <v>1144</v>
      </c>
      <c r="I1002" t="s">
        <v>11015</v>
      </c>
      <c r="J1002" t="s">
        <v>1644</v>
      </c>
      <c r="K1002">
        <v>11233</v>
      </c>
      <c r="L1002" t="s">
        <v>1670</v>
      </c>
      <c r="M1002" t="s">
        <v>1671</v>
      </c>
      <c r="N1002" t="s">
        <v>1754</v>
      </c>
      <c r="O1002" t="s">
        <v>1937</v>
      </c>
      <c r="P1002" t="s">
        <v>1962</v>
      </c>
      <c r="R1002" t="s">
        <v>50</v>
      </c>
      <c r="S1002" t="s">
        <v>1670</v>
      </c>
      <c r="U1002" t="s">
        <v>1972</v>
      </c>
      <c r="V1002" t="s">
        <v>1984</v>
      </c>
      <c r="W1002" t="s">
        <v>221</v>
      </c>
      <c r="X1002">
        <v>1195</v>
      </c>
      <c r="Y1002" t="s">
        <v>2009</v>
      </c>
      <c r="AB1002" t="s">
        <v>2223</v>
      </c>
      <c r="AC1002" t="s">
        <v>1754</v>
      </c>
      <c r="AE1002">
        <v>359</v>
      </c>
      <c r="AF1002" t="s">
        <v>2902</v>
      </c>
      <c r="AG1002" t="s">
        <v>1754</v>
      </c>
      <c r="AH1002">
        <v>30</v>
      </c>
      <c r="AI1002">
        <v>2</v>
      </c>
      <c r="AJ1002">
        <v>0</v>
      </c>
      <c r="AK1002">
        <v>0</v>
      </c>
      <c r="AN1002" t="s">
        <v>2926</v>
      </c>
      <c r="AO1002" t="s">
        <v>13051</v>
      </c>
      <c r="AP1002" t="s">
        <v>18234</v>
      </c>
      <c r="AU1002" t="s">
        <v>13051</v>
      </c>
      <c r="AW1002" t="s">
        <v>3060</v>
      </c>
      <c r="AX1002" t="s">
        <v>1754</v>
      </c>
    </row>
    <row r="1003" spans="1:50">
      <c r="A1003" s="1" t="s">
        <v>82</v>
      </c>
      <c r="B1003" t="s">
        <v>163</v>
      </c>
      <c r="C1003" t="s">
        <v>4213</v>
      </c>
      <c r="D1003" t="s">
        <v>186</v>
      </c>
      <c r="F1003" t="s">
        <v>7255</v>
      </c>
      <c r="G1003" t="s">
        <v>8367</v>
      </c>
      <c r="H1003" t="s">
        <v>9420</v>
      </c>
      <c r="I1003" t="s">
        <v>11152</v>
      </c>
      <c r="J1003" t="s">
        <v>1644</v>
      </c>
      <c r="K1003">
        <v>11233</v>
      </c>
      <c r="L1003" t="s">
        <v>1670</v>
      </c>
      <c r="M1003" t="s">
        <v>1671</v>
      </c>
      <c r="O1003" t="s">
        <v>1937</v>
      </c>
      <c r="P1003" t="s">
        <v>1962</v>
      </c>
      <c r="R1003" t="s">
        <v>50</v>
      </c>
      <c r="S1003" t="s">
        <v>1670</v>
      </c>
      <c r="U1003" t="s">
        <v>1972</v>
      </c>
      <c r="V1003" t="s">
        <v>1984</v>
      </c>
      <c r="W1003" t="s">
        <v>221</v>
      </c>
      <c r="X1003">
        <v>1294.06</v>
      </c>
      <c r="Y1003" t="s">
        <v>2009</v>
      </c>
      <c r="Z1003" t="s">
        <v>2017</v>
      </c>
      <c r="AE1003">
        <v>359</v>
      </c>
      <c r="AF1003" t="s">
        <v>2902</v>
      </c>
      <c r="AG1003" t="s">
        <v>1754</v>
      </c>
      <c r="AH1003">
        <v>27</v>
      </c>
      <c r="AI1003">
        <v>1</v>
      </c>
      <c r="AJ1003">
        <v>0</v>
      </c>
      <c r="AK1003">
        <v>0</v>
      </c>
      <c r="AN1003" t="s">
        <v>2926</v>
      </c>
      <c r="AO1003" t="s">
        <v>13051</v>
      </c>
      <c r="AP1003" t="s">
        <v>18235</v>
      </c>
      <c r="AU1003" t="s">
        <v>13051</v>
      </c>
      <c r="AW1003" t="s">
        <v>3059</v>
      </c>
    </row>
    <row r="1004" spans="1:50">
      <c r="A1004" s="1" t="s">
        <v>82</v>
      </c>
      <c r="B1004" t="s">
        <v>163</v>
      </c>
      <c r="C1004" t="s">
        <v>4214</v>
      </c>
      <c r="D1004" t="s">
        <v>186</v>
      </c>
      <c r="F1004" t="s">
        <v>6796</v>
      </c>
      <c r="G1004" t="s">
        <v>1002</v>
      </c>
      <c r="H1004" t="s">
        <v>9420</v>
      </c>
      <c r="I1004" t="s">
        <v>1510</v>
      </c>
      <c r="J1004" t="s">
        <v>1644</v>
      </c>
      <c r="K1004">
        <v>11233</v>
      </c>
      <c r="L1004" t="s">
        <v>1670</v>
      </c>
      <c r="M1004" t="s">
        <v>1671</v>
      </c>
      <c r="O1004" t="s">
        <v>1937</v>
      </c>
      <c r="P1004" t="s">
        <v>1962</v>
      </c>
      <c r="R1004" t="s">
        <v>50</v>
      </c>
      <c r="S1004" t="s">
        <v>1670</v>
      </c>
      <c r="U1004" t="s">
        <v>1972</v>
      </c>
      <c r="V1004" t="s">
        <v>1984</v>
      </c>
      <c r="W1004" t="s">
        <v>221</v>
      </c>
      <c r="X1004">
        <v>1014</v>
      </c>
      <c r="Y1004" t="s">
        <v>2009</v>
      </c>
      <c r="Z1004" t="s">
        <v>2017</v>
      </c>
      <c r="AB1004" t="s">
        <v>13760</v>
      </c>
      <c r="AE1004">
        <v>359</v>
      </c>
      <c r="AF1004" t="s">
        <v>2902</v>
      </c>
      <c r="AH1004">
        <v>30</v>
      </c>
      <c r="AI1004">
        <v>1</v>
      </c>
      <c r="AJ1004">
        <v>0</v>
      </c>
      <c r="AK1004">
        <v>0</v>
      </c>
      <c r="AN1004" t="s">
        <v>2926</v>
      </c>
      <c r="AO1004" t="s">
        <v>13051</v>
      </c>
      <c r="AU1004" t="s">
        <v>13051</v>
      </c>
      <c r="AW1004" t="s">
        <v>3059</v>
      </c>
    </row>
    <row r="1005" spans="1:50">
      <c r="A1005" s="1" t="s">
        <v>82</v>
      </c>
      <c r="B1005" t="s">
        <v>163</v>
      </c>
      <c r="C1005" t="s">
        <v>4215</v>
      </c>
      <c r="D1005" t="s">
        <v>186</v>
      </c>
      <c r="F1005" t="s">
        <v>7256</v>
      </c>
      <c r="G1005" t="s">
        <v>8368</v>
      </c>
      <c r="H1005" t="s">
        <v>9482</v>
      </c>
      <c r="I1005" t="s">
        <v>11153</v>
      </c>
      <c r="J1005" t="s">
        <v>1644</v>
      </c>
      <c r="K1005">
        <v>11233</v>
      </c>
      <c r="L1005" t="s">
        <v>1670</v>
      </c>
      <c r="M1005" t="s">
        <v>1671</v>
      </c>
      <c r="O1005" t="s">
        <v>1937</v>
      </c>
      <c r="P1005" t="s">
        <v>1962</v>
      </c>
      <c r="R1005" t="s">
        <v>50</v>
      </c>
      <c r="S1005" t="s">
        <v>1670</v>
      </c>
      <c r="U1005" t="s">
        <v>1972</v>
      </c>
      <c r="V1005" t="s">
        <v>1984</v>
      </c>
      <c r="W1005" t="s">
        <v>221</v>
      </c>
      <c r="X1005" t="s">
        <v>13051</v>
      </c>
      <c r="Y1005" t="s">
        <v>2009</v>
      </c>
      <c r="Z1005" t="s">
        <v>2017</v>
      </c>
      <c r="AB1005" t="s">
        <v>13761</v>
      </c>
      <c r="AE1005">
        <v>359</v>
      </c>
      <c r="AF1005" t="s">
        <v>2902</v>
      </c>
      <c r="AH1005">
        <v>20</v>
      </c>
      <c r="AI1005">
        <v>1</v>
      </c>
      <c r="AJ1005">
        <v>0</v>
      </c>
      <c r="AK1005">
        <v>0</v>
      </c>
      <c r="AN1005" t="s">
        <v>2926</v>
      </c>
      <c r="AO1005" t="s">
        <v>13051</v>
      </c>
      <c r="AU1005" t="s">
        <v>13051</v>
      </c>
      <c r="AW1005" t="s">
        <v>3059</v>
      </c>
    </row>
    <row r="1006" spans="1:50">
      <c r="A1006" s="1" t="s">
        <v>82</v>
      </c>
      <c r="B1006" t="s">
        <v>163</v>
      </c>
      <c r="C1006" t="s">
        <v>4216</v>
      </c>
      <c r="D1006" t="s">
        <v>269</v>
      </c>
      <c r="F1006" t="s">
        <v>702</v>
      </c>
      <c r="G1006" t="s">
        <v>8255</v>
      </c>
      <c r="H1006" t="s">
        <v>9420</v>
      </c>
      <c r="I1006" t="s">
        <v>11154</v>
      </c>
      <c r="J1006" t="s">
        <v>1644</v>
      </c>
      <c r="K1006">
        <v>11233</v>
      </c>
      <c r="L1006" t="s">
        <v>1670</v>
      </c>
      <c r="M1006" t="s">
        <v>1671</v>
      </c>
      <c r="O1006" t="s">
        <v>1937</v>
      </c>
      <c r="P1006" t="s">
        <v>1962</v>
      </c>
      <c r="R1006" t="s">
        <v>50</v>
      </c>
      <c r="S1006" t="s">
        <v>1670</v>
      </c>
      <c r="U1006" t="s">
        <v>1972</v>
      </c>
      <c r="V1006" t="s">
        <v>1984</v>
      </c>
      <c r="W1006" t="s">
        <v>221</v>
      </c>
      <c r="X1006">
        <v>976.08</v>
      </c>
      <c r="Y1006" t="s">
        <v>2009</v>
      </c>
      <c r="Z1006" t="s">
        <v>2025</v>
      </c>
      <c r="AB1006" t="s">
        <v>13762</v>
      </c>
      <c r="AE1006">
        <v>359</v>
      </c>
      <c r="AF1006" t="s">
        <v>2902</v>
      </c>
      <c r="AH1006" t="s">
        <v>13051</v>
      </c>
      <c r="AI1006">
        <v>1</v>
      </c>
      <c r="AJ1006">
        <v>0</v>
      </c>
      <c r="AK1006">
        <v>0</v>
      </c>
      <c r="AN1006" t="s">
        <v>2926</v>
      </c>
      <c r="AO1006" t="s">
        <v>13051</v>
      </c>
      <c r="AP1006" t="s">
        <v>18236</v>
      </c>
      <c r="AU1006" t="s">
        <v>13051</v>
      </c>
      <c r="AW1006" t="s">
        <v>3060</v>
      </c>
    </row>
    <row r="1007" spans="1:50">
      <c r="A1007" s="1" t="s">
        <v>82</v>
      </c>
      <c r="B1007" t="s">
        <v>163</v>
      </c>
      <c r="C1007" t="s">
        <v>4217</v>
      </c>
      <c r="D1007" t="s">
        <v>179</v>
      </c>
      <c r="F1007" t="s">
        <v>588</v>
      </c>
      <c r="G1007" t="s">
        <v>8369</v>
      </c>
      <c r="H1007" t="s">
        <v>1144</v>
      </c>
      <c r="I1007" t="s">
        <v>11032</v>
      </c>
      <c r="J1007" t="s">
        <v>1644</v>
      </c>
      <c r="K1007">
        <v>11233</v>
      </c>
      <c r="L1007" t="s">
        <v>1670</v>
      </c>
      <c r="M1007" t="s">
        <v>1672</v>
      </c>
      <c r="N1007" t="s">
        <v>1675</v>
      </c>
      <c r="O1007" t="s">
        <v>1937</v>
      </c>
      <c r="P1007" t="s">
        <v>1962</v>
      </c>
      <c r="R1007" t="s">
        <v>50</v>
      </c>
      <c r="S1007" t="s">
        <v>1670</v>
      </c>
      <c r="U1007" t="s">
        <v>1972</v>
      </c>
      <c r="V1007" t="s">
        <v>1984</v>
      </c>
      <c r="W1007" t="s">
        <v>221</v>
      </c>
      <c r="X1007">
        <v>840</v>
      </c>
      <c r="Y1007" t="s">
        <v>2009</v>
      </c>
      <c r="Z1007" t="s">
        <v>2017</v>
      </c>
      <c r="AB1007" t="s">
        <v>13763</v>
      </c>
      <c r="AE1007">
        <v>359</v>
      </c>
      <c r="AF1007" t="s">
        <v>2902</v>
      </c>
      <c r="AH1007">
        <v>9</v>
      </c>
      <c r="AI1007">
        <v>1</v>
      </c>
      <c r="AJ1007">
        <v>0</v>
      </c>
      <c r="AK1007">
        <v>0</v>
      </c>
      <c r="AN1007" t="s">
        <v>2926</v>
      </c>
      <c r="AO1007" t="s">
        <v>13051</v>
      </c>
      <c r="AP1007" t="s">
        <v>18237</v>
      </c>
      <c r="AU1007" t="s">
        <v>13051</v>
      </c>
      <c r="AW1007" t="s">
        <v>3059</v>
      </c>
      <c r="AX1007" t="s">
        <v>1754</v>
      </c>
    </row>
    <row r="1008" spans="1:50">
      <c r="A1008" s="1" t="s">
        <v>82</v>
      </c>
      <c r="B1008" t="s">
        <v>163</v>
      </c>
      <c r="C1008" t="s">
        <v>4218</v>
      </c>
      <c r="D1008" t="s">
        <v>179</v>
      </c>
      <c r="F1008" t="s">
        <v>563</v>
      </c>
      <c r="G1008" t="s">
        <v>7511</v>
      </c>
      <c r="H1008" t="s">
        <v>1144</v>
      </c>
      <c r="I1008" t="s">
        <v>11155</v>
      </c>
      <c r="J1008" t="s">
        <v>1644</v>
      </c>
      <c r="K1008">
        <v>11233</v>
      </c>
      <c r="L1008" t="s">
        <v>1670</v>
      </c>
      <c r="M1008" t="s">
        <v>1672</v>
      </c>
      <c r="N1008" t="s">
        <v>1675</v>
      </c>
      <c r="O1008" t="s">
        <v>1937</v>
      </c>
      <c r="P1008" t="s">
        <v>1962</v>
      </c>
      <c r="R1008" t="s">
        <v>50</v>
      </c>
      <c r="S1008" t="s">
        <v>1670</v>
      </c>
      <c r="U1008" t="s">
        <v>1972</v>
      </c>
      <c r="V1008" t="s">
        <v>1984</v>
      </c>
      <c r="W1008" t="s">
        <v>221</v>
      </c>
      <c r="X1008">
        <v>1126</v>
      </c>
      <c r="Y1008" t="s">
        <v>2009</v>
      </c>
      <c r="Z1008" t="s">
        <v>2017</v>
      </c>
      <c r="AB1008" t="s">
        <v>13764</v>
      </c>
      <c r="AE1008">
        <v>359</v>
      </c>
      <c r="AF1008" t="s">
        <v>2902</v>
      </c>
      <c r="AH1008">
        <v>45</v>
      </c>
      <c r="AI1008">
        <v>1</v>
      </c>
      <c r="AJ1008">
        <v>0</v>
      </c>
      <c r="AK1008">
        <v>0</v>
      </c>
      <c r="AN1008" t="s">
        <v>2926</v>
      </c>
      <c r="AO1008" t="s">
        <v>13051</v>
      </c>
      <c r="AP1008" t="s">
        <v>18238</v>
      </c>
      <c r="AU1008" t="s">
        <v>13051</v>
      </c>
      <c r="AW1008" t="s">
        <v>3059</v>
      </c>
      <c r="AX1008" t="s">
        <v>1754</v>
      </c>
    </row>
    <row r="1009" spans="1:50">
      <c r="A1009" s="1" t="s">
        <v>69</v>
      </c>
      <c r="B1009" t="s">
        <v>163</v>
      </c>
      <c r="C1009" t="s">
        <v>4219</v>
      </c>
      <c r="D1009" t="s">
        <v>167</v>
      </c>
      <c r="F1009" t="s">
        <v>7257</v>
      </c>
      <c r="G1009" t="s">
        <v>8370</v>
      </c>
      <c r="H1009" t="s">
        <v>9414</v>
      </c>
      <c r="I1009" t="s">
        <v>11156</v>
      </c>
      <c r="J1009" t="s">
        <v>1644</v>
      </c>
      <c r="K1009">
        <v>11230</v>
      </c>
      <c r="L1009" t="s">
        <v>1670</v>
      </c>
      <c r="M1009" t="s">
        <v>1670</v>
      </c>
      <c r="P1009" t="s">
        <v>1962</v>
      </c>
      <c r="R1009" t="s">
        <v>50</v>
      </c>
      <c r="S1009" t="s">
        <v>1670</v>
      </c>
      <c r="U1009" t="s">
        <v>1972</v>
      </c>
      <c r="W1009" t="s">
        <v>167</v>
      </c>
      <c r="X1009" t="s">
        <v>13051</v>
      </c>
      <c r="Y1009" t="s">
        <v>2009</v>
      </c>
      <c r="AB1009" t="s">
        <v>13765</v>
      </c>
      <c r="AE1009">
        <v>51</v>
      </c>
      <c r="AH1009" t="s">
        <v>13051</v>
      </c>
      <c r="AI1009">
        <v>2</v>
      </c>
      <c r="AJ1009">
        <v>0</v>
      </c>
      <c r="AK1009">
        <v>0</v>
      </c>
      <c r="AN1009" t="s">
        <v>2926</v>
      </c>
      <c r="AO1009" t="s">
        <v>13051</v>
      </c>
      <c r="AP1009" t="s">
        <v>18239</v>
      </c>
      <c r="AU1009">
        <v>0.8</v>
      </c>
      <c r="AV1009" t="s">
        <v>1995</v>
      </c>
      <c r="AW1009" t="s">
        <v>69</v>
      </c>
    </row>
    <row r="1010" spans="1:50">
      <c r="A1010" s="1" t="s">
        <v>132</v>
      </c>
      <c r="B1010" t="s">
        <v>163</v>
      </c>
      <c r="C1010" t="s">
        <v>4220</v>
      </c>
      <c r="D1010" t="s">
        <v>408</v>
      </c>
      <c r="F1010" t="s">
        <v>7252</v>
      </c>
      <c r="G1010" t="s">
        <v>8156</v>
      </c>
      <c r="H1010" t="s">
        <v>9605</v>
      </c>
      <c r="I1010" t="s">
        <v>1576</v>
      </c>
      <c r="J1010" t="s">
        <v>1644</v>
      </c>
      <c r="K1010">
        <v>11225</v>
      </c>
      <c r="L1010" t="s">
        <v>1670</v>
      </c>
      <c r="M1010" t="s">
        <v>1670</v>
      </c>
      <c r="P1010" t="s">
        <v>1962</v>
      </c>
      <c r="R1010" t="s">
        <v>50</v>
      </c>
      <c r="S1010" t="s">
        <v>1671</v>
      </c>
      <c r="U1010" t="s">
        <v>1972</v>
      </c>
      <c r="W1010" t="s">
        <v>6160</v>
      </c>
      <c r="X1010">
        <v>978.0700000000001</v>
      </c>
      <c r="Y1010" t="s">
        <v>2009</v>
      </c>
      <c r="AB1010" t="s">
        <v>13766</v>
      </c>
      <c r="AD1010" t="s">
        <v>16220</v>
      </c>
      <c r="AE1010">
        <v>89</v>
      </c>
      <c r="AF1010" t="s">
        <v>2902</v>
      </c>
      <c r="AG1010" t="s">
        <v>1754</v>
      </c>
      <c r="AH1010">
        <v>28</v>
      </c>
      <c r="AI1010">
        <v>1</v>
      </c>
      <c r="AJ1010">
        <v>0</v>
      </c>
      <c r="AK1010">
        <v>0</v>
      </c>
      <c r="AN1010" t="s">
        <v>2926</v>
      </c>
      <c r="AO1010" t="s">
        <v>13051</v>
      </c>
      <c r="AP1010" t="s">
        <v>2953</v>
      </c>
      <c r="AU1010" t="s">
        <v>13051</v>
      </c>
      <c r="AW1010" t="s">
        <v>3060</v>
      </c>
    </row>
    <row r="1011" spans="1:50">
      <c r="A1011" s="1" t="s">
        <v>61</v>
      </c>
      <c r="B1011" t="s">
        <v>163</v>
      </c>
      <c r="C1011" t="s">
        <v>4221</v>
      </c>
      <c r="D1011" t="s">
        <v>230</v>
      </c>
      <c r="F1011" t="s">
        <v>6916</v>
      </c>
      <c r="G1011" t="s">
        <v>780</v>
      </c>
      <c r="H1011" t="s">
        <v>9790</v>
      </c>
      <c r="I1011">
        <v>31</v>
      </c>
      <c r="J1011" t="s">
        <v>1644</v>
      </c>
      <c r="K1011">
        <v>11220</v>
      </c>
      <c r="L1011" t="s">
        <v>1670</v>
      </c>
      <c r="M1011" t="s">
        <v>1672</v>
      </c>
      <c r="N1011" t="s">
        <v>1754</v>
      </c>
      <c r="O1011" t="s">
        <v>1941</v>
      </c>
      <c r="P1011" t="s">
        <v>1962</v>
      </c>
      <c r="R1011" t="s">
        <v>50</v>
      </c>
      <c r="S1011" t="s">
        <v>1671</v>
      </c>
      <c r="U1011" t="s">
        <v>1972</v>
      </c>
      <c r="V1011" t="s">
        <v>1984</v>
      </c>
      <c r="W1011" t="s">
        <v>230</v>
      </c>
      <c r="X1011" t="s">
        <v>13051</v>
      </c>
      <c r="Y1011" t="s">
        <v>2009</v>
      </c>
      <c r="Z1011" t="s">
        <v>2015</v>
      </c>
      <c r="AB1011" t="s">
        <v>13767</v>
      </c>
      <c r="AC1011" t="s">
        <v>1754</v>
      </c>
      <c r="AE1011">
        <v>84</v>
      </c>
      <c r="AF1011" t="s">
        <v>2902</v>
      </c>
      <c r="AG1011" t="s">
        <v>1754</v>
      </c>
      <c r="AH1011">
        <v>25</v>
      </c>
      <c r="AI1011">
        <v>3</v>
      </c>
      <c r="AJ1011">
        <v>0</v>
      </c>
      <c r="AK1011">
        <v>0</v>
      </c>
      <c r="AN1011" t="s">
        <v>2927</v>
      </c>
      <c r="AO1011" t="s">
        <v>13051</v>
      </c>
      <c r="AU1011">
        <v>0.8</v>
      </c>
      <c r="AV1011" t="s">
        <v>230</v>
      </c>
      <c r="AW1011" t="s">
        <v>69</v>
      </c>
    </row>
    <row r="1012" spans="1:50">
      <c r="A1012" s="1" t="s">
        <v>133</v>
      </c>
      <c r="B1012" t="s">
        <v>163</v>
      </c>
      <c r="C1012" t="s">
        <v>4222</v>
      </c>
      <c r="D1012" t="s">
        <v>6166</v>
      </c>
      <c r="F1012" t="s">
        <v>7073</v>
      </c>
      <c r="G1012" t="s">
        <v>8371</v>
      </c>
      <c r="H1012" t="s">
        <v>9674</v>
      </c>
      <c r="I1012" t="s">
        <v>1487</v>
      </c>
      <c r="J1012" t="s">
        <v>1644</v>
      </c>
      <c r="K1012">
        <v>11212</v>
      </c>
      <c r="L1012" t="s">
        <v>1670</v>
      </c>
      <c r="M1012" t="s">
        <v>1670</v>
      </c>
      <c r="N1012" t="s">
        <v>12065</v>
      </c>
      <c r="O1012" t="s">
        <v>1941</v>
      </c>
      <c r="P1012" t="s">
        <v>1962</v>
      </c>
      <c r="R1012" t="s">
        <v>50</v>
      </c>
      <c r="S1012" t="s">
        <v>1670</v>
      </c>
      <c r="U1012" t="s">
        <v>1977</v>
      </c>
      <c r="V1012" t="s">
        <v>1984</v>
      </c>
      <c r="W1012" t="s">
        <v>324</v>
      </c>
      <c r="X1012">
        <v>1515</v>
      </c>
      <c r="Y1012" t="s">
        <v>2009</v>
      </c>
      <c r="Z1012" t="s">
        <v>2016</v>
      </c>
      <c r="AB1012" t="s">
        <v>13768</v>
      </c>
      <c r="AD1012" t="s">
        <v>16221</v>
      </c>
      <c r="AE1012">
        <v>16</v>
      </c>
      <c r="AF1012" t="s">
        <v>2902</v>
      </c>
      <c r="AG1012" t="s">
        <v>2920</v>
      </c>
      <c r="AH1012">
        <v>3</v>
      </c>
      <c r="AI1012">
        <v>2</v>
      </c>
      <c r="AJ1012">
        <v>0</v>
      </c>
      <c r="AK1012">
        <v>0</v>
      </c>
      <c r="AN1012" t="s">
        <v>2926</v>
      </c>
      <c r="AO1012" t="s">
        <v>13051</v>
      </c>
      <c r="AP1012" t="s">
        <v>18240</v>
      </c>
      <c r="AU1012" t="s">
        <v>13051</v>
      </c>
      <c r="AW1012" t="s">
        <v>3059</v>
      </c>
      <c r="AX1012" t="s">
        <v>18685</v>
      </c>
    </row>
    <row r="1013" spans="1:50">
      <c r="A1013" s="1" t="s">
        <v>91</v>
      </c>
      <c r="B1013" t="s">
        <v>163</v>
      </c>
      <c r="C1013" t="s">
        <v>4223</v>
      </c>
      <c r="D1013" t="s">
        <v>236</v>
      </c>
      <c r="F1013" t="s">
        <v>7258</v>
      </c>
      <c r="G1013" t="s">
        <v>8372</v>
      </c>
      <c r="H1013" t="s">
        <v>9791</v>
      </c>
      <c r="I1013" t="s">
        <v>1534</v>
      </c>
      <c r="J1013" t="s">
        <v>1643</v>
      </c>
      <c r="K1013">
        <v>10032</v>
      </c>
      <c r="L1013" t="s">
        <v>1670</v>
      </c>
      <c r="M1013" t="s">
        <v>1670</v>
      </c>
      <c r="O1013" t="s">
        <v>1941</v>
      </c>
      <c r="P1013" t="s">
        <v>1962</v>
      </c>
      <c r="R1013" t="s">
        <v>50</v>
      </c>
      <c r="U1013" t="s">
        <v>1972</v>
      </c>
      <c r="W1013" t="s">
        <v>236</v>
      </c>
      <c r="X1013">
        <v>2297.05</v>
      </c>
      <c r="Y1013" t="s">
        <v>2008</v>
      </c>
      <c r="Z1013" t="s">
        <v>2013</v>
      </c>
      <c r="AB1013" t="s">
        <v>13769</v>
      </c>
      <c r="AD1013" t="s">
        <v>16222</v>
      </c>
      <c r="AE1013" t="s">
        <v>13051</v>
      </c>
      <c r="AF1013" t="s">
        <v>2908</v>
      </c>
      <c r="AG1013" t="s">
        <v>1754</v>
      </c>
      <c r="AH1013">
        <v>20</v>
      </c>
      <c r="AI1013">
        <v>3</v>
      </c>
      <c r="AJ1013">
        <v>0</v>
      </c>
      <c r="AK1013">
        <v>0</v>
      </c>
      <c r="AN1013" t="s">
        <v>2926</v>
      </c>
      <c r="AO1013" t="s">
        <v>13051</v>
      </c>
      <c r="AU1013">
        <v>2</v>
      </c>
      <c r="AV1013" t="s">
        <v>263</v>
      </c>
      <c r="AW1013" t="s">
        <v>3042</v>
      </c>
    </row>
    <row r="1014" spans="1:50">
      <c r="A1014" s="1" t="s">
        <v>91</v>
      </c>
      <c r="B1014" t="s">
        <v>163</v>
      </c>
      <c r="C1014" t="s">
        <v>4224</v>
      </c>
      <c r="D1014" t="s">
        <v>272</v>
      </c>
      <c r="F1014" t="s">
        <v>7259</v>
      </c>
      <c r="G1014" t="s">
        <v>8373</v>
      </c>
      <c r="H1014" t="s">
        <v>9792</v>
      </c>
      <c r="I1014">
        <v>62</v>
      </c>
      <c r="J1014" t="s">
        <v>1643</v>
      </c>
      <c r="K1014">
        <v>10032</v>
      </c>
      <c r="L1014" t="s">
        <v>1670</v>
      </c>
      <c r="M1014" t="s">
        <v>1672</v>
      </c>
      <c r="P1014" t="s">
        <v>1962</v>
      </c>
      <c r="R1014" t="s">
        <v>50</v>
      </c>
      <c r="S1014" t="s">
        <v>1671</v>
      </c>
      <c r="U1014" t="s">
        <v>1972</v>
      </c>
      <c r="W1014" t="s">
        <v>272</v>
      </c>
      <c r="X1014">
        <v>3990</v>
      </c>
      <c r="Y1014" t="s">
        <v>2008</v>
      </c>
      <c r="Z1014" t="s">
        <v>2013</v>
      </c>
      <c r="AB1014" t="s">
        <v>13770</v>
      </c>
      <c r="AD1014" t="s">
        <v>16223</v>
      </c>
      <c r="AE1014">
        <v>35</v>
      </c>
      <c r="AF1014" t="s">
        <v>2902</v>
      </c>
      <c r="AG1014" t="s">
        <v>1754</v>
      </c>
      <c r="AH1014">
        <v>1</v>
      </c>
      <c r="AI1014">
        <v>2</v>
      </c>
      <c r="AJ1014">
        <v>0</v>
      </c>
      <c r="AK1014">
        <v>0</v>
      </c>
      <c r="AN1014" t="s">
        <v>2926</v>
      </c>
      <c r="AO1014" t="s">
        <v>13051</v>
      </c>
      <c r="AU1014">
        <v>1.6</v>
      </c>
      <c r="AV1014" t="s">
        <v>404</v>
      </c>
      <c r="AW1014" t="s">
        <v>3042</v>
      </c>
      <c r="AX1014" t="s">
        <v>18685</v>
      </c>
    </row>
    <row r="1015" spans="1:50">
      <c r="A1015" s="1" t="s">
        <v>72</v>
      </c>
      <c r="B1015" t="s">
        <v>163</v>
      </c>
      <c r="C1015" t="s">
        <v>4225</v>
      </c>
      <c r="D1015" t="s">
        <v>310</v>
      </c>
      <c r="F1015" t="s">
        <v>7260</v>
      </c>
      <c r="G1015" t="s">
        <v>8374</v>
      </c>
      <c r="H1015" t="s">
        <v>9793</v>
      </c>
      <c r="I1015">
        <v>16</v>
      </c>
      <c r="J1015" t="s">
        <v>1643</v>
      </c>
      <c r="K1015">
        <v>10029</v>
      </c>
      <c r="L1015" t="s">
        <v>1670</v>
      </c>
      <c r="M1015" t="s">
        <v>1670</v>
      </c>
      <c r="O1015" t="s">
        <v>1941</v>
      </c>
      <c r="P1015" t="s">
        <v>1962</v>
      </c>
      <c r="R1015" t="s">
        <v>50</v>
      </c>
      <c r="S1015" t="s">
        <v>1671</v>
      </c>
      <c r="U1015" t="s">
        <v>1972</v>
      </c>
      <c r="V1015" t="s">
        <v>1984</v>
      </c>
      <c r="W1015" t="s">
        <v>310</v>
      </c>
      <c r="X1015">
        <v>2100</v>
      </c>
      <c r="Y1015" t="s">
        <v>2008</v>
      </c>
      <c r="Z1015" t="s">
        <v>2028</v>
      </c>
      <c r="AB1015" t="s">
        <v>13771</v>
      </c>
      <c r="AD1015" t="s">
        <v>16224</v>
      </c>
      <c r="AE1015">
        <v>40</v>
      </c>
      <c r="AF1015" t="s">
        <v>2902</v>
      </c>
      <c r="AG1015" t="s">
        <v>1754</v>
      </c>
      <c r="AH1015">
        <v>1</v>
      </c>
      <c r="AI1015">
        <v>1</v>
      </c>
      <c r="AJ1015">
        <v>0</v>
      </c>
      <c r="AK1015">
        <v>0</v>
      </c>
      <c r="AN1015" t="s">
        <v>2926</v>
      </c>
      <c r="AO1015" t="s">
        <v>13051</v>
      </c>
      <c r="AU1015">
        <v>3.25</v>
      </c>
      <c r="AV1015" t="s">
        <v>283</v>
      </c>
      <c r="AW1015" t="s">
        <v>72</v>
      </c>
    </row>
    <row r="1016" spans="1:50">
      <c r="A1016" s="1" t="s">
        <v>3150</v>
      </c>
      <c r="B1016" t="s">
        <v>163</v>
      </c>
      <c r="C1016" t="s">
        <v>4226</v>
      </c>
      <c r="D1016" t="s">
        <v>178</v>
      </c>
      <c r="F1016" t="s">
        <v>708</v>
      </c>
      <c r="G1016" t="s">
        <v>8375</v>
      </c>
      <c r="H1016" t="s">
        <v>9794</v>
      </c>
      <c r="I1016" t="s">
        <v>1637</v>
      </c>
      <c r="J1016" t="s">
        <v>1643</v>
      </c>
      <c r="K1016">
        <v>10021</v>
      </c>
      <c r="L1016" t="s">
        <v>1670</v>
      </c>
      <c r="M1016" t="s">
        <v>1670</v>
      </c>
      <c r="N1016" t="s">
        <v>12066</v>
      </c>
      <c r="O1016" t="s">
        <v>1940</v>
      </c>
      <c r="P1016" t="s">
        <v>1962</v>
      </c>
      <c r="R1016" t="s">
        <v>50</v>
      </c>
      <c r="S1016" t="s">
        <v>1671</v>
      </c>
      <c r="U1016" t="s">
        <v>1972</v>
      </c>
      <c r="W1016" t="s">
        <v>178</v>
      </c>
      <c r="X1016">
        <v>2250</v>
      </c>
      <c r="Y1016" t="s">
        <v>2008</v>
      </c>
      <c r="Z1016" t="s">
        <v>2014</v>
      </c>
      <c r="AB1016" t="s">
        <v>13772</v>
      </c>
      <c r="AD1016" t="s">
        <v>16225</v>
      </c>
      <c r="AE1016">
        <v>53</v>
      </c>
      <c r="AG1016" t="s">
        <v>1754</v>
      </c>
      <c r="AH1016">
        <v>10</v>
      </c>
      <c r="AI1016">
        <v>1</v>
      </c>
      <c r="AJ1016">
        <v>0</v>
      </c>
      <c r="AK1016">
        <v>0</v>
      </c>
      <c r="AN1016" t="s">
        <v>2926</v>
      </c>
      <c r="AO1016" t="s">
        <v>13051</v>
      </c>
      <c r="AU1016">
        <v>0.65</v>
      </c>
      <c r="AV1016" t="s">
        <v>341</v>
      </c>
      <c r="AW1016" t="s">
        <v>3061</v>
      </c>
    </row>
    <row r="1017" spans="1:50">
      <c r="A1017" s="1" t="s">
        <v>104</v>
      </c>
      <c r="B1017" t="s">
        <v>164</v>
      </c>
      <c r="C1017" t="s">
        <v>4227</v>
      </c>
      <c r="D1017" t="s">
        <v>199</v>
      </c>
      <c r="E1017" t="s">
        <v>239</v>
      </c>
      <c r="F1017" t="s">
        <v>7244</v>
      </c>
      <c r="G1017" t="s">
        <v>8353</v>
      </c>
      <c r="H1017" t="s">
        <v>9776</v>
      </c>
      <c r="I1017" t="s">
        <v>1549</v>
      </c>
      <c r="J1017" t="s">
        <v>1646</v>
      </c>
      <c r="K1017">
        <v>10303</v>
      </c>
      <c r="L1017" t="s">
        <v>1670</v>
      </c>
      <c r="M1017" t="s">
        <v>1670</v>
      </c>
      <c r="N1017" t="s">
        <v>12067</v>
      </c>
      <c r="O1017" t="s">
        <v>1946</v>
      </c>
      <c r="P1017" t="s">
        <v>1960</v>
      </c>
      <c r="Q1017" t="s">
        <v>1971</v>
      </c>
      <c r="R1017" t="s">
        <v>51</v>
      </c>
      <c r="S1017" t="s">
        <v>1671</v>
      </c>
      <c r="U1017" t="s">
        <v>1980</v>
      </c>
      <c r="V1017" t="s">
        <v>1984</v>
      </c>
      <c r="W1017" t="s">
        <v>199</v>
      </c>
      <c r="X1017" t="s">
        <v>13051</v>
      </c>
      <c r="Y1017" t="s">
        <v>2010</v>
      </c>
      <c r="Z1017" t="s">
        <v>2012</v>
      </c>
      <c r="AA1017" t="s">
        <v>2034</v>
      </c>
      <c r="AB1017" t="s">
        <v>13744</v>
      </c>
      <c r="AD1017" t="s">
        <v>16208</v>
      </c>
      <c r="AE1017" t="s">
        <v>13051</v>
      </c>
      <c r="AF1017" t="s">
        <v>2903</v>
      </c>
      <c r="AG1017" t="s">
        <v>1754</v>
      </c>
      <c r="AH1017" t="s">
        <v>13051</v>
      </c>
      <c r="AI1017">
        <v>1</v>
      </c>
      <c r="AJ1017">
        <v>0</v>
      </c>
      <c r="AK1017">
        <v>0</v>
      </c>
      <c r="AL1017" t="s">
        <v>2923</v>
      </c>
      <c r="AM1017" t="s">
        <v>2924</v>
      </c>
      <c r="AN1017" t="s">
        <v>2926</v>
      </c>
      <c r="AO1017" t="s">
        <v>13051</v>
      </c>
      <c r="AR1017" t="s">
        <v>18458</v>
      </c>
      <c r="AT1017" t="s">
        <v>18523</v>
      </c>
      <c r="AU1017">
        <v>5.1</v>
      </c>
      <c r="AV1017" t="s">
        <v>239</v>
      </c>
      <c r="AW1017" t="s">
        <v>3057</v>
      </c>
    </row>
    <row r="1018" spans="1:50">
      <c r="A1018" s="1" t="s">
        <v>99</v>
      </c>
      <c r="B1018" t="s">
        <v>163</v>
      </c>
      <c r="C1018" t="s">
        <v>4228</v>
      </c>
      <c r="D1018" t="s">
        <v>311</v>
      </c>
      <c r="F1018" t="s">
        <v>6999</v>
      </c>
      <c r="G1018" t="s">
        <v>995</v>
      </c>
      <c r="H1018" t="s">
        <v>9795</v>
      </c>
      <c r="I1018">
        <v>1</v>
      </c>
      <c r="J1018" t="s">
        <v>11746</v>
      </c>
      <c r="K1018">
        <v>11416</v>
      </c>
      <c r="L1018" t="s">
        <v>1670</v>
      </c>
      <c r="M1018" t="s">
        <v>1670</v>
      </c>
      <c r="N1018" t="s">
        <v>12068</v>
      </c>
      <c r="O1018" t="s">
        <v>1936</v>
      </c>
      <c r="P1018" t="s">
        <v>1960</v>
      </c>
      <c r="R1018" t="s">
        <v>51</v>
      </c>
      <c r="S1018" t="s">
        <v>1671</v>
      </c>
      <c r="U1018" t="s">
        <v>1972</v>
      </c>
      <c r="V1018" t="s">
        <v>1984</v>
      </c>
      <c r="W1018" t="s">
        <v>311</v>
      </c>
      <c r="X1018">
        <v>2300</v>
      </c>
      <c r="Y1018" t="s">
        <v>2007</v>
      </c>
      <c r="Z1018" t="s">
        <v>2012</v>
      </c>
      <c r="AA1018" t="s">
        <v>2029</v>
      </c>
      <c r="AB1018" t="s">
        <v>13773</v>
      </c>
      <c r="AC1018" t="s">
        <v>15091</v>
      </c>
      <c r="AD1018" t="s">
        <v>15077</v>
      </c>
      <c r="AE1018">
        <v>5</v>
      </c>
      <c r="AF1018" t="s">
        <v>2903</v>
      </c>
      <c r="AG1018" t="s">
        <v>1754</v>
      </c>
      <c r="AH1018">
        <v>1</v>
      </c>
      <c r="AI1018">
        <v>2</v>
      </c>
      <c r="AJ1018">
        <v>0</v>
      </c>
      <c r="AK1018">
        <v>0</v>
      </c>
      <c r="AL1018" t="s">
        <v>2923</v>
      </c>
      <c r="AM1018" t="s">
        <v>2924</v>
      </c>
      <c r="AN1018" t="s">
        <v>2927</v>
      </c>
      <c r="AO1018" t="s">
        <v>13051</v>
      </c>
      <c r="AU1018">
        <v>28.85</v>
      </c>
      <c r="AV1018" t="s">
        <v>346</v>
      </c>
      <c r="AW1018" t="s">
        <v>99</v>
      </c>
    </row>
    <row r="1019" spans="1:50">
      <c r="A1019" s="1" t="s">
        <v>73</v>
      </c>
      <c r="B1019" t="s">
        <v>163</v>
      </c>
      <c r="C1019" t="s">
        <v>4229</v>
      </c>
      <c r="D1019" t="s">
        <v>213</v>
      </c>
      <c r="F1019" t="s">
        <v>7261</v>
      </c>
      <c r="G1019" t="s">
        <v>8376</v>
      </c>
      <c r="H1019" t="s">
        <v>9796</v>
      </c>
      <c r="I1019" t="s">
        <v>11157</v>
      </c>
      <c r="J1019" t="s">
        <v>1665</v>
      </c>
      <c r="K1019">
        <v>11374</v>
      </c>
      <c r="L1019" t="s">
        <v>1670</v>
      </c>
      <c r="M1019" t="s">
        <v>1670</v>
      </c>
      <c r="O1019" t="s">
        <v>1675</v>
      </c>
      <c r="P1019" t="s">
        <v>1962</v>
      </c>
      <c r="R1019" t="s">
        <v>51</v>
      </c>
      <c r="S1019" t="s">
        <v>1671</v>
      </c>
      <c r="U1019" t="s">
        <v>1972</v>
      </c>
      <c r="W1019" t="s">
        <v>385</v>
      </c>
      <c r="X1019" t="s">
        <v>13051</v>
      </c>
      <c r="Y1019" t="s">
        <v>2007</v>
      </c>
      <c r="Z1019" t="s">
        <v>2012</v>
      </c>
      <c r="AB1019" t="s">
        <v>13774</v>
      </c>
      <c r="AC1019" t="s">
        <v>15102</v>
      </c>
      <c r="AE1019">
        <v>1</v>
      </c>
      <c r="AF1019" t="s">
        <v>2903</v>
      </c>
      <c r="AH1019">
        <v>6</v>
      </c>
      <c r="AI1019">
        <v>5</v>
      </c>
      <c r="AJ1019">
        <v>0</v>
      </c>
      <c r="AK1019">
        <v>0</v>
      </c>
      <c r="AL1019" t="s">
        <v>2923</v>
      </c>
      <c r="AM1019" t="s">
        <v>2924</v>
      </c>
      <c r="AN1019" t="s">
        <v>2927</v>
      </c>
      <c r="AO1019" t="s">
        <v>13051</v>
      </c>
      <c r="AU1019">
        <v>1</v>
      </c>
      <c r="AV1019" t="s">
        <v>213</v>
      </c>
      <c r="AW1019" t="s">
        <v>73</v>
      </c>
    </row>
    <row r="1020" spans="1:50">
      <c r="A1020" s="1" t="s">
        <v>66</v>
      </c>
      <c r="B1020" t="s">
        <v>163</v>
      </c>
      <c r="C1020" t="s">
        <v>4230</v>
      </c>
      <c r="D1020" t="s">
        <v>287</v>
      </c>
      <c r="F1020" t="s">
        <v>7236</v>
      </c>
      <c r="G1020" t="s">
        <v>8346</v>
      </c>
      <c r="H1020" t="s">
        <v>9764</v>
      </c>
      <c r="I1020" t="s">
        <v>1569</v>
      </c>
      <c r="J1020" t="s">
        <v>1644</v>
      </c>
      <c r="K1020">
        <v>11226</v>
      </c>
      <c r="L1020" t="s">
        <v>1670</v>
      </c>
      <c r="M1020" t="s">
        <v>1670</v>
      </c>
      <c r="N1020" t="s">
        <v>12069</v>
      </c>
      <c r="O1020" t="s">
        <v>1936</v>
      </c>
      <c r="P1020" t="s">
        <v>1960</v>
      </c>
      <c r="R1020" t="s">
        <v>51</v>
      </c>
      <c r="S1020" t="s">
        <v>1671</v>
      </c>
      <c r="U1020" t="s">
        <v>1972</v>
      </c>
      <c r="W1020" t="s">
        <v>287</v>
      </c>
      <c r="X1020">
        <v>1850</v>
      </c>
      <c r="Y1020" t="s">
        <v>2009</v>
      </c>
      <c r="Z1020" t="s">
        <v>2012</v>
      </c>
      <c r="AB1020" t="s">
        <v>13386</v>
      </c>
      <c r="AC1020" t="s">
        <v>15099</v>
      </c>
      <c r="AD1020" t="s">
        <v>16199</v>
      </c>
      <c r="AE1020">
        <v>16</v>
      </c>
      <c r="AF1020" t="s">
        <v>2902</v>
      </c>
      <c r="AH1020">
        <v>10</v>
      </c>
      <c r="AI1020">
        <v>1</v>
      </c>
      <c r="AJ1020">
        <v>0</v>
      </c>
      <c r="AK1020">
        <v>0</v>
      </c>
      <c r="AL1020" t="s">
        <v>2923</v>
      </c>
      <c r="AM1020" t="s">
        <v>2924</v>
      </c>
      <c r="AN1020" t="s">
        <v>2926</v>
      </c>
      <c r="AO1020" t="s">
        <v>13051</v>
      </c>
      <c r="AU1020">
        <v>40</v>
      </c>
      <c r="AV1020" t="s">
        <v>346</v>
      </c>
      <c r="AW1020" t="s">
        <v>3049</v>
      </c>
    </row>
    <row r="1021" spans="1:50">
      <c r="A1021" s="1" t="s">
        <v>52</v>
      </c>
      <c r="B1021" t="s">
        <v>163</v>
      </c>
      <c r="C1021" t="s">
        <v>4231</v>
      </c>
      <c r="D1021" t="s">
        <v>255</v>
      </c>
      <c r="F1021" t="s">
        <v>7262</v>
      </c>
      <c r="G1021" t="s">
        <v>7317</v>
      </c>
      <c r="H1021" t="s">
        <v>9797</v>
      </c>
      <c r="J1021" t="s">
        <v>1641</v>
      </c>
      <c r="K1021">
        <v>10467</v>
      </c>
      <c r="L1021" t="s">
        <v>1670</v>
      </c>
      <c r="M1021" t="s">
        <v>1670</v>
      </c>
      <c r="N1021" t="s">
        <v>1691</v>
      </c>
      <c r="O1021" t="s">
        <v>12745</v>
      </c>
      <c r="P1021" t="s">
        <v>1959</v>
      </c>
      <c r="R1021" t="s">
        <v>51</v>
      </c>
      <c r="S1021" t="s">
        <v>1671</v>
      </c>
      <c r="U1021" t="s">
        <v>1979</v>
      </c>
      <c r="W1021" t="s">
        <v>212</v>
      </c>
      <c r="X1021">
        <v>670</v>
      </c>
      <c r="Y1021" t="s">
        <v>2006</v>
      </c>
      <c r="Z1021" t="s">
        <v>2012</v>
      </c>
      <c r="AB1021" t="s">
        <v>13775</v>
      </c>
      <c r="AC1021" t="s">
        <v>15103</v>
      </c>
      <c r="AE1021">
        <v>300</v>
      </c>
      <c r="AF1021" t="s">
        <v>2905</v>
      </c>
      <c r="AG1021" t="s">
        <v>1754</v>
      </c>
      <c r="AH1021">
        <v>-1</v>
      </c>
      <c r="AI1021">
        <v>1</v>
      </c>
      <c r="AJ1021">
        <v>0</v>
      </c>
      <c r="AK1021">
        <v>0</v>
      </c>
      <c r="AL1021" t="s">
        <v>2923</v>
      </c>
      <c r="AM1021" t="s">
        <v>2924</v>
      </c>
      <c r="AN1021" t="s">
        <v>2926</v>
      </c>
      <c r="AO1021" t="s">
        <v>13051</v>
      </c>
      <c r="AU1021">
        <v>8.1</v>
      </c>
      <c r="AV1021" t="s">
        <v>388</v>
      </c>
      <c r="AW1021" t="s">
        <v>3045</v>
      </c>
      <c r="AX1021" t="s">
        <v>18686</v>
      </c>
    </row>
    <row r="1022" spans="1:50">
      <c r="A1022" s="1" t="s">
        <v>62</v>
      </c>
      <c r="B1022" t="s">
        <v>164</v>
      </c>
      <c r="C1022" t="s">
        <v>4232</v>
      </c>
      <c r="D1022" t="s">
        <v>279</v>
      </c>
      <c r="E1022" t="s">
        <v>271</v>
      </c>
      <c r="F1022" t="s">
        <v>1002</v>
      </c>
      <c r="G1022" t="s">
        <v>8377</v>
      </c>
      <c r="H1022" t="s">
        <v>9569</v>
      </c>
      <c r="I1022" t="s">
        <v>1478</v>
      </c>
      <c r="J1022" t="s">
        <v>1644</v>
      </c>
      <c r="K1022">
        <v>11230</v>
      </c>
      <c r="L1022" t="s">
        <v>1670</v>
      </c>
      <c r="M1022" t="s">
        <v>1670</v>
      </c>
      <c r="O1022" t="s">
        <v>1937</v>
      </c>
      <c r="P1022" t="s">
        <v>1959</v>
      </c>
      <c r="Q1022" t="s">
        <v>1968</v>
      </c>
      <c r="R1022" t="s">
        <v>50</v>
      </c>
      <c r="S1022" t="s">
        <v>1670</v>
      </c>
      <c r="U1022" t="s">
        <v>1972</v>
      </c>
      <c r="W1022" t="s">
        <v>238</v>
      </c>
      <c r="X1022">
        <v>786.6</v>
      </c>
      <c r="Y1022" t="s">
        <v>2009</v>
      </c>
      <c r="AA1022" t="s">
        <v>2031</v>
      </c>
      <c r="AB1022" t="s">
        <v>13776</v>
      </c>
      <c r="AE1022">
        <v>66</v>
      </c>
      <c r="AF1022" t="s">
        <v>2902</v>
      </c>
      <c r="AH1022">
        <v>42</v>
      </c>
      <c r="AI1022">
        <v>2</v>
      </c>
      <c r="AJ1022">
        <v>0</v>
      </c>
      <c r="AK1022">
        <v>0</v>
      </c>
      <c r="AN1022" t="s">
        <v>2926</v>
      </c>
      <c r="AO1022" t="s">
        <v>13051</v>
      </c>
      <c r="AU1022">
        <v>0.55</v>
      </c>
      <c r="AV1022" t="s">
        <v>395</v>
      </c>
      <c r="AW1022" t="s">
        <v>69</v>
      </c>
    </row>
    <row r="1023" spans="1:50">
      <c r="A1023" s="1" t="s">
        <v>62</v>
      </c>
      <c r="B1023" t="s">
        <v>164</v>
      </c>
      <c r="C1023" t="s">
        <v>4233</v>
      </c>
      <c r="D1023" t="s">
        <v>279</v>
      </c>
      <c r="E1023" t="s">
        <v>271</v>
      </c>
      <c r="F1023" t="s">
        <v>7263</v>
      </c>
      <c r="G1023" t="s">
        <v>8378</v>
      </c>
      <c r="H1023" t="s">
        <v>9569</v>
      </c>
      <c r="I1023" t="s">
        <v>1558</v>
      </c>
      <c r="J1023" t="s">
        <v>1644</v>
      </c>
      <c r="K1023">
        <v>11230</v>
      </c>
      <c r="L1023" t="s">
        <v>1670</v>
      </c>
      <c r="M1023" t="s">
        <v>1672</v>
      </c>
      <c r="O1023" t="s">
        <v>1937</v>
      </c>
      <c r="P1023" t="s">
        <v>1959</v>
      </c>
      <c r="Q1023" t="s">
        <v>1968</v>
      </c>
      <c r="R1023" t="s">
        <v>50</v>
      </c>
      <c r="S1023" t="s">
        <v>1670</v>
      </c>
      <c r="U1023" t="s">
        <v>1972</v>
      </c>
      <c r="W1023" t="s">
        <v>238</v>
      </c>
      <c r="X1023">
        <v>1490</v>
      </c>
      <c r="Y1023" t="s">
        <v>2009</v>
      </c>
      <c r="AA1023" t="s">
        <v>2031</v>
      </c>
      <c r="AB1023" t="s">
        <v>13777</v>
      </c>
      <c r="AE1023">
        <v>66</v>
      </c>
      <c r="AF1023" t="s">
        <v>2904</v>
      </c>
      <c r="AH1023">
        <v>5</v>
      </c>
      <c r="AI1023">
        <v>4</v>
      </c>
      <c r="AJ1023">
        <v>0</v>
      </c>
      <c r="AK1023">
        <v>0</v>
      </c>
      <c r="AN1023" t="s">
        <v>2926</v>
      </c>
      <c r="AO1023" t="s">
        <v>13051</v>
      </c>
      <c r="AU1023">
        <v>0.55</v>
      </c>
      <c r="AV1023" t="s">
        <v>395</v>
      </c>
      <c r="AW1023" t="s">
        <v>69</v>
      </c>
    </row>
    <row r="1024" spans="1:50">
      <c r="A1024" s="1" t="s">
        <v>62</v>
      </c>
      <c r="B1024" t="s">
        <v>164</v>
      </c>
      <c r="C1024" t="s">
        <v>4234</v>
      </c>
      <c r="D1024" t="s">
        <v>279</v>
      </c>
      <c r="E1024" t="s">
        <v>271</v>
      </c>
      <c r="F1024" t="s">
        <v>7264</v>
      </c>
      <c r="G1024" t="s">
        <v>8379</v>
      </c>
      <c r="H1024" t="s">
        <v>9569</v>
      </c>
      <c r="I1024" t="s">
        <v>1544</v>
      </c>
      <c r="J1024" t="s">
        <v>1644</v>
      </c>
      <c r="K1024">
        <v>11230</v>
      </c>
      <c r="L1024" t="s">
        <v>1671</v>
      </c>
      <c r="M1024" t="s">
        <v>1671</v>
      </c>
      <c r="O1024" t="s">
        <v>1937</v>
      </c>
      <c r="P1024" t="s">
        <v>1959</v>
      </c>
      <c r="Q1024" t="s">
        <v>1968</v>
      </c>
      <c r="R1024" t="s">
        <v>50</v>
      </c>
      <c r="S1024" t="s">
        <v>1670</v>
      </c>
      <c r="U1024" t="s">
        <v>1972</v>
      </c>
      <c r="W1024" t="s">
        <v>238</v>
      </c>
      <c r="X1024">
        <v>1375</v>
      </c>
      <c r="Y1024" t="s">
        <v>2009</v>
      </c>
      <c r="AA1024" t="s">
        <v>2031</v>
      </c>
      <c r="AB1024" t="s">
        <v>2373</v>
      </c>
      <c r="AE1024" t="s">
        <v>13051</v>
      </c>
      <c r="AF1024" t="s">
        <v>2902</v>
      </c>
      <c r="AH1024">
        <v>10</v>
      </c>
      <c r="AI1024">
        <v>5</v>
      </c>
      <c r="AJ1024">
        <v>0</v>
      </c>
      <c r="AK1024">
        <v>0</v>
      </c>
      <c r="AN1024" t="s">
        <v>2926</v>
      </c>
      <c r="AO1024" t="s">
        <v>13051</v>
      </c>
      <c r="AU1024">
        <v>0.55</v>
      </c>
      <c r="AV1024" t="s">
        <v>395</v>
      </c>
      <c r="AW1024" t="s">
        <v>69</v>
      </c>
    </row>
    <row r="1025" spans="1:50">
      <c r="A1025" s="1" t="s">
        <v>104</v>
      </c>
      <c r="B1025" t="s">
        <v>164</v>
      </c>
      <c r="C1025" t="s">
        <v>4235</v>
      </c>
      <c r="D1025" t="s">
        <v>218</v>
      </c>
      <c r="E1025" t="s">
        <v>283</v>
      </c>
      <c r="F1025" t="s">
        <v>7265</v>
      </c>
      <c r="G1025" t="s">
        <v>8380</v>
      </c>
      <c r="H1025" t="s">
        <v>9798</v>
      </c>
      <c r="J1025" t="s">
        <v>1646</v>
      </c>
      <c r="K1025">
        <v>10301</v>
      </c>
      <c r="L1025" t="s">
        <v>1671</v>
      </c>
      <c r="M1025" t="s">
        <v>1671</v>
      </c>
      <c r="N1025" t="s">
        <v>1687</v>
      </c>
      <c r="O1025" t="s">
        <v>1675</v>
      </c>
      <c r="P1025" t="s">
        <v>1959</v>
      </c>
      <c r="Q1025" t="s">
        <v>1968</v>
      </c>
      <c r="R1025" t="s">
        <v>50</v>
      </c>
      <c r="S1025" t="s">
        <v>1671</v>
      </c>
      <c r="U1025" t="s">
        <v>1972</v>
      </c>
      <c r="V1025" t="s">
        <v>1984</v>
      </c>
      <c r="W1025" t="s">
        <v>218</v>
      </c>
      <c r="X1025">
        <v>875</v>
      </c>
      <c r="Y1025" t="s">
        <v>2010</v>
      </c>
      <c r="Z1025" t="s">
        <v>2015</v>
      </c>
      <c r="AA1025" t="s">
        <v>2029</v>
      </c>
      <c r="AB1025" t="s">
        <v>13778</v>
      </c>
      <c r="AE1025">
        <v>8</v>
      </c>
      <c r="AF1025" t="s">
        <v>2904</v>
      </c>
      <c r="AG1025" t="s">
        <v>1754</v>
      </c>
      <c r="AH1025">
        <v>4</v>
      </c>
      <c r="AI1025">
        <v>1</v>
      </c>
      <c r="AJ1025">
        <v>0</v>
      </c>
      <c r="AK1025">
        <v>0</v>
      </c>
      <c r="AN1025" t="s">
        <v>2926</v>
      </c>
      <c r="AO1025" t="s">
        <v>13051</v>
      </c>
      <c r="AU1025">
        <v>2</v>
      </c>
      <c r="AV1025" t="s">
        <v>395</v>
      </c>
      <c r="AW1025" t="s">
        <v>18664</v>
      </c>
    </row>
    <row r="1026" spans="1:50">
      <c r="A1026" s="1" t="s">
        <v>96</v>
      </c>
      <c r="B1026" t="s">
        <v>163</v>
      </c>
      <c r="C1026" t="s">
        <v>4236</v>
      </c>
      <c r="D1026" t="s">
        <v>390</v>
      </c>
      <c r="F1026" t="s">
        <v>7266</v>
      </c>
      <c r="G1026" t="s">
        <v>8381</v>
      </c>
      <c r="H1026" t="s">
        <v>9799</v>
      </c>
      <c r="I1026" t="s">
        <v>11158</v>
      </c>
      <c r="J1026" t="s">
        <v>11747</v>
      </c>
      <c r="K1026">
        <v>11238</v>
      </c>
      <c r="L1026" t="s">
        <v>1670</v>
      </c>
      <c r="M1026" t="s">
        <v>1672</v>
      </c>
      <c r="N1026" t="s">
        <v>12070</v>
      </c>
      <c r="O1026" t="s">
        <v>1938</v>
      </c>
      <c r="P1026" t="s">
        <v>1959</v>
      </c>
      <c r="R1026" t="s">
        <v>50</v>
      </c>
      <c r="S1026" t="s">
        <v>1670</v>
      </c>
      <c r="U1026" t="s">
        <v>1972</v>
      </c>
      <c r="V1026" t="s">
        <v>1984</v>
      </c>
      <c r="W1026" t="s">
        <v>390</v>
      </c>
      <c r="X1026" t="s">
        <v>13051</v>
      </c>
      <c r="Y1026" t="s">
        <v>2009</v>
      </c>
      <c r="Z1026" t="s">
        <v>2020</v>
      </c>
      <c r="AB1026" t="s">
        <v>13779</v>
      </c>
      <c r="AD1026" t="s">
        <v>16226</v>
      </c>
      <c r="AE1026">
        <v>29</v>
      </c>
      <c r="AF1026" t="s">
        <v>2902</v>
      </c>
      <c r="AH1026" t="s">
        <v>13051</v>
      </c>
      <c r="AI1026">
        <v>1</v>
      </c>
      <c r="AJ1026">
        <v>0</v>
      </c>
      <c r="AK1026">
        <v>0</v>
      </c>
      <c r="AN1026" t="s">
        <v>2926</v>
      </c>
      <c r="AO1026" t="s">
        <v>13051</v>
      </c>
      <c r="AU1026">
        <v>4</v>
      </c>
      <c r="AV1026" t="s">
        <v>337</v>
      </c>
      <c r="AW1026" t="s">
        <v>96</v>
      </c>
      <c r="AX1026" t="s">
        <v>18685</v>
      </c>
    </row>
    <row r="1027" spans="1:50">
      <c r="A1027" s="1" t="s">
        <v>96</v>
      </c>
      <c r="B1027" t="s">
        <v>163</v>
      </c>
      <c r="C1027" t="s">
        <v>4237</v>
      </c>
      <c r="D1027" t="s">
        <v>1999</v>
      </c>
      <c r="F1027" t="s">
        <v>7012</v>
      </c>
      <c r="G1027" t="s">
        <v>7973</v>
      </c>
      <c r="H1027" t="s">
        <v>9800</v>
      </c>
      <c r="I1027" t="s">
        <v>11035</v>
      </c>
      <c r="J1027" t="s">
        <v>1644</v>
      </c>
      <c r="K1027">
        <v>11238</v>
      </c>
      <c r="L1027" t="s">
        <v>1670</v>
      </c>
      <c r="M1027" t="s">
        <v>1672</v>
      </c>
      <c r="O1027" t="s">
        <v>1941</v>
      </c>
      <c r="P1027" t="s">
        <v>1959</v>
      </c>
      <c r="R1027" t="s">
        <v>50</v>
      </c>
      <c r="S1027" t="s">
        <v>1671</v>
      </c>
      <c r="U1027" t="s">
        <v>1972</v>
      </c>
      <c r="V1027" t="s">
        <v>1984</v>
      </c>
      <c r="W1027" t="s">
        <v>1999</v>
      </c>
      <c r="X1027">
        <v>608.28</v>
      </c>
      <c r="Y1027" t="s">
        <v>2009</v>
      </c>
      <c r="Z1027" t="s">
        <v>2020</v>
      </c>
      <c r="AB1027" t="s">
        <v>13780</v>
      </c>
      <c r="AD1027" t="s">
        <v>16227</v>
      </c>
      <c r="AE1027">
        <v>38</v>
      </c>
      <c r="AF1027" t="s">
        <v>2902</v>
      </c>
      <c r="AG1027" t="s">
        <v>2017</v>
      </c>
      <c r="AH1027">
        <v>30</v>
      </c>
      <c r="AI1027">
        <v>3</v>
      </c>
      <c r="AJ1027">
        <v>0</v>
      </c>
      <c r="AK1027">
        <v>0</v>
      </c>
      <c r="AN1027" t="s">
        <v>2926</v>
      </c>
      <c r="AO1027" t="s">
        <v>13051</v>
      </c>
      <c r="AU1027">
        <v>7.8</v>
      </c>
      <c r="AV1027" t="s">
        <v>337</v>
      </c>
      <c r="AW1027" t="s">
        <v>96</v>
      </c>
    </row>
    <row r="1028" spans="1:50">
      <c r="A1028" s="1" t="s">
        <v>69</v>
      </c>
      <c r="B1028" t="s">
        <v>163</v>
      </c>
      <c r="C1028" t="s">
        <v>4238</v>
      </c>
      <c r="D1028" t="s">
        <v>224</v>
      </c>
      <c r="F1028" t="s">
        <v>7267</v>
      </c>
      <c r="G1028" t="s">
        <v>1048</v>
      </c>
      <c r="H1028" t="s">
        <v>9801</v>
      </c>
      <c r="I1028" t="s">
        <v>1544</v>
      </c>
      <c r="J1028" t="s">
        <v>1644</v>
      </c>
      <c r="K1028">
        <v>11231</v>
      </c>
      <c r="L1028" t="s">
        <v>1671</v>
      </c>
      <c r="M1028" t="s">
        <v>1671</v>
      </c>
      <c r="P1028" t="s">
        <v>1959</v>
      </c>
      <c r="R1028" t="s">
        <v>50</v>
      </c>
      <c r="U1028" t="s">
        <v>1972</v>
      </c>
      <c r="W1028" t="s">
        <v>1990</v>
      </c>
      <c r="X1028" t="s">
        <v>13051</v>
      </c>
      <c r="Y1028" t="s">
        <v>2009</v>
      </c>
      <c r="AB1028" t="s">
        <v>13781</v>
      </c>
      <c r="AD1028" t="s">
        <v>16228</v>
      </c>
      <c r="AE1028" t="s">
        <v>13051</v>
      </c>
      <c r="AH1028" t="s">
        <v>13051</v>
      </c>
      <c r="AI1028">
        <v>2</v>
      </c>
      <c r="AJ1028">
        <v>0</v>
      </c>
      <c r="AK1028">
        <v>0</v>
      </c>
      <c r="AN1028" t="s">
        <v>2926</v>
      </c>
      <c r="AO1028" t="s">
        <v>13051</v>
      </c>
      <c r="AU1028">
        <v>2.8</v>
      </c>
      <c r="AV1028" t="s">
        <v>354</v>
      </c>
      <c r="AW1028" t="s">
        <v>69</v>
      </c>
    </row>
    <row r="1029" spans="1:50">
      <c r="A1029" s="1" t="s">
        <v>69</v>
      </c>
      <c r="B1029" t="s">
        <v>163</v>
      </c>
      <c r="C1029" t="s">
        <v>4239</v>
      </c>
      <c r="D1029" t="s">
        <v>167</v>
      </c>
      <c r="F1029" t="s">
        <v>7268</v>
      </c>
      <c r="G1029" t="s">
        <v>8382</v>
      </c>
      <c r="H1029" t="s">
        <v>9802</v>
      </c>
      <c r="J1029" t="s">
        <v>1644</v>
      </c>
      <c r="K1029">
        <v>11226</v>
      </c>
      <c r="L1029" t="s">
        <v>1670</v>
      </c>
      <c r="M1029" t="s">
        <v>1670</v>
      </c>
      <c r="O1029" t="s">
        <v>1937</v>
      </c>
      <c r="P1029" t="s">
        <v>1959</v>
      </c>
      <c r="R1029" t="s">
        <v>50</v>
      </c>
      <c r="U1029" t="s">
        <v>1972</v>
      </c>
      <c r="W1029" t="s">
        <v>167</v>
      </c>
      <c r="X1029" t="s">
        <v>13051</v>
      </c>
      <c r="Y1029" t="s">
        <v>2009</v>
      </c>
      <c r="AB1029" t="s">
        <v>13448</v>
      </c>
      <c r="AD1029" t="s">
        <v>16229</v>
      </c>
      <c r="AE1029" t="s">
        <v>13051</v>
      </c>
      <c r="AH1029" t="s">
        <v>13051</v>
      </c>
      <c r="AI1029">
        <v>2</v>
      </c>
      <c r="AJ1029">
        <v>0</v>
      </c>
      <c r="AK1029">
        <v>0</v>
      </c>
      <c r="AN1029" t="s">
        <v>2926</v>
      </c>
      <c r="AO1029" t="s">
        <v>13051</v>
      </c>
      <c r="AU1029">
        <v>4.5</v>
      </c>
      <c r="AV1029" t="s">
        <v>1995</v>
      </c>
      <c r="AW1029" t="s">
        <v>69</v>
      </c>
    </row>
    <row r="1030" spans="1:50">
      <c r="A1030" s="1" t="s">
        <v>69</v>
      </c>
      <c r="B1030" t="s">
        <v>163</v>
      </c>
      <c r="C1030" t="s">
        <v>4240</v>
      </c>
      <c r="D1030" t="s">
        <v>261</v>
      </c>
      <c r="F1030" t="s">
        <v>622</v>
      </c>
      <c r="G1030" t="s">
        <v>877</v>
      </c>
      <c r="H1030" t="s">
        <v>9803</v>
      </c>
      <c r="I1030" t="s">
        <v>11159</v>
      </c>
      <c r="J1030" t="s">
        <v>1644</v>
      </c>
      <c r="K1030">
        <v>11226</v>
      </c>
      <c r="L1030" t="s">
        <v>1670</v>
      </c>
      <c r="M1030" t="s">
        <v>1672</v>
      </c>
      <c r="O1030" t="s">
        <v>1945</v>
      </c>
      <c r="P1030" t="s">
        <v>1959</v>
      </c>
      <c r="R1030" t="s">
        <v>50</v>
      </c>
      <c r="U1030" t="s">
        <v>1972</v>
      </c>
      <c r="W1030" t="s">
        <v>261</v>
      </c>
      <c r="X1030" t="s">
        <v>13051</v>
      </c>
      <c r="Y1030" t="s">
        <v>2009</v>
      </c>
      <c r="Z1030" t="s">
        <v>2016</v>
      </c>
      <c r="AB1030" t="s">
        <v>13782</v>
      </c>
      <c r="AE1030" t="s">
        <v>13051</v>
      </c>
      <c r="AH1030" t="s">
        <v>13051</v>
      </c>
      <c r="AI1030">
        <v>2</v>
      </c>
      <c r="AJ1030">
        <v>0</v>
      </c>
      <c r="AK1030">
        <v>0</v>
      </c>
      <c r="AN1030" t="s">
        <v>2926</v>
      </c>
      <c r="AO1030" t="s">
        <v>13051</v>
      </c>
      <c r="AU1030">
        <v>1</v>
      </c>
      <c r="AV1030" t="s">
        <v>1995</v>
      </c>
      <c r="AW1030" t="s">
        <v>3074</v>
      </c>
    </row>
    <row r="1031" spans="1:50">
      <c r="A1031" s="1" t="s">
        <v>69</v>
      </c>
      <c r="B1031" t="s">
        <v>163</v>
      </c>
      <c r="C1031" t="s">
        <v>4241</v>
      </c>
      <c r="D1031" t="s">
        <v>261</v>
      </c>
      <c r="F1031" t="s">
        <v>7269</v>
      </c>
      <c r="G1031" t="s">
        <v>811</v>
      </c>
      <c r="H1031" t="s">
        <v>9803</v>
      </c>
      <c r="I1031" t="s">
        <v>11160</v>
      </c>
      <c r="J1031" t="s">
        <v>1644</v>
      </c>
      <c r="K1031">
        <v>11226</v>
      </c>
      <c r="L1031" t="s">
        <v>1670</v>
      </c>
      <c r="M1031" t="s">
        <v>1672</v>
      </c>
      <c r="O1031" t="s">
        <v>1945</v>
      </c>
      <c r="P1031" t="s">
        <v>1959</v>
      </c>
      <c r="R1031" t="s">
        <v>50</v>
      </c>
      <c r="U1031" t="s">
        <v>1972</v>
      </c>
      <c r="W1031" t="s">
        <v>261</v>
      </c>
      <c r="X1031" t="s">
        <v>13051</v>
      </c>
      <c r="Y1031" t="s">
        <v>2009</v>
      </c>
      <c r="Z1031" t="s">
        <v>2016</v>
      </c>
      <c r="AB1031" t="s">
        <v>13783</v>
      </c>
      <c r="AE1031" t="s">
        <v>13051</v>
      </c>
      <c r="AH1031" t="s">
        <v>13051</v>
      </c>
      <c r="AI1031">
        <v>3</v>
      </c>
      <c r="AJ1031">
        <v>0</v>
      </c>
      <c r="AK1031">
        <v>0</v>
      </c>
      <c r="AN1031" t="s">
        <v>2926</v>
      </c>
      <c r="AO1031" t="s">
        <v>13051</v>
      </c>
      <c r="AU1031">
        <v>0.7</v>
      </c>
      <c r="AV1031" t="s">
        <v>1995</v>
      </c>
      <c r="AW1031" t="s">
        <v>3074</v>
      </c>
    </row>
    <row r="1032" spans="1:50">
      <c r="A1032" s="1" t="s">
        <v>69</v>
      </c>
      <c r="B1032" t="s">
        <v>163</v>
      </c>
      <c r="C1032" t="s">
        <v>4242</v>
      </c>
      <c r="D1032" t="s">
        <v>240</v>
      </c>
      <c r="F1032" t="s">
        <v>7270</v>
      </c>
      <c r="G1032" t="s">
        <v>8383</v>
      </c>
      <c r="H1032" t="s">
        <v>9804</v>
      </c>
      <c r="I1032" t="s">
        <v>11037</v>
      </c>
      <c r="J1032" t="s">
        <v>1644</v>
      </c>
      <c r="K1032">
        <v>11226</v>
      </c>
      <c r="L1032" t="s">
        <v>1670</v>
      </c>
      <c r="M1032" t="s">
        <v>1670</v>
      </c>
      <c r="P1032" t="s">
        <v>1959</v>
      </c>
      <c r="R1032" t="s">
        <v>50</v>
      </c>
      <c r="S1032" t="s">
        <v>1671</v>
      </c>
      <c r="U1032" t="s">
        <v>1972</v>
      </c>
      <c r="W1032" t="s">
        <v>255</v>
      </c>
      <c r="X1032">
        <v>1290.86</v>
      </c>
      <c r="Y1032" t="s">
        <v>2009</v>
      </c>
      <c r="AB1032" t="s">
        <v>13784</v>
      </c>
      <c r="AE1032" t="s">
        <v>13051</v>
      </c>
      <c r="AH1032">
        <v>36</v>
      </c>
      <c r="AI1032">
        <v>1</v>
      </c>
      <c r="AJ1032">
        <v>0</v>
      </c>
      <c r="AK1032">
        <v>0</v>
      </c>
      <c r="AN1032" t="s">
        <v>2926</v>
      </c>
      <c r="AO1032" t="s">
        <v>13051</v>
      </c>
      <c r="AU1032">
        <v>4.9</v>
      </c>
      <c r="AV1032" t="s">
        <v>179</v>
      </c>
      <c r="AW1032" t="s">
        <v>158</v>
      </c>
    </row>
    <row r="1033" spans="1:50">
      <c r="A1033" s="1" t="s">
        <v>69</v>
      </c>
      <c r="B1033" t="s">
        <v>163</v>
      </c>
      <c r="C1033" t="s">
        <v>4243</v>
      </c>
      <c r="D1033" t="s">
        <v>322</v>
      </c>
      <c r="F1033" t="s">
        <v>7270</v>
      </c>
      <c r="G1033" t="s">
        <v>8384</v>
      </c>
      <c r="H1033" t="s">
        <v>9804</v>
      </c>
      <c r="I1033" t="s">
        <v>11065</v>
      </c>
      <c r="J1033" t="s">
        <v>1644</v>
      </c>
      <c r="K1033">
        <v>11226</v>
      </c>
      <c r="L1033" t="s">
        <v>1670</v>
      </c>
      <c r="M1033" t="s">
        <v>1670</v>
      </c>
      <c r="P1033" t="s">
        <v>1959</v>
      </c>
      <c r="R1033" t="s">
        <v>50</v>
      </c>
      <c r="U1033" t="s">
        <v>1972</v>
      </c>
      <c r="W1033" t="s">
        <v>322</v>
      </c>
      <c r="X1033">
        <v>1290.86</v>
      </c>
      <c r="Y1033" t="s">
        <v>2009</v>
      </c>
      <c r="AB1033" t="s">
        <v>13785</v>
      </c>
      <c r="AE1033" t="s">
        <v>13051</v>
      </c>
      <c r="AH1033" t="s">
        <v>13051</v>
      </c>
      <c r="AI1033">
        <v>1</v>
      </c>
      <c r="AJ1033">
        <v>0</v>
      </c>
      <c r="AK1033">
        <v>0</v>
      </c>
      <c r="AN1033" t="s">
        <v>2926</v>
      </c>
      <c r="AO1033" t="s">
        <v>13051</v>
      </c>
      <c r="AU1033">
        <v>6.9</v>
      </c>
      <c r="AV1033" t="s">
        <v>357</v>
      </c>
      <c r="AW1033" t="s">
        <v>69</v>
      </c>
    </row>
    <row r="1034" spans="1:50">
      <c r="A1034" s="1" t="s">
        <v>74</v>
      </c>
      <c r="B1034" t="s">
        <v>163</v>
      </c>
      <c r="C1034" t="s">
        <v>4244</v>
      </c>
      <c r="D1034" t="s">
        <v>328</v>
      </c>
      <c r="F1034" t="s">
        <v>647</v>
      </c>
      <c r="G1034" t="s">
        <v>8385</v>
      </c>
      <c r="H1034" t="s">
        <v>1131</v>
      </c>
      <c r="I1034" t="s">
        <v>1522</v>
      </c>
      <c r="J1034" t="s">
        <v>1641</v>
      </c>
      <c r="K1034">
        <v>10460</v>
      </c>
      <c r="L1034" t="s">
        <v>1670</v>
      </c>
      <c r="M1034" t="s">
        <v>1672</v>
      </c>
      <c r="N1034" t="s">
        <v>1691</v>
      </c>
      <c r="O1034" t="s">
        <v>1675</v>
      </c>
      <c r="P1034" t="s">
        <v>1959</v>
      </c>
      <c r="R1034" t="s">
        <v>50</v>
      </c>
      <c r="S1034" t="s">
        <v>1670</v>
      </c>
      <c r="U1034" t="s">
        <v>1972</v>
      </c>
      <c r="W1034" t="s">
        <v>1991</v>
      </c>
      <c r="X1034">
        <v>1100</v>
      </c>
      <c r="Y1034" t="s">
        <v>2006</v>
      </c>
      <c r="Z1034" t="s">
        <v>2020</v>
      </c>
      <c r="AB1034" t="s">
        <v>13786</v>
      </c>
      <c r="AD1034" t="s">
        <v>16230</v>
      </c>
      <c r="AE1034">
        <v>168</v>
      </c>
      <c r="AF1034" t="s">
        <v>2902</v>
      </c>
      <c r="AG1034" t="s">
        <v>2017</v>
      </c>
      <c r="AH1034">
        <v>4</v>
      </c>
      <c r="AI1034">
        <v>2</v>
      </c>
      <c r="AJ1034">
        <v>0</v>
      </c>
      <c r="AK1034">
        <v>0</v>
      </c>
      <c r="AN1034" t="s">
        <v>2926</v>
      </c>
      <c r="AO1034" t="s">
        <v>13051</v>
      </c>
      <c r="AU1034" t="s">
        <v>13051</v>
      </c>
      <c r="AW1034" t="s">
        <v>3046</v>
      </c>
      <c r="AX1034" t="s">
        <v>18685</v>
      </c>
    </row>
    <row r="1035" spans="1:50">
      <c r="A1035" s="1" t="s">
        <v>111</v>
      </c>
      <c r="B1035" t="s">
        <v>163</v>
      </c>
      <c r="C1035" t="s">
        <v>4245</v>
      </c>
      <c r="D1035" t="s">
        <v>246</v>
      </c>
      <c r="F1035" t="s">
        <v>7271</v>
      </c>
      <c r="G1035" t="s">
        <v>909</v>
      </c>
      <c r="H1035" t="s">
        <v>1260</v>
      </c>
      <c r="I1035" t="s">
        <v>1490</v>
      </c>
      <c r="J1035" t="s">
        <v>1641</v>
      </c>
      <c r="K1035">
        <v>10453</v>
      </c>
      <c r="L1035" t="s">
        <v>1670</v>
      </c>
      <c r="M1035" t="s">
        <v>1670</v>
      </c>
      <c r="O1035" t="s">
        <v>1675</v>
      </c>
      <c r="P1035" t="s">
        <v>1959</v>
      </c>
      <c r="R1035" t="s">
        <v>50</v>
      </c>
      <c r="S1035" t="s">
        <v>1671</v>
      </c>
      <c r="U1035" t="s">
        <v>1972</v>
      </c>
      <c r="W1035" t="s">
        <v>243</v>
      </c>
      <c r="X1035">
        <v>800</v>
      </c>
      <c r="Y1035" t="s">
        <v>2006</v>
      </c>
      <c r="Z1035" t="s">
        <v>2015</v>
      </c>
      <c r="AB1035" t="s">
        <v>13787</v>
      </c>
      <c r="AD1035" t="s">
        <v>16231</v>
      </c>
      <c r="AE1035">
        <v>44</v>
      </c>
      <c r="AF1035" t="s">
        <v>2902</v>
      </c>
      <c r="AG1035" t="s">
        <v>1754</v>
      </c>
      <c r="AH1035">
        <v>1</v>
      </c>
      <c r="AI1035">
        <v>2</v>
      </c>
      <c r="AJ1035">
        <v>0</v>
      </c>
      <c r="AK1035">
        <v>0</v>
      </c>
      <c r="AN1035" t="s">
        <v>2926</v>
      </c>
      <c r="AO1035" t="s">
        <v>13051</v>
      </c>
      <c r="AP1035" t="s">
        <v>18241</v>
      </c>
      <c r="AU1035" t="s">
        <v>13051</v>
      </c>
      <c r="AW1035" t="s">
        <v>3047</v>
      </c>
    </row>
    <row r="1036" spans="1:50">
      <c r="A1036" s="1" t="s">
        <v>118</v>
      </c>
      <c r="B1036" t="s">
        <v>163</v>
      </c>
      <c r="C1036" t="s">
        <v>4246</v>
      </c>
      <c r="D1036" t="s">
        <v>193</v>
      </c>
      <c r="F1036" t="s">
        <v>741</v>
      </c>
      <c r="G1036" t="s">
        <v>8386</v>
      </c>
      <c r="H1036" t="s">
        <v>9805</v>
      </c>
      <c r="I1036" t="s">
        <v>11161</v>
      </c>
      <c r="J1036" t="s">
        <v>1641</v>
      </c>
      <c r="K1036">
        <v>10452</v>
      </c>
      <c r="L1036" t="s">
        <v>1670</v>
      </c>
      <c r="M1036" t="s">
        <v>1670</v>
      </c>
      <c r="O1036" t="s">
        <v>1675</v>
      </c>
      <c r="P1036" t="s">
        <v>1959</v>
      </c>
      <c r="R1036" t="s">
        <v>50</v>
      </c>
      <c r="S1036" t="s">
        <v>1670</v>
      </c>
      <c r="U1036" t="s">
        <v>1972</v>
      </c>
      <c r="W1036" t="s">
        <v>1991</v>
      </c>
      <c r="X1036">
        <v>858.6900000000001</v>
      </c>
      <c r="Y1036" t="s">
        <v>2006</v>
      </c>
      <c r="Z1036" t="s">
        <v>2015</v>
      </c>
      <c r="AD1036" t="s">
        <v>16232</v>
      </c>
      <c r="AE1036">
        <v>60</v>
      </c>
      <c r="AF1036" t="s">
        <v>2902</v>
      </c>
      <c r="AG1036" t="s">
        <v>2915</v>
      </c>
      <c r="AH1036">
        <v>20</v>
      </c>
      <c r="AI1036">
        <v>1</v>
      </c>
      <c r="AJ1036">
        <v>0</v>
      </c>
      <c r="AK1036">
        <v>0</v>
      </c>
      <c r="AN1036" t="s">
        <v>2927</v>
      </c>
      <c r="AO1036" t="s">
        <v>13051</v>
      </c>
      <c r="AU1036" t="s">
        <v>13051</v>
      </c>
      <c r="AW1036" t="s">
        <v>3046</v>
      </c>
      <c r="AX1036" t="s">
        <v>18685</v>
      </c>
    </row>
    <row r="1037" spans="1:50">
      <c r="A1037" s="1" t="s">
        <v>135</v>
      </c>
      <c r="B1037" t="s">
        <v>164</v>
      </c>
      <c r="C1037" t="s">
        <v>4247</v>
      </c>
      <c r="D1037" t="s">
        <v>384</v>
      </c>
      <c r="E1037" t="s">
        <v>361</v>
      </c>
      <c r="F1037" t="s">
        <v>7217</v>
      </c>
      <c r="G1037" t="s">
        <v>1002</v>
      </c>
      <c r="H1037" t="s">
        <v>9632</v>
      </c>
      <c r="I1037" t="s">
        <v>1528</v>
      </c>
      <c r="J1037" t="s">
        <v>1644</v>
      </c>
      <c r="K1037">
        <v>11212</v>
      </c>
      <c r="L1037" t="s">
        <v>1670</v>
      </c>
      <c r="M1037" t="s">
        <v>1670</v>
      </c>
      <c r="N1037" t="s">
        <v>1693</v>
      </c>
      <c r="O1037" t="s">
        <v>1938</v>
      </c>
      <c r="P1037" t="s">
        <v>1961</v>
      </c>
      <c r="Q1037" t="s">
        <v>1965</v>
      </c>
      <c r="R1037" t="s">
        <v>50</v>
      </c>
      <c r="S1037" t="s">
        <v>1670</v>
      </c>
      <c r="U1037" t="s">
        <v>1972</v>
      </c>
      <c r="V1037" t="s">
        <v>1984</v>
      </c>
      <c r="W1037" t="s">
        <v>253</v>
      </c>
      <c r="X1037">
        <v>900</v>
      </c>
      <c r="Y1037" t="s">
        <v>2009</v>
      </c>
      <c r="Z1037" t="s">
        <v>2015</v>
      </c>
      <c r="AA1037" t="s">
        <v>2029</v>
      </c>
      <c r="AB1037" t="s">
        <v>2223</v>
      </c>
      <c r="AE1037">
        <v>38</v>
      </c>
      <c r="AF1037" t="s">
        <v>2902</v>
      </c>
      <c r="AG1037" t="s">
        <v>1754</v>
      </c>
      <c r="AH1037">
        <v>25</v>
      </c>
      <c r="AI1037">
        <v>1</v>
      </c>
      <c r="AJ1037">
        <v>0</v>
      </c>
      <c r="AK1037">
        <v>0</v>
      </c>
      <c r="AN1037" t="s">
        <v>2926</v>
      </c>
      <c r="AO1037" t="s">
        <v>13051</v>
      </c>
      <c r="AU1037">
        <v>0.1</v>
      </c>
      <c r="AV1037" t="s">
        <v>361</v>
      </c>
      <c r="AW1037" t="s">
        <v>3059</v>
      </c>
      <c r="AX1037" t="s">
        <v>1754</v>
      </c>
    </row>
    <row r="1038" spans="1:50">
      <c r="A1038" s="1" t="s">
        <v>3172</v>
      </c>
      <c r="B1038" t="s">
        <v>163</v>
      </c>
      <c r="C1038" t="s">
        <v>4248</v>
      </c>
      <c r="D1038" t="s">
        <v>222</v>
      </c>
      <c r="F1038" t="s">
        <v>427</v>
      </c>
      <c r="G1038" t="s">
        <v>8387</v>
      </c>
      <c r="H1038" t="s">
        <v>9806</v>
      </c>
      <c r="I1038" t="s">
        <v>1601</v>
      </c>
      <c r="J1038" t="s">
        <v>1668</v>
      </c>
      <c r="K1038">
        <v>11354</v>
      </c>
      <c r="L1038" t="s">
        <v>1670</v>
      </c>
      <c r="M1038" t="s">
        <v>1672</v>
      </c>
      <c r="N1038" t="s">
        <v>11976</v>
      </c>
      <c r="O1038" t="s">
        <v>1938</v>
      </c>
      <c r="P1038" t="s">
        <v>1961</v>
      </c>
      <c r="R1038" t="s">
        <v>50</v>
      </c>
      <c r="S1038" t="s">
        <v>1670</v>
      </c>
      <c r="U1038" t="s">
        <v>1972</v>
      </c>
      <c r="V1038" t="s">
        <v>1984</v>
      </c>
      <c r="W1038" t="s">
        <v>222</v>
      </c>
      <c r="X1038">
        <v>1000</v>
      </c>
      <c r="Y1038" t="s">
        <v>2007</v>
      </c>
      <c r="Z1038" t="s">
        <v>2026</v>
      </c>
      <c r="AB1038" t="s">
        <v>13788</v>
      </c>
      <c r="AC1038" t="s">
        <v>15077</v>
      </c>
      <c r="AD1038" t="s">
        <v>15077</v>
      </c>
      <c r="AE1038">
        <v>91</v>
      </c>
      <c r="AF1038" t="s">
        <v>2902</v>
      </c>
      <c r="AG1038" t="s">
        <v>1754</v>
      </c>
      <c r="AH1038">
        <v>26</v>
      </c>
      <c r="AI1038">
        <v>2</v>
      </c>
      <c r="AJ1038">
        <v>0</v>
      </c>
      <c r="AK1038">
        <v>0</v>
      </c>
      <c r="AN1038" t="s">
        <v>2927</v>
      </c>
      <c r="AO1038" t="s">
        <v>13051</v>
      </c>
      <c r="AU1038">
        <v>0.15</v>
      </c>
      <c r="AV1038" t="s">
        <v>222</v>
      </c>
      <c r="AW1038" t="s">
        <v>3172</v>
      </c>
      <c r="AX1038" t="s">
        <v>18685</v>
      </c>
    </row>
    <row r="1039" spans="1:50">
      <c r="A1039" s="1" t="s">
        <v>82</v>
      </c>
      <c r="B1039" t="s">
        <v>163</v>
      </c>
      <c r="C1039" t="s">
        <v>4249</v>
      </c>
      <c r="D1039" t="s">
        <v>294</v>
      </c>
      <c r="F1039" t="s">
        <v>7253</v>
      </c>
      <c r="G1039" t="s">
        <v>8366</v>
      </c>
      <c r="H1039" t="s">
        <v>1144</v>
      </c>
      <c r="I1039" t="s">
        <v>11151</v>
      </c>
      <c r="J1039" t="s">
        <v>1644</v>
      </c>
      <c r="K1039">
        <v>11233</v>
      </c>
      <c r="L1039" t="s">
        <v>1670</v>
      </c>
      <c r="M1039" t="s">
        <v>1671</v>
      </c>
      <c r="O1039" t="s">
        <v>1938</v>
      </c>
      <c r="P1039" t="s">
        <v>1961</v>
      </c>
      <c r="R1039" t="s">
        <v>50</v>
      </c>
      <c r="S1039" t="s">
        <v>1670</v>
      </c>
      <c r="U1039" t="s">
        <v>1972</v>
      </c>
      <c r="V1039" t="s">
        <v>1984</v>
      </c>
      <c r="W1039" t="s">
        <v>248</v>
      </c>
      <c r="X1039">
        <v>505</v>
      </c>
      <c r="Y1039" t="s">
        <v>2009</v>
      </c>
      <c r="AB1039" t="s">
        <v>13758</v>
      </c>
      <c r="AE1039">
        <v>359</v>
      </c>
      <c r="AF1039" t="s">
        <v>2902</v>
      </c>
      <c r="AH1039">
        <v>40</v>
      </c>
      <c r="AI1039">
        <v>1</v>
      </c>
      <c r="AJ1039">
        <v>0</v>
      </c>
      <c r="AK1039">
        <v>0</v>
      </c>
      <c r="AN1039" t="s">
        <v>2926</v>
      </c>
      <c r="AO1039" t="s">
        <v>13051</v>
      </c>
      <c r="AP1039" t="s">
        <v>18076</v>
      </c>
      <c r="AU1039" t="s">
        <v>13051</v>
      </c>
      <c r="AW1039" t="s">
        <v>3060</v>
      </c>
    </row>
    <row r="1040" spans="1:50">
      <c r="A1040" s="1" t="s">
        <v>82</v>
      </c>
      <c r="B1040" t="s">
        <v>163</v>
      </c>
      <c r="C1040" t="s">
        <v>4250</v>
      </c>
      <c r="D1040" t="s">
        <v>294</v>
      </c>
      <c r="F1040" t="s">
        <v>7254</v>
      </c>
      <c r="G1040" t="s">
        <v>7652</v>
      </c>
      <c r="H1040" t="s">
        <v>1144</v>
      </c>
      <c r="I1040" t="s">
        <v>1637</v>
      </c>
      <c r="J1040" t="s">
        <v>1644</v>
      </c>
      <c r="K1040">
        <v>11233</v>
      </c>
      <c r="L1040" t="s">
        <v>1670</v>
      </c>
      <c r="M1040" t="s">
        <v>1671</v>
      </c>
      <c r="N1040" t="s">
        <v>1691</v>
      </c>
      <c r="O1040" t="s">
        <v>1938</v>
      </c>
      <c r="P1040" t="s">
        <v>1961</v>
      </c>
      <c r="R1040" t="s">
        <v>50</v>
      </c>
      <c r="S1040" t="s">
        <v>1670</v>
      </c>
      <c r="U1040" t="s">
        <v>1972</v>
      </c>
      <c r="V1040" t="s">
        <v>1984</v>
      </c>
      <c r="W1040" t="s">
        <v>248</v>
      </c>
      <c r="X1040" t="s">
        <v>13051</v>
      </c>
      <c r="Y1040" t="s">
        <v>2009</v>
      </c>
      <c r="AB1040" t="s">
        <v>13759</v>
      </c>
      <c r="AE1040">
        <v>359</v>
      </c>
      <c r="AF1040" t="s">
        <v>2902</v>
      </c>
      <c r="AH1040">
        <v>14</v>
      </c>
      <c r="AI1040">
        <v>1</v>
      </c>
      <c r="AJ1040">
        <v>0</v>
      </c>
      <c r="AK1040">
        <v>0</v>
      </c>
      <c r="AN1040" t="s">
        <v>2926</v>
      </c>
      <c r="AO1040" t="s">
        <v>13051</v>
      </c>
      <c r="AP1040" t="s">
        <v>18076</v>
      </c>
      <c r="AU1040" t="s">
        <v>13051</v>
      </c>
      <c r="AW1040" t="s">
        <v>3060</v>
      </c>
    </row>
    <row r="1041" spans="1:50">
      <c r="A1041" s="1" t="s">
        <v>82</v>
      </c>
      <c r="B1041" t="s">
        <v>163</v>
      </c>
      <c r="C1041" t="s">
        <v>4251</v>
      </c>
      <c r="D1041" t="s">
        <v>186</v>
      </c>
      <c r="F1041" t="s">
        <v>7255</v>
      </c>
      <c r="G1041" t="s">
        <v>8367</v>
      </c>
      <c r="H1041" t="s">
        <v>9420</v>
      </c>
      <c r="I1041" t="s">
        <v>11152</v>
      </c>
      <c r="J1041" t="s">
        <v>1644</v>
      </c>
      <c r="K1041">
        <v>11233</v>
      </c>
      <c r="L1041" t="s">
        <v>1670</v>
      </c>
      <c r="M1041" t="s">
        <v>1671</v>
      </c>
      <c r="O1041" t="s">
        <v>1938</v>
      </c>
      <c r="P1041" t="s">
        <v>1961</v>
      </c>
      <c r="R1041" t="s">
        <v>50</v>
      </c>
      <c r="S1041" t="s">
        <v>1670</v>
      </c>
      <c r="U1041" t="s">
        <v>1972</v>
      </c>
      <c r="V1041" t="s">
        <v>1984</v>
      </c>
      <c r="W1041" t="s">
        <v>248</v>
      </c>
      <c r="X1041">
        <v>1294.06</v>
      </c>
      <c r="Y1041" t="s">
        <v>2009</v>
      </c>
      <c r="Z1041" t="s">
        <v>2017</v>
      </c>
      <c r="AE1041">
        <v>359</v>
      </c>
      <c r="AF1041" t="s">
        <v>2902</v>
      </c>
      <c r="AG1041" t="s">
        <v>1754</v>
      </c>
      <c r="AH1041">
        <v>27</v>
      </c>
      <c r="AI1041">
        <v>1</v>
      </c>
      <c r="AJ1041">
        <v>0</v>
      </c>
      <c r="AK1041">
        <v>0</v>
      </c>
      <c r="AN1041" t="s">
        <v>2926</v>
      </c>
      <c r="AO1041" t="s">
        <v>13051</v>
      </c>
      <c r="AP1041" t="s">
        <v>18071</v>
      </c>
      <c r="AU1041" t="s">
        <v>13051</v>
      </c>
      <c r="AW1041" t="s">
        <v>3059</v>
      </c>
    </row>
    <row r="1042" spans="1:50">
      <c r="A1042" s="1" t="s">
        <v>82</v>
      </c>
      <c r="B1042" t="s">
        <v>163</v>
      </c>
      <c r="C1042" t="s">
        <v>4252</v>
      </c>
      <c r="D1042" t="s">
        <v>186</v>
      </c>
      <c r="F1042" t="s">
        <v>6796</v>
      </c>
      <c r="G1042" t="s">
        <v>1002</v>
      </c>
      <c r="H1042" t="s">
        <v>9420</v>
      </c>
      <c r="I1042" t="s">
        <v>1510</v>
      </c>
      <c r="J1042" t="s">
        <v>1644</v>
      </c>
      <c r="K1042">
        <v>11233</v>
      </c>
      <c r="L1042" t="s">
        <v>1670</v>
      </c>
      <c r="M1042" t="s">
        <v>1671</v>
      </c>
      <c r="O1042" t="s">
        <v>1938</v>
      </c>
      <c r="P1042" t="s">
        <v>1961</v>
      </c>
      <c r="R1042" t="s">
        <v>50</v>
      </c>
      <c r="S1042" t="s">
        <v>1670</v>
      </c>
      <c r="U1042" t="s">
        <v>1972</v>
      </c>
      <c r="V1042" t="s">
        <v>1984</v>
      </c>
      <c r="W1042" t="s">
        <v>248</v>
      </c>
      <c r="X1042">
        <v>1014</v>
      </c>
      <c r="Y1042" t="s">
        <v>2009</v>
      </c>
      <c r="Z1042" t="s">
        <v>2017</v>
      </c>
      <c r="AB1042" t="s">
        <v>13760</v>
      </c>
      <c r="AE1042">
        <v>359</v>
      </c>
      <c r="AF1042" t="s">
        <v>2902</v>
      </c>
      <c r="AH1042">
        <v>30</v>
      </c>
      <c r="AI1042">
        <v>1</v>
      </c>
      <c r="AJ1042">
        <v>0</v>
      </c>
      <c r="AK1042">
        <v>0</v>
      </c>
      <c r="AN1042" t="s">
        <v>2926</v>
      </c>
      <c r="AO1042" t="s">
        <v>13051</v>
      </c>
      <c r="AP1042" t="s">
        <v>18242</v>
      </c>
      <c r="AU1042" t="s">
        <v>13051</v>
      </c>
      <c r="AW1042" t="s">
        <v>3059</v>
      </c>
    </row>
    <row r="1043" spans="1:50">
      <c r="A1043" s="1" t="s">
        <v>82</v>
      </c>
      <c r="B1043" t="s">
        <v>163</v>
      </c>
      <c r="C1043" t="s">
        <v>4253</v>
      </c>
      <c r="D1043" t="s">
        <v>186</v>
      </c>
      <c r="F1043" t="s">
        <v>7256</v>
      </c>
      <c r="G1043" t="s">
        <v>8368</v>
      </c>
      <c r="H1043" t="s">
        <v>9482</v>
      </c>
      <c r="I1043" t="s">
        <v>11153</v>
      </c>
      <c r="J1043" t="s">
        <v>1644</v>
      </c>
      <c r="K1043">
        <v>11233</v>
      </c>
      <c r="L1043" t="s">
        <v>1670</v>
      </c>
      <c r="M1043" t="s">
        <v>1671</v>
      </c>
      <c r="O1043" t="s">
        <v>1938</v>
      </c>
      <c r="P1043" t="s">
        <v>1961</v>
      </c>
      <c r="R1043" t="s">
        <v>50</v>
      </c>
      <c r="S1043" t="s">
        <v>1670</v>
      </c>
      <c r="U1043" t="s">
        <v>1972</v>
      </c>
      <c r="V1043" t="s">
        <v>1984</v>
      </c>
      <c r="W1043" t="s">
        <v>248</v>
      </c>
      <c r="X1043" t="s">
        <v>13051</v>
      </c>
      <c r="Y1043" t="s">
        <v>2009</v>
      </c>
      <c r="Z1043" t="s">
        <v>2017</v>
      </c>
      <c r="AB1043" t="s">
        <v>13761</v>
      </c>
      <c r="AE1043">
        <v>359</v>
      </c>
      <c r="AF1043" t="s">
        <v>2902</v>
      </c>
      <c r="AH1043">
        <v>20</v>
      </c>
      <c r="AI1043">
        <v>1</v>
      </c>
      <c r="AJ1043">
        <v>0</v>
      </c>
      <c r="AK1043">
        <v>0</v>
      </c>
      <c r="AN1043" t="s">
        <v>2926</v>
      </c>
      <c r="AO1043" t="s">
        <v>13051</v>
      </c>
      <c r="AP1043" t="s">
        <v>18071</v>
      </c>
      <c r="AU1043" t="s">
        <v>13051</v>
      </c>
      <c r="AW1043" t="s">
        <v>3059</v>
      </c>
    </row>
    <row r="1044" spans="1:50">
      <c r="A1044" s="1" t="s">
        <v>82</v>
      </c>
      <c r="B1044" t="s">
        <v>163</v>
      </c>
      <c r="C1044" t="s">
        <v>4254</v>
      </c>
      <c r="D1044" t="s">
        <v>269</v>
      </c>
      <c r="F1044" t="s">
        <v>702</v>
      </c>
      <c r="G1044" t="s">
        <v>8255</v>
      </c>
      <c r="H1044" t="s">
        <v>9420</v>
      </c>
      <c r="I1044" t="s">
        <v>11154</v>
      </c>
      <c r="J1044" t="s">
        <v>1644</v>
      </c>
      <c r="K1044">
        <v>11233</v>
      </c>
      <c r="L1044" t="s">
        <v>1670</v>
      </c>
      <c r="M1044" t="s">
        <v>1671</v>
      </c>
      <c r="O1044" t="s">
        <v>1938</v>
      </c>
      <c r="P1044" t="s">
        <v>1961</v>
      </c>
      <c r="R1044" t="s">
        <v>50</v>
      </c>
      <c r="S1044" t="s">
        <v>1670</v>
      </c>
      <c r="U1044" t="s">
        <v>1972</v>
      </c>
      <c r="V1044" t="s">
        <v>1984</v>
      </c>
      <c r="W1044" t="s">
        <v>248</v>
      </c>
      <c r="X1044">
        <v>976.08</v>
      </c>
      <c r="Y1044" t="s">
        <v>2009</v>
      </c>
      <c r="Z1044" t="s">
        <v>2025</v>
      </c>
      <c r="AB1044" t="s">
        <v>13762</v>
      </c>
      <c r="AE1044">
        <v>359</v>
      </c>
      <c r="AF1044" t="s">
        <v>2902</v>
      </c>
      <c r="AH1044" t="s">
        <v>13051</v>
      </c>
      <c r="AI1044">
        <v>1</v>
      </c>
      <c r="AJ1044">
        <v>0</v>
      </c>
      <c r="AK1044">
        <v>0</v>
      </c>
      <c r="AN1044" t="s">
        <v>2926</v>
      </c>
      <c r="AO1044" t="s">
        <v>13051</v>
      </c>
      <c r="AP1044" t="s">
        <v>18094</v>
      </c>
      <c r="AU1044" t="s">
        <v>13051</v>
      </c>
      <c r="AW1044" t="s">
        <v>3060</v>
      </c>
    </row>
    <row r="1045" spans="1:50">
      <c r="A1045" s="1" t="s">
        <v>82</v>
      </c>
      <c r="B1045" t="s">
        <v>163</v>
      </c>
      <c r="C1045" t="s">
        <v>4255</v>
      </c>
      <c r="D1045" t="s">
        <v>179</v>
      </c>
      <c r="F1045" t="s">
        <v>588</v>
      </c>
      <c r="G1045" t="s">
        <v>8369</v>
      </c>
      <c r="H1045" t="s">
        <v>1144</v>
      </c>
      <c r="I1045" t="s">
        <v>11032</v>
      </c>
      <c r="J1045" t="s">
        <v>1644</v>
      </c>
      <c r="K1045">
        <v>11233</v>
      </c>
      <c r="L1045" t="s">
        <v>1670</v>
      </c>
      <c r="M1045" t="s">
        <v>1672</v>
      </c>
      <c r="N1045" t="s">
        <v>1754</v>
      </c>
      <c r="O1045" t="s">
        <v>1938</v>
      </c>
      <c r="P1045" t="s">
        <v>1961</v>
      </c>
      <c r="R1045" t="s">
        <v>50</v>
      </c>
      <c r="S1045" t="s">
        <v>1670</v>
      </c>
      <c r="U1045" t="s">
        <v>1972</v>
      </c>
      <c r="V1045" t="s">
        <v>1984</v>
      </c>
      <c r="W1045" t="s">
        <v>248</v>
      </c>
      <c r="X1045">
        <v>840</v>
      </c>
      <c r="Y1045" t="s">
        <v>2009</v>
      </c>
      <c r="Z1045" t="s">
        <v>2017</v>
      </c>
      <c r="AB1045" t="s">
        <v>13763</v>
      </c>
      <c r="AE1045">
        <v>359</v>
      </c>
      <c r="AF1045" t="s">
        <v>2902</v>
      </c>
      <c r="AH1045">
        <v>9</v>
      </c>
      <c r="AI1045">
        <v>1</v>
      </c>
      <c r="AJ1045">
        <v>0</v>
      </c>
      <c r="AK1045">
        <v>0</v>
      </c>
      <c r="AN1045" t="s">
        <v>2926</v>
      </c>
      <c r="AO1045" t="s">
        <v>13051</v>
      </c>
      <c r="AP1045" t="s">
        <v>18071</v>
      </c>
      <c r="AU1045" t="s">
        <v>13051</v>
      </c>
      <c r="AW1045" t="s">
        <v>3059</v>
      </c>
      <c r="AX1045" t="s">
        <v>1754</v>
      </c>
    </row>
    <row r="1046" spans="1:50">
      <c r="A1046" s="1" t="s">
        <v>82</v>
      </c>
      <c r="B1046" t="s">
        <v>163</v>
      </c>
      <c r="C1046" t="s">
        <v>4256</v>
      </c>
      <c r="D1046" t="s">
        <v>179</v>
      </c>
      <c r="F1046" t="s">
        <v>563</v>
      </c>
      <c r="G1046" t="s">
        <v>7511</v>
      </c>
      <c r="H1046" t="s">
        <v>1144</v>
      </c>
      <c r="I1046" t="s">
        <v>11155</v>
      </c>
      <c r="J1046" t="s">
        <v>1644</v>
      </c>
      <c r="K1046">
        <v>11233</v>
      </c>
      <c r="L1046" t="s">
        <v>1670</v>
      </c>
      <c r="M1046" t="s">
        <v>1672</v>
      </c>
      <c r="N1046" t="s">
        <v>1754</v>
      </c>
      <c r="O1046" t="s">
        <v>1938</v>
      </c>
      <c r="P1046" t="s">
        <v>1961</v>
      </c>
      <c r="R1046" t="s">
        <v>50</v>
      </c>
      <c r="S1046" t="s">
        <v>1670</v>
      </c>
      <c r="U1046" t="s">
        <v>1972</v>
      </c>
      <c r="V1046" t="s">
        <v>1984</v>
      </c>
      <c r="W1046" t="s">
        <v>248</v>
      </c>
      <c r="X1046">
        <v>1126</v>
      </c>
      <c r="Y1046" t="s">
        <v>2009</v>
      </c>
      <c r="Z1046" t="s">
        <v>2017</v>
      </c>
      <c r="AB1046" t="s">
        <v>13764</v>
      </c>
      <c r="AE1046">
        <v>359</v>
      </c>
      <c r="AF1046" t="s">
        <v>2902</v>
      </c>
      <c r="AH1046">
        <v>45</v>
      </c>
      <c r="AI1046">
        <v>1</v>
      </c>
      <c r="AJ1046">
        <v>0</v>
      </c>
      <c r="AK1046">
        <v>0</v>
      </c>
      <c r="AN1046" t="s">
        <v>2926</v>
      </c>
      <c r="AO1046" t="s">
        <v>13051</v>
      </c>
      <c r="AP1046" t="s">
        <v>18071</v>
      </c>
      <c r="AU1046" t="s">
        <v>13051</v>
      </c>
      <c r="AW1046" t="s">
        <v>3059</v>
      </c>
      <c r="AX1046" t="s">
        <v>1754</v>
      </c>
    </row>
    <row r="1047" spans="1:50">
      <c r="A1047" s="1" t="s">
        <v>96</v>
      </c>
      <c r="B1047" t="s">
        <v>163</v>
      </c>
      <c r="C1047" t="s">
        <v>4257</v>
      </c>
      <c r="D1047" t="s">
        <v>341</v>
      </c>
      <c r="F1047" t="s">
        <v>526</v>
      </c>
      <c r="G1047" t="s">
        <v>8388</v>
      </c>
      <c r="H1047" t="s">
        <v>9428</v>
      </c>
      <c r="I1047" t="s">
        <v>1506</v>
      </c>
      <c r="J1047" t="s">
        <v>1644</v>
      </c>
      <c r="K1047">
        <v>11226</v>
      </c>
      <c r="L1047" t="s">
        <v>1671</v>
      </c>
      <c r="M1047" t="s">
        <v>1670</v>
      </c>
      <c r="N1047" t="s">
        <v>12071</v>
      </c>
      <c r="O1047" t="s">
        <v>1938</v>
      </c>
      <c r="P1047" t="s">
        <v>1961</v>
      </c>
      <c r="R1047" t="s">
        <v>50</v>
      </c>
      <c r="S1047" t="s">
        <v>1670</v>
      </c>
      <c r="U1047" t="s">
        <v>1972</v>
      </c>
      <c r="V1047" t="s">
        <v>1984</v>
      </c>
      <c r="W1047" t="s">
        <v>341</v>
      </c>
      <c r="X1047">
        <v>966.09</v>
      </c>
      <c r="Y1047" t="s">
        <v>2009</v>
      </c>
      <c r="Z1047" t="s">
        <v>2016</v>
      </c>
      <c r="AB1047" t="s">
        <v>13789</v>
      </c>
      <c r="AE1047">
        <v>43</v>
      </c>
      <c r="AF1047" t="s">
        <v>2902</v>
      </c>
      <c r="AH1047">
        <v>17</v>
      </c>
      <c r="AI1047">
        <v>2</v>
      </c>
      <c r="AJ1047">
        <v>0</v>
      </c>
      <c r="AK1047">
        <v>0</v>
      </c>
      <c r="AN1047" t="s">
        <v>2926</v>
      </c>
      <c r="AO1047" t="s">
        <v>13051</v>
      </c>
      <c r="AQ1047" t="s">
        <v>2976</v>
      </c>
      <c r="AU1047">
        <v>0.2</v>
      </c>
      <c r="AV1047" t="s">
        <v>404</v>
      </c>
      <c r="AW1047" t="s">
        <v>158</v>
      </c>
    </row>
    <row r="1048" spans="1:50">
      <c r="A1048" s="1" t="s">
        <v>125</v>
      </c>
      <c r="B1048" t="s">
        <v>163</v>
      </c>
      <c r="C1048" t="s">
        <v>4258</v>
      </c>
      <c r="D1048" t="s">
        <v>313</v>
      </c>
      <c r="F1048" t="s">
        <v>526</v>
      </c>
      <c r="G1048" t="s">
        <v>8388</v>
      </c>
      <c r="H1048" t="s">
        <v>9428</v>
      </c>
      <c r="I1048" t="s">
        <v>1506</v>
      </c>
      <c r="J1048" t="s">
        <v>1644</v>
      </c>
      <c r="K1048">
        <v>11226</v>
      </c>
      <c r="L1048" t="s">
        <v>1671</v>
      </c>
      <c r="M1048" t="s">
        <v>1670</v>
      </c>
      <c r="O1048" t="s">
        <v>1938</v>
      </c>
      <c r="P1048" t="s">
        <v>1961</v>
      </c>
      <c r="R1048" t="s">
        <v>50</v>
      </c>
      <c r="U1048" t="s">
        <v>1972</v>
      </c>
      <c r="W1048" t="s">
        <v>307</v>
      </c>
      <c r="X1048">
        <v>966.09</v>
      </c>
      <c r="Y1048" t="s">
        <v>2009</v>
      </c>
      <c r="AB1048" t="s">
        <v>13789</v>
      </c>
      <c r="AE1048" t="s">
        <v>13051</v>
      </c>
      <c r="AH1048">
        <v>17</v>
      </c>
      <c r="AI1048">
        <v>2</v>
      </c>
      <c r="AJ1048">
        <v>0</v>
      </c>
      <c r="AK1048">
        <v>0</v>
      </c>
      <c r="AN1048" t="s">
        <v>2926</v>
      </c>
      <c r="AO1048" t="s">
        <v>13051</v>
      </c>
      <c r="AU1048" t="s">
        <v>13051</v>
      </c>
      <c r="AW1048" t="s">
        <v>158</v>
      </c>
    </row>
    <row r="1049" spans="1:50">
      <c r="A1049" s="1" t="s">
        <v>125</v>
      </c>
      <c r="B1049" t="s">
        <v>163</v>
      </c>
      <c r="C1049" t="s">
        <v>4259</v>
      </c>
      <c r="D1049" t="s">
        <v>313</v>
      </c>
      <c r="F1049" t="s">
        <v>427</v>
      </c>
      <c r="G1049" t="s">
        <v>8071</v>
      </c>
      <c r="H1049" t="s">
        <v>9428</v>
      </c>
      <c r="I1049" t="s">
        <v>1522</v>
      </c>
      <c r="J1049" t="s">
        <v>1644</v>
      </c>
      <c r="K1049">
        <v>11226</v>
      </c>
      <c r="L1049" t="s">
        <v>1671</v>
      </c>
      <c r="M1049" t="s">
        <v>1670</v>
      </c>
      <c r="O1049" t="s">
        <v>1938</v>
      </c>
      <c r="P1049" t="s">
        <v>1961</v>
      </c>
      <c r="R1049" t="s">
        <v>50</v>
      </c>
      <c r="S1049" t="s">
        <v>1670</v>
      </c>
      <c r="U1049" t="s">
        <v>1972</v>
      </c>
      <c r="W1049" t="s">
        <v>307</v>
      </c>
      <c r="X1049">
        <v>945.2</v>
      </c>
      <c r="Y1049" t="s">
        <v>2009</v>
      </c>
      <c r="AB1049" t="s">
        <v>13790</v>
      </c>
      <c r="AE1049" t="s">
        <v>13051</v>
      </c>
      <c r="AH1049">
        <v>20</v>
      </c>
      <c r="AI1049">
        <v>1</v>
      </c>
      <c r="AJ1049">
        <v>0</v>
      </c>
      <c r="AK1049">
        <v>0</v>
      </c>
      <c r="AN1049" t="s">
        <v>2927</v>
      </c>
      <c r="AO1049" t="s">
        <v>13051</v>
      </c>
      <c r="AU1049" t="s">
        <v>13051</v>
      </c>
      <c r="AW1049" t="s">
        <v>158</v>
      </c>
    </row>
    <row r="1050" spans="1:50">
      <c r="A1050" s="1" t="s">
        <v>96</v>
      </c>
      <c r="B1050" t="s">
        <v>163</v>
      </c>
      <c r="C1050" t="s">
        <v>4260</v>
      </c>
      <c r="D1050" t="s">
        <v>202</v>
      </c>
      <c r="F1050" t="s">
        <v>427</v>
      </c>
      <c r="G1050" t="s">
        <v>8071</v>
      </c>
      <c r="H1050" t="s">
        <v>9428</v>
      </c>
      <c r="J1050" t="s">
        <v>1644</v>
      </c>
      <c r="K1050">
        <v>11226</v>
      </c>
      <c r="L1050" t="s">
        <v>1671</v>
      </c>
      <c r="M1050" t="s">
        <v>1670</v>
      </c>
      <c r="P1050" t="s">
        <v>1961</v>
      </c>
      <c r="R1050" t="s">
        <v>50</v>
      </c>
      <c r="S1050" t="s">
        <v>1670</v>
      </c>
      <c r="U1050" t="s">
        <v>1972</v>
      </c>
      <c r="W1050" t="s">
        <v>231</v>
      </c>
      <c r="X1050">
        <v>945.2</v>
      </c>
      <c r="Y1050" t="s">
        <v>2009</v>
      </c>
      <c r="AB1050" t="s">
        <v>13790</v>
      </c>
      <c r="AE1050" t="s">
        <v>13051</v>
      </c>
      <c r="AH1050">
        <v>20</v>
      </c>
      <c r="AI1050">
        <v>1</v>
      </c>
      <c r="AJ1050">
        <v>0</v>
      </c>
      <c r="AK1050">
        <v>0</v>
      </c>
      <c r="AN1050" t="s">
        <v>2927</v>
      </c>
      <c r="AO1050" t="s">
        <v>13051</v>
      </c>
      <c r="AU1050" t="s">
        <v>13051</v>
      </c>
      <c r="AW1050" t="s">
        <v>158</v>
      </c>
    </row>
    <row r="1051" spans="1:50">
      <c r="A1051" s="1" t="s">
        <v>132</v>
      </c>
      <c r="B1051" t="s">
        <v>163</v>
      </c>
      <c r="C1051" t="s">
        <v>4261</v>
      </c>
      <c r="D1051" t="s">
        <v>395</v>
      </c>
      <c r="F1051" t="s">
        <v>7252</v>
      </c>
      <c r="G1051" t="s">
        <v>8156</v>
      </c>
      <c r="H1051" t="s">
        <v>9605</v>
      </c>
      <c r="I1051" t="s">
        <v>1576</v>
      </c>
      <c r="J1051" t="s">
        <v>1644</v>
      </c>
      <c r="K1051">
        <v>11225</v>
      </c>
      <c r="L1051" t="s">
        <v>1670</v>
      </c>
      <c r="M1051" t="s">
        <v>1670</v>
      </c>
      <c r="O1051" t="s">
        <v>1938</v>
      </c>
      <c r="P1051" t="s">
        <v>1961</v>
      </c>
      <c r="R1051" t="s">
        <v>50</v>
      </c>
      <c r="S1051" t="s">
        <v>1670</v>
      </c>
      <c r="U1051" t="s">
        <v>1972</v>
      </c>
      <c r="W1051" t="s">
        <v>6160</v>
      </c>
      <c r="X1051">
        <v>978.0700000000001</v>
      </c>
      <c r="Y1051" t="s">
        <v>2009</v>
      </c>
      <c r="AB1051" t="s">
        <v>13766</v>
      </c>
      <c r="AD1051" t="s">
        <v>16220</v>
      </c>
      <c r="AE1051">
        <v>89</v>
      </c>
      <c r="AF1051" t="s">
        <v>2902</v>
      </c>
      <c r="AG1051" t="s">
        <v>1754</v>
      </c>
      <c r="AH1051">
        <v>28</v>
      </c>
      <c r="AI1051">
        <v>1</v>
      </c>
      <c r="AJ1051">
        <v>0</v>
      </c>
      <c r="AK1051">
        <v>0</v>
      </c>
      <c r="AN1051" t="s">
        <v>2926</v>
      </c>
      <c r="AO1051" t="s">
        <v>13051</v>
      </c>
      <c r="AU1051">
        <v>2</v>
      </c>
      <c r="AV1051" t="s">
        <v>369</v>
      </c>
      <c r="AW1051" t="s">
        <v>3059</v>
      </c>
    </row>
    <row r="1052" spans="1:50">
      <c r="A1052" s="1" t="s">
        <v>57</v>
      </c>
      <c r="B1052" t="s">
        <v>163</v>
      </c>
      <c r="C1052" t="s">
        <v>4262</v>
      </c>
      <c r="D1052" t="s">
        <v>225</v>
      </c>
      <c r="F1052" t="s">
        <v>7110</v>
      </c>
      <c r="G1052" t="s">
        <v>914</v>
      </c>
      <c r="H1052" t="s">
        <v>1379</v>
      </c>
      <c r="I1052" t="s">
        <v>10946</v>
      </c>
      <c r="J1052" t="s">
        <v>1641</v>
      </c>
      <c r="K1052">
        <v>10468</v>
      </c>
      <c r="L1052" t="s">
        <v>1670</v>
      </c>
      <c r="M1052" t="s">
        <v>1670</v>
      </c>
      <c r="O1052" t="s">
        <v>1938</v>
      </c>
      <c r="P1052" t="s">
        <v>1961</v>
      </c>
      <c r="R1052" t="s">
        <v>50</v>
      </c>
      <c r="S1052" t="s">
        <v>1670</v>
      </c>
      <c r="U1052" t="s">
        <v>1972</v>
      </c>
      <c r="W1052" t="s">
        <v>250</v>
      </c>
      <c r="X1052">
        <v>1100</v>
      </c>
      <c r="Y1052" t="s">
        <v>2006</v>
      </c>
      <c r="Z1052" t="s">
        <v>2015</v>
      </c>
      <c r="AB1052" t="s">
        <v>2429</v>
      </c>
      <c r="AD1052" t="s">
        <v>16233</v>
      </c>
      <c r="AE1052">
        <v>58</v>
      </c>
      <c r="AF1052" t="s">
        <v>2902</v>
      </c>
      <c r="AG1052" t="s">
        <v>2915</v>
      </c>
      <c r="AH1052">
        <v>38</v>
      </c>
      <c r="AI1052">
        <v>2</v>
      </c>
      <c r="AJ1052">
        <v>0</v>
      </c>
      <c r="AK1052">
        <v>0</v>
      </c>
      <c r="AN1052" t="s">
        <v>2926</v>
      </c>
      <c r="AO1052" t="s">
        <v>13051</v>
      </c>
      <c r="AU1052">
        <v>0.1</v>
      </c>
      <c r="AV1052" t="s">
        <v>376</v>
      </c>
      <c r="AW1052" t="s">
        <v>3046</v>
      </c>
    </row>
    <row r="1053" spans="1:50">
      <c r="A1053" s="1" t="s">
        <v>3179</v>
      </c>
      <c r="B1053" t="s">
        <v>163</v>
      </c>
      <c r="C1053" t="s">
        <v>4263</v>
      </c>
      <c r="D1053" t="s">
        <v>206</v>
      </c>
      <c r="F1053" t="s">
        <v>7272</v>
      </c>
      <c r="G1053" t="s">
        <v>8270</v>
      </c>
      <c r="H1053" t="s">
        <v>9807</v>
      </c>
      <c r="I1053" t="s">
        <v>1507</v>
      </c>
      <c r="J1053" t="s">
        <v>1641</v>
      </c>
      <c r="K1053">
        <v>10467</v>
      </c>
      <c r="L1053" t="s">
        <v>1670</v>
      </c>
      <c r="M1053" t="s">
        <v>1672</v>
      </c>
      <c r="N1053" t="s">
        <v>1691</v>
      </c>
      <c r="O1053" t="s">
        <v>1945</v>
      </c>
      <c r="P1053" t="s">
        <v>1961</v>
      </c>
      <c r="R1053" t="s">
        <v>50</v>
      </c>
      <c r="S1053" t="s">
        <v>1671</v>
      </c>
      <c r="U1053" t="s">
        <v>1980</v>
      </c>
      <c r="W1053" t="s">
        <v>206</v>
      </c>
      <c r="X1053">
        <v>1069.23</v>
      </c>
      <c r="Y1053" t="s">
        <v>2006</v>
      </c>
      <c r="Z1053" t="s">
        <v>2011</v>
      </c>
      <c r="AB1053" t="s">
        <v>13791</v>
      </c>
      <c r="AC1053" t="s">
        <v>15104</v>
      </c>
      <c r="AD1053" t="s">
        <v>16234</v>
      </c>
      <c r="AE1053">
        <v>37</v>
      </c>
      <c r="AF1053" t="s">
        <v>2902</v>
      </c>
      <c r="AH1053">
        <v>25</v>
      </c>
      <c r="AI1053">
        <v>4</v>
      </c>
      <c r="AJ1053">
        <v>0</v>
      </c>
      <c r="AK1053">
        <v>0</v>
      </c>
      <c r="AN1053" t="s">
        <v>2926</v>
      </c>
      <c r="AO1053" t="s">
        <v>13051</v>
      </c>
      <c r="AU1053">
        <v>7.6</v>
      </c>
      <c r="AV1053" t="s">
        <v>325</v>
      </c>
      <c r="AW1053" t="s">
        <v>3179</v>
      </c>
      <c r="AX1053" t="s">
        <v>18686</v>
      </c>
    </row>
    <row r="1054" spans="1:50">
      <c r="A1054" s="1" t="s">
        <v>52</v>
      </c>
      <c r="B1054" t="s">
        <v>163</v>
      </c>
      <c r="C1054" t="s">
        <v>4264</v>
      </c>
      <c r="D1054" t="s">
        <v>187</v>
      </c>
      <c r="F1054" t="s">
        <v>6912</v>
      </c>
      <c r="G1054" t="s">
        <v>8389</v>
      </c>
      <c r="H1054" t="s">
        <v>1136</v>
      </c>
      <c r="I1054" t="s">
        <v>11162</v>
      </c>
      <c r="J1054" t="s">
        <v>1641</v>
      </c>
      <c r="K1054">
        <v>10457</v>
      </c>
      <c r="L1054" t="s">
        <v>1670</v>
      </c>
      <c r="M1054" t="s">
        <v>1670</v>
      </c>
      <c r="N1054" t="s">
        <v>1695</v>
      </c>
      <c r="O1054" t="s">
        <v>1938</v>
      </c>
      <c r="P1054" t="s">
        <v>1961</v>
      </c>
      <c r="R1054" t="s">
        <v>50</v>
      </c>
      <c r="S1054" t="s">
        <v>1670</v>
      </c>
      <c r="U1054" t="s">
        <v>1972</v>
      </c>
      <c r="W1054" t="s">
        <v>359</v>
      </c>
      <c r="X1054">
        <v>1089</v>
      </c>
      <c r="Y1054" t="s">
        <v>2006</v>
      </c>
      <c r="Z1054" t="s">
        <v>2020</v>
      </c>
      <c r="AB1054" t="s">
        <v>13792</v>
      </c>
      <c r="AD1054" t="s">
        <v>16235</v>
      </c>
      <c r="AE1054">
        <v>47</v>
      </c>
      <c r="AF1054" t="s">
        <v>2902</v>
      </c>
      <c r="AG1054" t="s">
        <v>2915</v>
      </c>
      <c r="AH1054">
        <v>24</v>
      </c>
      <c r="AI1054">
        <v>1</v>
      </c>
      <c r="AJ1054">
        <v>0</v>
      </c>
      <c r="AK1054">
        <v>0</v>
      </c>
      <c r="AN1054" t="s">
        <v>2926</v>
      </c>
      <c r="AO1054" t="s">
        <v>13051</v>
      </c>
      <c r="AU1054">
        <v>8.5</v>
      </c>
      <c r="AV1054" t="s">
        <v>396</v>
      </c>
      <c r="AW1054" t="s">
        <v>3046</v>
      </c>
    </row>
    <row r="1055" spans="1:50">
      <c r="A1055" s="1" t="s">
        <v>52</v>
      </c>
      <c r="B1055" t="s">
        <v>163</v>
      </c>
      <c r="C1055" t="s">
        <v>4265</v>
      </c>
      <c r="D1055" t="s">
        <v>187</v>
      </c>
      <c r="F1055" t="s">
        <v>508</v>
      </c>
      <c r="G1055" t="s">
        <v>8390</v>
      </c>
      <c r="H1055" t="s">
        <v>1136</v>
      </c>
      <c r="I1055" t="s">
        <v>1522</v>
      </c>
      <c r="J1055" t="s">
        <v>1641</v>
      </c>
      <c r="K1055">
        <v>10457</v>
      </c>
      <c r="L1055" t="s">
        <v>1670</v>
      </c>
      <c r="M1055" t="s">
        <v>1670</v>
      </c>
      <c r="N1055" t="s">
        <v>1695</v>
      </c>
      <c r="O1055" t="s">
        <v>1938</v>
      </c>
      <c r="P1055" t="s">
        <v>1961</v>
      </c>
      <c r="R1055" t="s">
        <v>50</v>
      </c>
      <c r="S1055" t="s">
        <v>1670</v>
      </c>
      <c r="U1055" t="s">
        <v>1972</v>
      </c>
      <c r="W1055" t="s">
        <v>359</v>
      </c>
      <c r="X1055">
        <v>1180</v>
      </c>
      <c r="Y1055" t="s">
        <v>2006</v>
      </c>
      <c r="Z1055" t="s">
        <v>2015</v>
      </c>
      <c r="AB1055" t="s">
        <v>13793</v>
      </c>
      <c r="AD1055" t="s">
        <v>16236</v>
      </c>
      <c r="AE1055">
        <v>47</v>
      </c>
      <c r="AF1055" t="s">
        <v>2902</v>
      </c>
      <c r="AG1055" t="s">
        <v>2915</v>
      </c>
      <c r="AH1055">
        <v>15</v>
      </c>
      <c r="AI1055">
        <v>1</v>
      </c>
      <c r="AJ1055">
        <v>0</v>
      </c>
      <c r="AK1055">
        <v>0</v>
      </c>
      <c r="AN1055" t="s">
        <v>2926</v>
      </c>
      <c r="AO1055" t="s">
        <v>13051</v>
      </c>
      <c r="AU1055" t="s">
        <v>13051</v>
      </c>
      <c r="AW1055" t="s">
        <v>3046</v>
      </c>
    </row>
    <row r="1056" spans="1:50">
      <c r="A1056" s="1" t="s">
        <v>52</v>
      </c>
      <c r="B1056" t="s">
        <v>163</v>
      </c>
      <c r="C1056" t="s">
        <v>4266</v>
      </c>
      <c r="D1056" t="s">
        <v>187</v>
      </c>
      <c r="F1056" t="s">
        <v>687</v>
      </c>
      <c r="G1056" t="s">
        <v>8391</v>
      </c>
      <c r="H1056" t="s">
        <v>1136</v>
      </c>
      <c r="I1056" t="s">
        <v>1558</v>
      </c>
      <c r="J1056" t="s">
        <v>1641</v>
      </c>
      <c r="K1056">
        <v>10457</v>
      </c>
      <c r="L1056" t="s">
        <v>1670</v>
      </c>
      <c r="M1056" t="s">
        <v>1670</v>
      </c>
      <c r="N1056" t="s">
        <v>1695</v>
      </c>
      <c r="O1056" t="s">
        <v>1938</v>
      </c>
      <c r="P1056" t="s">
        <v>1961</v>
      </c>
      <c r="R1056" t="s">
        <v>50</v>
      </c>
      <c r="S1056" t="s">
        <v>1670</v>
      </c>
      <c r="U1056" t="s">
        <v>1972</v>
      </c>
      <c r="W1056" t="s">
        <v>359</v>
      </c>
      <c r="X1056">
        <v>1160</v>
      </c>
      <c r="Y1056" t="s">
        <v>2006</v>
      </c>
      <c r="Z1056" t="s">
        <v>2015</v>
      </c>
      <c r="AB1056" t="s">
        <v>13794</v>
      </c>
      <c r="AC1056" t="s">
        <v>15105</v>
      </c>
      <c r="AE1056">
        <v>47</v>
      </c>
      <c r="AF1056" t="s">
        <v>2902</v>
      </c>
      <c r="AG1056" t="s">
        <v>1754</v>
      </c>
      <c r="AH1056">
        <v>10</v>
      </c>
      <c r="AI1056">
        <v>1</v>
      </c>
      <c r="AJ1056">
        <v>0</v>
      </c>
      <c r="AK1056">
        <v>0</v>
      </c>
      <c r="AN1056" t="s">
        <v>2927</v>
      </c>
      <c r="AO1056" t="s">
        <v>13051</v>
      </c>
      <c r="AU1056">
        <v>0.6</v>
      </c>
      <c r="AV1056" t="s">
        <v>409</v>
      </c>
      <c r="AW1056" t="s">
        <v>3046</v>
      </c>
    </row>
    <row r="1057" spans="1:50">
      <c r="A1057" s="1" t="s">
        <v>57</v>
      </c>
      <c r="B1057" t="s">
        <v>163</v>
      </c>
      <c r="C1057" t="s">
        <v>4267</v>
      </c>
      <c r="D1057" t="s">
        <v>6167</v>
      </c>
      <c r="F1057" t="s">
        <v>427</v>
      </c>
      <c r="G1057" t="s">
        <v>1086</v>
      </c>
      <c r="H1057" t="s">
        <v>9655</v>
      </c>
      <c r="I1057" t="s">
        <v>11101</v>
      </c>
      <c r="J1057" t="s">
        <v>1641</v>
      </c>
      <c r="K1057">
        <v>10457</v>
      </c>
      <c r="L1057" t="s">
        <v>1670</v>
      </c>
      <c r="M1057" t="s">
        <v>1672</v>
      </c>
      <c r="N1057" t="s">
        <v>12072</v>
      </c>
      <c r="O1057" t="s">
        <v>1949</v>
      </c>
      <c r="P1057" t="s">
        <v>1961</v>
      </c>
      <c r="R1057" t="s">
        <v>50</v>
      </c>
      <c r="S1057" t="s">
        <v>1670</v>
      </c>
      <c r="U1057" t="s">
        <v>1972</v>
      </c>
      <c r="W1057" t="s">
        <v>257</v>
      </c>
      <c r="X1057" t="s">
        <v>13051</v>
      </c>
      <c r="Y1057" t="s">
        <v>2006</v>
      </c>
      <c r="Z1057" t="s">
        <v>2027</v>
      </c>
      <c r="AB1057" t="s">
        <v>13795</v>
      </c>
      <c r="AD1057" t="s">
        <v>15077</v>
      </c>
      <c r="AE1057">
        <v>100</v>
      </c>
      <c r="AF1057" t="s">
        <v>2902</v>
      </c>
      <c r="AH1057" t="s">
        <v>13051</v>
      </c>
      <c r="AI1057">
        <v>1</v>
      </c>
      <c r="AJ1057">
        <v>0</v>
      </c>
      <c r="AK1057">
        <v>0</v>
      </c>
      <c r="AN1057" t="s">
        <v>2927</v>
      </c>
      <c r="AO1057" t="s">
        <v>13051</v>
      </c>
      <c r="AP1057" t="s">
        <v>18243</v>
      </c>
      <c r="AU1057" t="s">
        <v>13051</v>
      </c>
      <c r="AW1057" t="s">
        <v>3041</v>
      </c>
    </row>
    <row r="1058" spans="1:50">
      <c r="A1058" s="1" t="s">
        <v>57</v>
      </c>
      <c r="B1058" t="s">
        <v>163</v>
      </c>
      <c r="C1058" t="s">
        <v>4268</v>
      </c>
      <c r="D1058" t="s">
        <v>6146</v>
      </c>
      <c r="F1058" t="s">
        <v>427</v>
      </c>
      <c r="G1058" t="s">
        <v>1086</v>
      </c>
      <c r="H1058" t="s">
        <v>9655</v>
      </c>
      <c r="I1058" t="s">
        <v>11101</v>
      </c>
      <c r="J1058" t="s">
        <v>1641</v>
      </c>
      <c r="K1058">
        <v>10457</v>
      </c>
      <c r="L1058" t="s">
        <v>1670</v>
      </c>
      <c r="M1058" t="s">
        <v>1672</v>
      </c>
      <c r="N1058" t="s">
        <v>12073</v>
      </c>
      <c r="O1058" t="s">
        <v>1949</v>
      </c>
      <c r="P1058" t="s">
        <v>1961</v>
      </c>
      <c r="R1058" t="s">
        <v>50</v>
      </c>
      <c r="S1058" t="s">
        <v>1670</v>
      </c>
      <c r="U1058" t="s">
        <v>1972</v>
      </c>
      <c r="W1058" t="s">
        <v>13043</v>
      </c>
      <c r="X1058" t="s">
        <v>13051</v>
      </c>
      <c r="Y1058" t="s">
        <v>2006</v>
      </c>
      <c r="Z1058" t="s">
        <v>2020</v>
      </c>
      <c r="AB1058" t="s">
        <v>13795</v>
      </c>
      <c r="AD1058" t="s">
        <v>15077</v>
      </c>
      <c r="AE1058">
        <v>100</v>
      </c>
      <c r="AF1058" t="s">
        <v>2902</v>
      </c>
      <c r="AH1058" t="s">
        <v>13051</v>
      </c>
      <c r="AI1058">
        <v>1</v>
      </c>
      <c r="AJ1058">
        <v>0</v>
      </c>
      <c r="AK1058">
        <v>0</v>
      </c>
      <c r="AN1058" t="s">
        <v>2927</v>
      </c>
      <c r="AO1058" t="s">
        <v>13051</v>
      </c>
      <c r="AP1058" t="s">
        <v>18244</v>
      </c>
      <c r="AU1058">
        <v>0.4</v>
      </c>
      <c r="AV1058" t="s">
        <v>6146</v>
      </c>
      <c r="AW1058" t="s">
        <v>3046</v>
      </c>
    </row>
    <row r="1059" spans="1:50">
      <c r="A1059" s="1" t="s">
        <v>57</v>
      </c>
      <c r="B1059" t="s">
        <v>163</v>
      </c>
      <c r="C1059" t="s">
        <v>4269</v>
      </c>
      <c r="D1059" t="s">
        <v>307</v>
      </c>
      <c r="F1059" t="s">
        <v>614</v>
      </c>
      <c r="G1059" t="s">
        <v>1048</v>
      </c>
      <c r="H1059" t="s">
        <v>1434</v>
      </c>
      <c r="I1059">
        <v>41</v>
      </c>
      <c r="J1059" t="s">
        <v>1641</v>
      </c>
      <c r="K1059">
        <v>10453</v>
      </c>
      <c r="L1059" t="s">
        <v>1670</v>
      </c>
      <c r="M1059" t="s">
        <v>1670</v>
      </c>
      <c r="N1059" t="s">
        <v>1911</v>
      </c>
      <c r="O1059" t="s">
        <v>1938</v>
      </c>
      <c r="P1059" t="s">
        <v>1961</v>
      </c>
      <c r="R1059" t="s">
        <v>50</v>
      </c>
      <c r="S1059" t="s">
        <v>1670</v>
      </c>
      <c r="U1059" t="s">
        <v>1972</v>
      </c>
      <c r="W1059" t="s">
        <v>283</v>
      </c>
      <c r="X1059">
        <v>1175.29</v>
      </c>
      <c r="Y1059" t="s">
        <v>2006</v>
      </c>
      <c r="Z1059" t="s">
        <v>2016</v>
      </c>
      <c r="AB1059" t="s">
        <v>13796</v>
      </c>
      <c r="AD1059" t="s">
        <v>16237</v>
      </c>
      <c r="AE1059">
        <v>46</v>
      </c>
      <c r="AF1059" t="s">
        <v>2902</v>
      </c>
      <c r="AG1059" t="s">
        <v>2920</v>
      </c>
      <c r="AH1059">
        <v>8</v>
      </c>
      <c r="AI1059">
        <v>1</v>
      </c>
      <c r="AJ1059">
        <v>0</v>
      </c>
      <c r="AK1059">
        <v>0</v>
      </c>
      <c r="AN1059" t="s">
        <v>2926</v>
      </c>
      <c r="AO1059" t="s">
        <v>13051</v>
      </c>
      <c r="AU1059" t="s">
        <v>13051</v>
      </c>
      <c r="AW1059" t="s">
        <v>3054</v>
      </c>
    </row>
    <row r="1060" spans="1:50">
      <c r="A1060" s="1" t="s">
        <v>111</v>
      </c>
      <c r="B1060" t="s">
        <v>163</v>
      </c>
      <c r="C1060" t="s">
        <v>4270</v>
      </c>
      <c r="D1060" t="s">
        <v>246</v>
      </c>
      <c r="F1060" t="s">
        <v>7271</v>
      </c>
      <c r="G1060" t="s">
        <v>909</v>
      </c>
      <c r="H1060" t="s">
        <v>1260</v>
      </c>
      <c r="I1060" t="s">
        <v>1490</v>
      </c>
      <c r="J1060" t="s">
        <v>1641</v>
      </c>
      <c r="K1060">
        <v>10453</v>
      </c>
      <c r="L1060" t="s">
        <v>1670</v>
      </c>
      <c r="M1060" t="s">
        <v>1670</v>
      </c>
      <c r="O1060" t="s">
        <v>1938</v>
      </c>
      <c r="P1060" t="s">
        <v>1961</v>
      </c>
      <c r="R1060" t="s">
        <v>50</v>
      </c>
      <c r="S1060" t="s">
        <v>1670</v>
      </c>
      <c r="U1060" t="s">
        <v>1972</v>
      </c>
      <c r="W1060" t="s">
        <v>283</v>
      </c>
      <c r="X1060">
        <v>800</v>
      </c>
      <c r="Y1060" t="s">
        <v>2006</v>
      </c>
      <c r="Z1060" t="s">
        <v>2015</v>
      </c>
      <c r="AB1060" t="s">
        <v>13787</v>
      </c>
      <c r="AD1060" t="s">
        <v>16231</v>
      </c>
      <c r="AE1060">
        <v>44</v>
      </c>
      <c r="AF1060" t="s">
        <v>2902</v>
      </c>
      <c r="AG1060" t="s">
        <v>1754</v>
      </c>
      <c r="AH1060">
        <v>1</v>
      </c>
      <c r="AI1060">
        <v>2</v>
      </c>
      <c r="AJ1060">
        <v>0</v>
      </c>
      <c r="AK1060">
        <v>0</v>
      </c>
      <c r="AN1060" t="s">
        <v>2926</v>
      </c>
      <c r="AO1060" t="s">
        <v>13051</v>
      </c>
      <c r="AU1060" t="s">
        <v>13051</v>
      </c>
      <c r="AW1060" t="s">
        <v>3047</v>
      </c>
    </row>
    <row r="1061" spans="1:50">
      <c r="A1061" s="1" t="s">
        <v>145</v>
      </c>
      <c r="B1061" t="s">
        <v>163</v>
      </c>
      <c r="C1061" t="s">
        <v>4271</v>
      </c>
      <c r="D1061" t="s">
        <v>326</v>
      </c>
      <c r="F1061" t="s">
        <v>7273</v>
      </c>
      <c r="G1061" t="s">
        <v>8392</v>
      </c>
      <c r="H1061" t="s">
        <v>9808</v>
      </c>
      <c r="I1061" t="s">
        <v>1525</v>
      </c>
      <c r="J1061" t="s">
        <v>1644</v>
      </c>
      <c r="K1061">
        <v>11233</v>
      </c>
      <c r="L1061" t="s">
        <v>1670</v>
      </c>
      <c r="M1061" t="s">
        <v>1671</v>
      </c>
      <c r="N1061" t="s">
        <v>12009</v>
      </c>
      <c r="O1061" t="s">
        <v>1946</v>
      </c>
      <c r="P1061" t="s">
        <v>1964</v>
      </c>
      <c r="R1061" t="s">
        <v>50</v>
      </c>
      <c r="S1061" t="s">
        <v>1670</v>
      </c>
      <c r="U1061" t="s">
        <v>1978</v>
      </c>
      <c r="V1061" t="s">
        <v>1984</v>
      </c>
      <c r="W1061" t="s">
        <v>191</v>
      </c>
      <c r="X1061">
        <v>1275.64</v>
      </c>
      <c r="Y1061" t="s">
        <v>2009</v>
      </c>
      <c r="Z1061" t="s">
        <v>2016</v>
      </c>
      <c r="AB1061" t="s">
        <v>13797</v>
      </c>
      <c r="AE1061">
        <v>6</v>
      </c>
      <c r="AF1061" t="s">
        <v>2902</v>
      </c>
      <c r="AH1061">
        <v>16</v>
      </c>
      <c r="AI1061">
        <v>3</v>
      </c>
      <c r="AJ1061">
        <v>0</v>
      </c>
      <c r="AK1061">
        <v>0</v>
      </c>
      <c r="AO1061" t="s">
        <v>13051</v>
      </c>
      <c r="AU1061">
        <v>9</v>
      </c>
      <c r="AV1061" t="s">
        <v>325</v>
      </c>
      <c r="AW1061" t="s">
        <v>3060</v>
      </c>
      <c r="AX1061" t="s">
        <v>18685</v>
      </c>
    </row>
    <row r="1062" spans="1:50">
      <c r="A1062" s="1" t="s">
        <v>133</v>
      </c>
      <c r="B1062" t="s">
        <v>163</v>
      </c>
      <c r="C1062" t="s">
        <v>4272</v>
      </c>
      <c r="D1062" t="s">
        <v>249</v>
      </c>
      <c r="F1062" t="s">
        <v>7073</v>
      </c>
      <c r="G1062" t="s">
        <v>8371</v>
      </c>
      <c r="H1062" t="s">
        <v>9674</v>
      </c>
      <c r="I1062" t="s">
        <v>1487</v>
      </c>
      <c r="J1062" t="s">
        <v>1644</v>
      </c>
      <c r="K1062">
        <v>11212</v>
      </c>
      <c r="L1062" t="s">
        <v>1670</v>
      </c>
      <c r="M1062" t="s">
        <v>1672</v>
      </c>
      <c r="N1062" t="s">
        <v>12009</v>
      </c>
      <c r="P1062" t="s">
        <v>1964</v>
      </c>
      <c r="R1062" t="s">
        <v>50</v>
      </c>
      <c r="S1062" t="s">
        <v>1670</v>
      </c>
      <c r="U1062" t="s">
        <v>1978</v>
      </c>
      <c r="V1062" t="s">
        <v>1984</v>
      </c>
      <c r="W1062" t="s">
        <v>326</v>
      </c>
      <c r="X1062">
        <v>1515</v>
      </c>
      <c r="Y1062" t="s">
        <v>2009</v>
      </c>
      <c r="Z1062" t="s">
        <v>2016</v>
      </c>
      <c r="AB1062" t="s">
        <v>13768</v>
      </c>
      <c r="AD1062" t="s">
        <v>16221</v>
      </c>
      <c r="AE1062">
        <v>16</v>
      </c>
      <c r="AF1062" t="s">
        <v>2902</v>
      </c>
      <c r="AG1062" t="s">
        <v>2920</v>
      </c>
      <c r="AH1062">
        <v>3</v>
      </c>
      <c r="AI1062">
        <v>2</v>
      </c>
      <c r="AJ1062">
        <v>0</v>
      </c>
      <c r="AK1062">
        <v>0</v>
      </c>
      <c r="AN1062" t="s">
        <v>2926</v>
      </c>
      <c r="AO1062" t="s">
        <v>13051</v>
      </c>
      <c r="AP1062" t="s">
        <v>18245</v>
      </c>
      <c r="AU1062">
        <v>0.7</v>
      </c>
      <c r="AV1062" t="s">
        <v>401</v>
      </c>
      <c r="AW1062" t="s">
        <v>3060</v>
      </c>
      <c r="AX1062" t="s">
        <v>18685</v>
      </c>
    </row>
    <row r="1063" spans="1:50">
      <c r="A1063" s="1" t="s">
        <v>73</v>
      </c>
      <c r="B1063" t="s">
        <v>163</v>
      </c>
      <c r="C1063" t="s">
        <v>4273</v>
      </c>
      <c r="D1063" t="s">
        <v>293</v>
      </c>
      <c r="F1063" t="s">
        <v>7274</v>
      </c>
      <c r="G1063" t="s">
        <v>840</v>
      </c>
      <c r="H1063" t="s">
        <v>9809</v>
      </c>
      <c r="J1063" t="s">
        <v>11748</v>
      </c>
      <c r="K1063">
        <v>11366</v>
      </c>
      <c r="L1063" t="s">
        <v>1670</v>
      </c>
      <c r="M1063" t="s">
        <v>1670</v>
      </c>
      <c r="N1063" t="s">
        <v>12051</v>
      </c>
      <c r="O1063" t="s">
        <v>1675</v>
      </c>
      <c r="P1063" t="s">
        <v>1958</v>
      </c>
      <c r="R1063" t="s">
        <v>51</v>
      </c>
      <c r="S1063" t="s">
        <v>1671</v>
      </c>
      <c r="U1063" t="s">
        <v>1972</v>
      </c>
      <c r="W1063" t="s">
        <v>385</v>
      </c>
      <c r="X1063" t="s">
        <v>13051</v>
      </c>
      <c r="Y1063" t="s">
        <v>2007</v>
      </c>
      <c r="Z1063" t="s">
        <v>2012</v>
      </c>
      <c r="AB1063" t="s">
        <v>13798</v>
      </c>
      <c r="AE1063" t="s">
        <v>13051</v>
      </c>
      <c r="AH1063" t="s">
        <v>13051</v>
      </c>
      <c r="AI1063">
        <v>1</v>
      </c>
      <c r="AJ1063">
        <v>0</v>
      </c>
      <c r="AK1063">
        <v>0</v>
      </c>
      <c r="AL1063" t="s">
        <v>2923</v>
      </c>
      <c r="AM1063" t="s">
        <v>2924</v>
      </c>
      <c r="AO1063" t="s">
        <v>13051</v>
      </c>
      <c r="AU1063" t="s">
        <v>13051</v>
      </c>
      <c r="AW1063" t="s">
        <v>73</v>
      </c>
    </row>
    <row r="1064" spans="1:50">
      <c r="A1064" s="1" t="s">
        <v>53</v>
      </c>
      <c r="B1064" t="s">
        <v>164</v>
      </c>
      <c r="C1064" t="s">
        <v>4274</v>
      </c>
      <c r="D1064" t="s">
        <v>228</v>
      </c>
      <c r="E1064" t="s">
        <v>191</v>
      </c>
      <c r="F1064" t="s">
        <v>7131</v>
      </c>
      <c r="G1064" t="s">
        <v>8359</v>
      </c>
      <c r="H1064" t="s">
        <v>1213</v>
      </c>
      <c r="I1064" t="s">
        <v>1497</v>
      </c>
      <c r="J1064" t="s">
        <v>1649</v>
      </c>
      <c r="K1064">
        <v>11692</v>
      </c>
      <c r="L1064" t="s">
        <v>1670</v>
      </c>
      <c r="M1064" t="s">
        <v>1670</v>
      </c>
      <c r="N1064" t="s">
        <v>12074</v>
      </c>
      <c r="O1064" t="s">
        <v>1936</v>
      </c>
      <c r="P1064" t="s">
        <v>1960</v>
      </c>
      <c r="Q1064" t="s">
        <v>1969</v>
      </c>
      <c r="R1064" t="s">
        <v>50</v>
      </c>
      <c r="S1064" t="s">
        <v>1671</v>
      </c>
      <c r="U1064" t="s">
        <v>1972</v>
      </c>
      <c r="V1064" t="s">
        <v>1984</v>
      </c>
      <c r="W1064" t="s">
        <v>228</v>
      </c>
      <c r="X1064">
        <v>1468</v>
      </c>
      <c r="Y1064" t="s">
        <v>2007</v>
      </c>
      <c r="Z1064" t="s">
        <v>2014</v>
      </c>
      <c r="AA1064" t="s">
        <v>2032</v>
      </c>
      <c r="AB1064" t="s">
        <v>13751</v>
      </c>
      <c r="AC1064" t="s">
        <v>15101</v>
      </c>
      <c r="AD1064" t="s">
        <v>16213</v>
      </c>
      <c r="AE1064">
        <v>53</v>
      </c>
      <c r="AF1064" t="s">
        <v>2909</v>
      </c>
      <c r="AG1064" t="s">
        <v>2915</v>
      </c>
      <c r="AH1064">
        <v>32</v>
      </c>
      <c r="AI1064">
        <v>2</v>
      </c>
      <c r="AJ1064">
        <v>0</v>
      </c>
      <c r="AK1064">
        <v>0</v>
      </c>
      <c r="AN1064" t="s">
        <v>2926</v>
      </c>
      <c r="AO1064" t="s">
        <v>13051</v>
      </c>
      <c r="AQ1064" t="s">
        <v>2977</v>
      </c>
      <c r="AR1064" t="s">
        <v>18459</v>
      </c>
      <c r="AS1064" t="s">
        <v>2992</v>
      </c>
      <c r="AT1064" t="s">
        <v>18524</v>
      </c>
      <c r="AU1064">
        <v>111.9</v>
      </c>
      <c r="AV1064" t="s">
        <v>289</v>
      </c>
      <c r="AW1064" t="s">
        <v>85</v>
      </c>
      <c r="AX1064" t="s">
        <v>18685</v>
      </c>
    </row>
    <row r="1065" spans="1:50">
      <c r="A1065" s="1" t="s">
        <v>99</v>
      </c>
      <c r="B1065" t="s">
        <v>164</v>
      </c>
      <c r="C1065" t="s">
        <v>4275</v>
      </c>
      <c r="D1065" t="s">
        <v>373</v>
      </c>
      <c r="E1065" t="s">
        <v>253</v>
      </c>
      <c r="F1065" t="s">
        <v>7275</v>
      </c>
      <c r="G1065" t="s">
        <v>8393</v>
      </c>
      <c r="H1065" t="s">
        <v>9810</v>
      </c>
      <c r="I1065" t="s">
        <v>1549</v>
      </c>
      <c r="J1065" t="s">
        <v>1668</v>
      </c>
      <c r="K1065">
        <v>11358</v>
      </c>
      <c r="L1065" t="s">
        <v>1670</v>
      </c>
      <c r="M1065" t="s">
        <v>1670</v>
      </c>
      <c r="N1065" t="s">
        <v>12075</v>
      </c>
      <c r="O1065" t="s">
        <v>1940</v>
      </c>
      <c r="P1065" t="s">
        <v>1960</v>
      </c>
      <c r="Q1065" t="s">
        <v>1969</v>
      </c>
      <c r="R1065" t="s">
        <v>50</v>
      </c>
      <c r="S1065" t="s">
        <v>1671</v>
      </c>
      <c r="U1065" t="s">
        <v>1972</v>
      </c>
      <c r="V1065" t="s">
        <v>1985</v>
      </c>
      <c r="W1065" t="s">
        <v>373</v>
      </c>
      <c r="X1065">
        <v>1050</v>
      </c>
      <c r="Y1065" t="s">
        <v>2007</v>
      </c>
      <c r="Z1065" t="s">
        <v>2014</v>
      </c>
      <c r="AA1065" t="s">
        <v>2033</v>
      </c>
      <c r="AB1065" t="s">
        <v>13799</v>
      </c>
      <c r="AD1065" t="s">
        <v>16238</v>
      </c>
      <c r="AE1065">
        <v>3</v>
      </c>
      <c r="AF1065" t="s">
        <v>2903</v>
      </c>
      <c r="AG1065" t="s">
        <v>1754</v>
      </c>
      <c r="AH1065">
        <v>1</v>
      </c>
      <c r="AI1065">
        <v>2</v>
      </c>
      <c r="AJ1065">
        <v>0</v>
      </c>
      <c r="AK1065">
        <v>0</v>
      </c>
      <c r="AN1065" t="s">
        <v>18035</v>
      </c>
      <c r="AO1065" t="s">
        <v>13051</v>
      </c>
      <c r="AQ1065" t="s">
        <v>2980</v>
      </c>
      <c r="AR1065" t="s">
        <v>2017</v>
      </c>
      <c r="AS1065" t="s">
        <v>2993</v>
      </c>
      <c r="AT1065" t="s">
        <v>18525</v>
      </c>
      <c r="AU1065">
        <v>24.68</v>
      </c>
      <c r="AV1065" t="s">
        <v>266</v>
      </c>
      <c r="AW1065" t="s">
        <v>85</v>
      </c>
    </row>
    <row r="1066" spans="1:50">
      <c r="A1066" s="1" t="s">
        <v>53</v>
      </c>
      <c r="B1066" t="s">
        <v>164</v>
      </c>
      <c r="C1066" t="s">
        <v>4276</v>
      </c>
      <c r="D1066" t="s">
        <v>207</v>
      </c>
      <c r="E1066" t="s">
        <v>2005</v>
      </c>
      <c r="F1066" t="s">
        <v>7276</v>
      </c>
      <c r="G1066" t="s">
        <v>8394</v>
      </c>
      <c r="H1066" t="s">
        <v>9811</v>
      </c>
      <c r="I1066" t="s">
        <v>1522</v>
      </c>
      <c r="J1066" t="s">
        <v>1668</v>
      </c>
      <c r="K1066">
        <v>11354</v>
      </c>
      <c r="L1066" t="s">
        <v>1670</v>
      </c>
      <c r="M1066" t="s">
        <v>1670</v>
      </c>
      <c r="N1066" t="s">
        <v>12076</v>
      </c>
      <c r="O1066" t="s">
        <v>1936</v>
      </c>
      <c r="P1066" t="s">
        <v>1960</v>
      </c>
      <c r="Q1066" t="s">
        <v>1969</v>
      </c>
      <c r="R1066" t="s">
        <v>50</v>
      </c>
      <c r="S1066" t="s">
        <v>1671</v>
      </c>
      <c r="U1066" t="s">
        <v>1972</v>
      </c>
      <c r="V1066" t="s">
        <v>1984</v>
      </c>
      <c r="W1066" t="s">
        <v>323</v>
      </c>
      <c r="X1066">
        <v>2278.13</v>
      </c>
      <c r="Y1066" t="s">
        <v>2007</v>
      </c>
      <c r="Z1066" t="s">
        <v>2013</v>
      </c>
      <c r="AA1066" t="s">
        <v>2032</v>
      </c>
      <c r="AB1066" t="s">
        <v>13800</v>
      </c>
      <c r="AD1066" t="s">
        <v>16239</v>
      </c>
      <c r="AE1066">
        <v>60</v>
      </c>
      <c r="AF1066" t="s">
        <v>2902</v>
      </c>
      <c r="AG1066" t="s">
        <v>1754</v>
      </c>
      <c r="AH1066">
        <v>2</v>
      </c>
      <c r="AI1066">
        <v>1</v>
      </c>
      <c r="AJ1066">
        <v>0</v>
      </c>
      <c r="AK1066">
        <v>0</v>
      </c>
      <c r="AN1066" t="s">
        <v>2926</v>
      </c>
      <c r="AO1066" t="s">
        <v>13051</v>
      </c>
      <c r="AQ1066" t="s">
        <v>2979</v>
      </c>
      <c r="AR1066" t="s">
        <v>2982</v>
      </c>
      <c r="AS1066" t="s">
        <v>2992</v>
      </c>
      <c r="AT1066" t="s">
        <v>18526</v>
      </c>
      <c r="AU1066">
        <v>7.45</v>
      </c>
      <c r="AV1066" t="s">
        <v>257</v>
      </c>
      <c r="AW1066" t="s">
        <v>3058</v>
      </c>
    </row>
    <row r="1067" spans="1:50">
      <c r="A1067" s="1" t="s">
        <v>88</v>
      </c>
      <c r="B1067" t="s">
        <v>164</v>
      </c>
      <c r="C1067" t="s">
        <v>4277</v>
      </c>
      <c r="D1067" t="s">
        <v>211</v>
      </c>
      <c r="E1067" t="s">
        <v>268</v>
      </c>
      <c r="F1067" t="s">
        <v>508</v>
      </c>
      <c r="G1067" t="s">
        <v>1002</v>
      </c>
      <c r="H1067" t="s">
        <v>9812</v>
      </c>
      <c r="I1067" t="s">
        <v>1602</v>
      </c>
      <c r="J1067" t="s">
        <v>1644</v>
      </c>
      <c r="K1067">
        <v>11233</v>
      </c>
      <c r="L1067" t="s">
        <v>1670</v>
      </c>
      <c r="M1067" t="s">
        <v>1670</v>
      </c>
      <c r="N1067" t="s">
        <v>12077</v>
      </c>
      <c r="O1067" t="s">
        <v>1940</v>
      </c>
      <c r="P1067" t="s">
        <v>1960</v>
      </c>
      <c r="Q1067" t="s">
        <v>1969</v>
      </c>
      <c r="R1067" t="s">
        <v>50</v>
      </c>
      <c r="S1067" t="s">
        <v>1671</v>
      </c>
      <c r="U1067" t="s">
        <v>1972</v>
      </c>
      <c r="V1067" t="s">
        <v>1983</v>
      </c>
      <c r="W1067" t="s">
        <v>211</v>
      </c>
      <c r="X1067" t="s">
        <v>13051</v>
      </c>
      <c r="Y1067" t="s">
        <v>2009</v>
      </c>
      <c r="Z1067" t="s">
        <v>2014</v>
      </c>
      <c r="AA1067" t="s">
        <v>2037</v>
      </c>
      <c r="AB1067" t="s">
        <v>13801</v>
      </c>
      <c r="AC1067" t="s">
        <v>15106</v>
      </c>
      <c r="AE1067">
        <v>48</v>
      </c>
      <c r="AF1067" t="s">
        <v>2904</v>
      </c>
      <c r="AG1067" t="s">
        <v>2915</v>
      </c>
      <c r="AH1067">
        <v>3</v>
      </c>
      <c r="AI1067">
        <v>1</v>
      </c>
      <c r="AJ1067">
        <v>0</v>
      </c>
      <c r="AK1067">
        <v>0</v>
      </c>
      <c r="AN1067" t="s">
        <v>2926</v>
      </c>
      <c r="AO1067" t="s">
        <v>13051</v>
      </c>
      <c r="AP1067" t="s">
        <v>2953</v>
      </c>
      <c r="AU1067">
        <v>17.15</v>
      </c>
      <c r="AV1067" t="s">
        <v>217</v>
      </c>
      <c r="AW1067" t="s">
        <v>3063</v>
      </c>
    </row>
    <row r="1068" spans="1:50">
      <c r="A1068" s="1" t="s">
        <v>3180</v>
      </c>
      <c r="B1068" t="s">
        <v>164</v>
      </c>
      <c r="C1068" t="s">
        <v>4278</v>
      </c>
      <c r="D1068" t="s">
        <v>6168</v>
      </c>
      <c r="E1068" t="s">
        <v>306</v>
      </c>
      <c r="F1068" t="s">
        <v>6844</v>
      </c>
      <c r="G1068" t="s">
        <v>8395</v>
      </c>
      <c r="H1068" t="s">
        <v>9813</v>
      </c>
      <c r="I1068" t="s">
        <v>10966</v>
      </c>
      <c r="J1068" t="s">
        <v>1644</v>
      </c>
      <c r="K1068">
        <v>11229</v>
      </c>
      <c r="L1068" t="s">
        <v>1670</v>
      </c>
      <c r="M1068" t="s">
        <v>1671</v>
      </c>
      <c r="N1068" t="s">
        <v>12078</v>
      </c>
      <c r="O1068" t="s">
        <v>1940</v>
      </c>
      <c r="P1068" t="s">
        <v>1960</v>
      </c>
      <c r="Q1068" t="s">
        <v>1969</v>
      </c>
      <c r="R1068" t="s">
        <v>50</v>
      </c>
      <c r="T1068" t="s">
        <v>13028</v>
      </c>
      <c r="U1068" t="s">
        <v>1972</v>
      </c>
      <c r="W1068" t="s">
        <v>1989</v>
      </c>
      <c r="X1068">
        <v>711.58</v>
      </c>
      <c r="Y1068" t="s">
        <v>2009</v>
      </c>
      <c r="Z1068" t="s">
        <v>2023</v>
      </c>
      <c r="AA1068" t="s">
        <v>2032</v>
      </c>
      <c r="AB1068" t="s">
        <v>13802</v>
      </c>
      <c r="AD1068" t="s">
        <v>16240</v>
      </c>
      <c r="AE1068">
        <v>28</v>
      </c>
      <c r="AF1068" t="s">
        <v>2908</v>
      </c>
      <c r="AH1068">
        <v>48</v>
      </c>
      <c r="AI1068">
        <v>1</v>
      </c>
      <c r="AJ1068">
        <v>0</v>
      </c>
      <c r="AK1068">
        <v>0</v>
      </c>
      <c r="AN1068" t="s">
        <v>2926</v>
      </c>
      <c r="AO1068" t="s">
        <v>13051</v>
      </c>
      <c r="AS1068" t="s">
        <v>2992</v>
      </c>
      <c r="AT1068" t="s">
        <v>18527</v>
      </c>
      <c r="AU1068">
        <v>187.3</v>
      </c>
      <c r="AV1068" t="s">
        <v>306</v>
      </c>
      <c r="AW1068" t="s">
        <v>3049</v>
      </c>
    </row>
    <row r="1069" spans="1:50">
      <c r="A1069" s="1" t="s">
        <v>96</v>
      </c>
      <c r="B1069" t="s">
        <v>164</v>
      </c>
      <c r="C1069" t="s">
        <v>4279</v>
      </c>
      <c r="D1069" t="s">
        <v>6169</v>
      </c>
      <c r="E1069" t="s">
        <v>171</v>
      </c>
      <c r="F1069" t="s">
        <v>7269</v>
      </c>
      <c r="G1069" t="s">
        <v>8396</v>
      </c>
      <c r="H1069" t="s">
        <v>9656</v>
      </c>
      <c r="I1069" t="s">
        <v>11163</v>
      </c>
      <c r="J1069" t="s">
        <v>1644</v>
      </c>
      <c r="K1069">
        <v>11226</v>
      </c>
      <c r="L1069" t="s">
        <v>1670</v>
      </c>
      <c r="M1069" t="s">
        <v>1670</v>
      </c>
      <c r="N1069" t="s">
        <v>12079</v>
      </c>
      <c r="O1069" t="s">
        <v>1936</v>
      </c>
      <c r="P1069" t="s">
        <v>1960</v>
      </c>
      <c r="Q1069" t="s">
        <v>1969</v>
      </c>
      <c r="R1069" t="s">
        <v>50</v>
      </c>
      <c r="S1069" t="s">
        <v>1670</v>
      </c>
      <c r="U1069" t="s">
        <v>1972</v>
      </c>
      <c r="V1069" t="s">
        <v>1987</v>
      </c>
      <c r="W1069" t="s">
        <v>352</v>
      </c>
      <c r="X1069">
        <v>1293.81</v>
      </c>
      <c r="Y1069" t="s">
        <v>2009</v>
      </c>
      <c r="Z1069" t="s">
        <v>2020</v>
      </c>
      <c r="AA1069" t="s">
        <v>2032</v>
      </c>
      <c r="AB1069" t="s">
        <v>13803</v>
      </c>
      <c r="AC1069" t="s">
        <v>15107</v>
      </c>
      <c r="AD1069" t="s">
        <v>16241</v>
      </c>
      <c r="AE1069">
        <v>34</v>
      </c>
      <c r="AF1069" t="s">
        <v>2902</v>
      </c>
      <c r="AG1069" t="s">
        <v>1754</v>
      </c>
      <c r="AH1069">
        <v>12</v>
      </c>
      <c r="AI1069">
        <v>2</v>
      </c>
      <c r="AJ1069">
        <v>0</v>
      </c>
      <c r="AK1069">
        <v>0</v>
      </c>
      <c r="AN1069" t="s">
        <v>2928</v>
      </c>
      <c r="AO1069" t="s">
        <v>13051</v>
      </c>
      <c r="AR1069" t="s">
        <v>18460</v>
      </c>
      <c r="AS1069" t="s">
        <v>2992</v>
      </c>
      <c r="AT1069" t="s">
        <v>18500</v>
      </c>
      <c r="AU1069">
        <v>6.2</v>
      </c>
      <c r="AV1069" t="s">
        <v>179</v>
      </c>
      <c r="AW1069" t="s">
        <v>3079</v>
      </c>
      <c r="AX1069" t="s">
        <v>18685</v>
      </c>
    </row>
    <row r="1070" spans="1:50">
      <c r="A1070" s="1" t="s">
        <v>3162</v>
      </c>
      <c r="B1070" t="s">
        <v>164</v>
      </c>
      <c r="C1070" t="s">
        <v>4280</v>
      </c>
      <c r="D1070" t="s">
        <v>229</v>
      </c>
      <c r="E1070" t="s">
        <v>383</v>
      </c>
      <c r="F1070" t="s">
        <v>463</v>
      </c>
      <c r="G1070" t="s">
        <v>7532</v>
      </c>
      <c r="H1070" t="s">
        <v>1159</v>
      </c>
      <c r="I1070" t="s">
        <v>11164</v>
      </c>
      <c r="J1070" t="s">
        <v>1644</v>
      </c>
      <c r="K1070">
        <v>11226</v>
      </c>
      <c r="L1070" t="s">
        <v>1670</v>
      </c>
      <c r="M1070" t="s">
        <v>1670</v>
      </c>
      <c r="N1070" t="s">
        <v>12080</v>
      </c>
      <c r="O1070" t="s">
        <v>1936</v>
      </c>
      <c r="P1070" t="s">
        <v>1960</v>
      </c>
      <c r="Q1070" t="s">
        <v>1969</v>
      </c>
      <c r="R1070" t="s">
        <v>50</v>
      </c>
      <c r="S1070" t="s">
        <v>1671</v>
      </c>
      <c r="U1070" t="s">
        <v>1972</v>
      </c>
      <c r="V1070" t="s">
        <v>1983</v>
      </c>
      <c r="W1070" t="s">
        <v>229</v>
      </c>
      <c r="X1070">
        <v>1141.86</v>
      </c>
      <c r="Y1070" t="s">
        <v>2009</v>
      </c>
      <c r="AA1070" t="s">
        <v>2032</v>
      </c>
      <c r="AB1070" t="s">
        <v>13804</v>
      </c>
      <c r="AD1070" t="s">
        <v>16242</v>
      </c>
      <c r="AE1070" t="s">
        <v>13051</v>
      </c>
      <c r="AF1070" t="s">
        <v>2902</v>
      </c>
      <c r="AH1070">
        <v>30</v>
      </c>
      <c r="AI1070">
        <v>3</v>
      </c>
      <c r="AJ1070">
        <v>0</v>
      </c>
      <c r="AK1070">
        <v>0</v>
      </c>
      <c r="AN1070" t="s">
        <v>2928</v>
      </c>
      <c r="AO1070" t="s">
        <v>13051</v>
      </c>
      <c r="AR1070" t="s">
        <v>2988</v>
      </c>
      <c r="AS1070" t="s">
        <v>2992</v>
      </c>
      <c r="AT1070" t="s">
        <v>18502</v>
      </c>
      <c r="AU1070">
        <v>18.9</v>
      </c>
      <c r="AV1070" t="s">
        <v>318</v>
      </c>
      <c r="AW1070" t="s">
        <v>69</v>
      </c>
    </row>
    <row r="1071" spans="1:50">
      <c r="A1071" s="1" t="s">
        <v>130</v>
      </c>
      <c r="B1071" t="s">
        <v>164</v>
      </c>
      <c r="C1071" t="s">
        <v>4281</v>
      </c>
      <c r="D1071" t="s">
        <v>288</v>
      </c>
      <c r="E1071" t="s">
        <v>240</v>
      </c>
      <c r="F1071" t="s">
        <v>7249</v>
      </c>
      <c r="G1071" t="s">
        <v>868</v>
      </c>
      <c r="H1071" t="s">
        <v>9783</v>
      </c>
      <c r="I1071">
        <v>7</v>
      </c>
      <c r="J1071" t="s">
        <v>1644</v>
      </c>
      <c r="K1071">
        <v>11208</v>
      </c>
      <c r="L1071" t="s">
        <v>1670</v>
      </c>
      <c r="M1071" t="s">
        <v>1670</v>
      </c>
      <c r="N1071" t="s">
        <v>12081</v>
      </c>
      <c r="O1071" t="s">
        <v>1940</v>
      </c>
      <c r="P1071" t="s">
        <v>1960</v>
      </c>
      <c r="Q1071" t="s">
        <v>1969</v>
      </c>
      <c r="R1071" t="s">
        <v>50</v>
      </c>
      <c r="S1071" t="s">
        <v>1670</v>
      </c>
      <c r="U1071" t="s">
        <v>1972</v>
      </c>
      <c r="V1071" t="s">
        <v>1984</v>
      </c>
      <c r="W1071" t="s">
        <v>284</v>
      </c>
      <c r="X1071">
        <v>600</v>
      </c>
      <c r="Y1071" t="s">
        <v>2009</v>
      </c>
      <c r="Z1071" t="s">
        <v>2016</v>
      </c>
      <c r="AA1071" t="s">
        <v>2029</v>
      </c>
      <c r="AB1071" t="s">
        <v>13753</v>
      </c>
      <c r="AD1071" t="s">
        <v>16215</v>
      </c>
      <c r="AE1071">
        <v>7</v>
      </c>
      <c r="AF1071" t="s">
        <v>2903</v>
      </c>
      <c r="AG1071" t="s">
        <v>1754</v>
      </c>
      <c r="AH1071">
        <v>2</v>
      </c>
      <c r="AI1071">
        <v>1</v>
      </c>
      <c r="AJ1071">
        <v>0</v>
      </c>
      <c r="AK1071">
        <v>0</v>
      </c>
      <c r="AN1071" t="s">
        <v>2926</v>
      </c>
      <c r="AO1071" t="s">
        <v>13051</v>
      </c>
      <c r="AP1071" t="s">
        <v>18246</v>
      </c>
      <c r="AQ1071" t="s">
        <v>2980</v>
      </c>
      <c r="AR1071" t="s">
        <v>18461</v>
      </c>
      <c r="AS1071" t="s">
        <v>2993</v>
      </c>
      <c r="AT1071" t="s">
        <v>18528</v>
      </c>
      <c r="AU1071">
        <v>0.1</v>
      </c>
      <c r="AV1071" t="s">
        <v>240</v>
      </c>
      <c r="AW1071" t="s">
        <v>3060</v>
      </c>
    </row>
    <row r="1072" spans="1:50">
      <c r="A1072" s="1" t="s">
        <v>130</v>
      </c>
      <c r="B1072" t="s">
        <v>164</v>
      </c>
      <c r="C1072" t="s">
        <v>4282</v>
      </c>
      <c r="D1072" t="s">
        <v>190</v>
      </c>
      <c r="E1072" t="s">
        <v>240</v>
      </c>
      <c r="F1072" t="s">
        <v>7249</v>
      </c>
      <c r="G1072" t="s">
        <v>868</v>
      </c>
      <c r="H1072" t="s">
        <v>9783</v>
      </c>
      <c r="I1072">
        <v>7</v>
      </c>
      <c r="J1072" t="s">
        <v>1644</v>
      </c>
      <c r="K1072">
        <v>11208</v>
      </c>
      <c r="L1072" t="s">
        <v>1670</v>
      </c>
      <c r="M1072" t="s">
        <v>1670</v>
      </c>
      <c r="N1072" t="s">
        <v>12082</v>
      </c>
      <c r="O1072" t="s">
        <v>1939</v>
      </c>
      <c r="P1072" t="s">
        <v>1960</v>
      </c>
      <c r="Q1072" t="s">
        <v>1969</v>
      </c>
      <c r="R1072" t="s">
        <v>50</v>
      </c>
      <c r="S1072" t="s">
        <v>1670</v>
      </c>
      <c r="U1072" t="s">
        <v>1972</v>
      </c>
      <c r="V1072" t="s">
        <v>1984</v>
      </c>
      <c r="W1072" t="s">
        <v>1992</v>
      </c>
      <c r="X1072">
        <v>600</v>
      </c>
      <c r="Y1072" t="s">
        <v>2009</v>
      </c>
      <c r="Z1072" t="s">
        <v>2020</v>
      </c>
      <c r="AA1072" t="s">
        <v>2029</v>
      </c>
      <c r="AB1072" t="s">
        <v>13753</v>
      </c>
      <c r="AD1072" t="s">
        <v>16215</v>
      </c>
      <c r="AE1072">
        <v>7</v>
      </c>
      <c r="AF1072" t="s">
        <v>2903</v>
      </c>
      <c r="AG1072" t="s">
        <v>1754</v>
      </c>
      <c r="AH1072">
        <v>2</v>
      </c>
      <c r="AI1072">
        <v>1</v>
      </c>
      <c r="AJ1072">
        <v>0</v>
      </c>
      <c r="AK1072">
        <v>0</v>
      </c>
      <c r="AN1072" t="s">
        <v>2926</v>
      </c>
      <c r="AO1072" t="s">
        <v>13051</v>
      </c>
      <c r="AP1072" t="s">
        <v>18247</v>
      </c>
      <c r="AR1072" t="s">
        <v>18461</v>
      </c>
      <c r="AU1072">
        <v>0.1</v>
      </c>
      <c r="AV1072" t="s">
        <v>240</v>
      </c>
      <c r="AW1072" t="s">
        <v>3060</v>
      </c>
    </row>
    <row r="1073" spans="1:50">
      <c r="A1073" s="1" t="s">
        <v>96</v>
      </c>
      <c r="B1073" t="s">
        <v>164</v>
      </c>
      <c r="C1073" t="s">
        <v>4283</v>
      </c>
      <c r="D1073" t="s">
        <v>351</v>
      </c>
      <c r="E1073" t="s">
        <v>239</v>
      </c>
      <c r="F1073" t="s">
        <v>6968</v>
      </c>
      <c r="G1073" t="s">
        <v>8397</v>
      </c>
      <c r="H1073" t="s">
        <v>9814</v>
      </c>
      <c r="I1073" t="s">
        <v>1540</v>
      </c>
      <c r="J1073" t="s">
        <v>1644</v>
      </c>
      <c r="K1073">
        <v>11203</v>
      </c>
      <c r="L1073" t="s">
        <v>1670</v>
      </c>
      <c r="M1073" t="s">
        <v>1670</v>
      </c>
      <c r="N1073" t="s">
        <v>12083</v>
      </c>
      <c r="O1073" t="s">
        <v>1936</v>
      </c>
      <c r="P1073" t="s">
        <v>1960</v>
      </c>
      <c r="Q1073" t="s">
        <v>1969</v>
      </c>
      <c r="R1073" t="s">
        <v>50</v>
      </c>
      <c r="S1073" t="s">
        <v>1670</v>
      </c>
      <c r="U1073" t="s">
        <v>1972</v>
      </c>
      <c r="V1073" t="s">
        <v>1984</v>
      </c>
      <c r="W1073" t="s">
        <v>351</v>
      </c>
      <c r="X1073">
        <v>1708.5</v>
      </c>
      <c r="Y1073" t="s">
        <v>2009</v>
      </c>
      <c r="Z1073" t="s">
        <v>2020</v>
      </c>
      <c r="AA1073" t="s">
        <v>2032</v>
      </c>
      <c r="AB1073" t="s">
        <v>13805</v>
      </c>
      <c r="AD1073" t="s">
        <v>16243</v>
      </c>
      <c r="AE1073">
        <v>50</v>
      </c>
      <c r="AF1073" t="s">
        <v>2902</v>
      </c>
      <c r="AG1073" t="s">
        <v>1754</v>
      </c>
      <c r="AH1073">
        <v>3</v>
      </c>
      <c r="AI1073">
        <v>1</v>
      </c>
      <c r="AJ1073">
        <v>0</v>
      </c>
      <c r="AK1073">
        <v>0</v>
      </c>
      <c r="AN1073" t="s">
        <v>2926</v>
      </c>
      <c r="AO1073" t="s">
        <v>13051</v>
      </c>
      <c r="AR1073" t="s">
        <v>18460</v>
      </c>
      <c r="AS1073" t="s">
        <v>2992</v>
      </c>
      <c r="AT1073" t="s">
        <v>18504</v>
      </c>
      <c r="AU1073">
        <v>41.6</v>
      </c>
      <c r="AV1073" t="s">
        <v>179</v>
      </c>
      <c r="AW1073" t="s">
        <v>3049</v>
      </c>
    </row>
    <row r="1074" spans="1:50">
      <c r="A1074" s="1" t="s">
        <v>80</v>
      </c>
      <c r="B1074" t="s">
        <v>164</v>
      </c>
      <c r="C1074" t="s">
        <v>4284</v>
      </c>
      <c r="D1074" t="s">
        <v>320</v>
      </c>
      <c r="E1074" t="s">
        <v>203</v>
      </c>
      <c r="F1074" t="s">
        <v>7273</v>
      </c>
      <c r="G1074" t="s">
        <v>8398</v>
      </c>
      <c r="H1074" t="s">
        <v>9815</v>
      </c>
      <c r="I1074" t="s">
        <v>11165</v>
      </c>
      <c r="J1074" t="s">
        <v>1646</v>
      </c>
      <c r="K1074">
        <v>10304</v>
      </c>
      <c r="L1074" t="s">
        <v>1670</v>
      </c>
      <c r="M1074" t="s">
        <v>1670</v>
      </c>
      <c r="N1074" t="s">
        <v>12084</v>
      </c>
      <c r="O1074" t="s">
        <v>1936</v>
      </c>
      <c r="P1074" t="s">
        <v>1960</v>
      </c>
      <c r="Q1074" t="s">
        <v>1969</v>
      </c>
      <c r="R1074" t="s">
        <v>50</v>
      </c>
      <c r="S1074" t="s">
        <v>1671</v>
      </c>
      <c r="U1074" t="s">
        <v>1972</v>
      </c>
      <c r="V1074" t="s">
        <v>1983</v>
      </c>
      <c r="W1074" t="s">
        <v>320</v>
      </c>
      <c r="X1074" t="s">
        <v>13051</v>
      </c>
      <c r="Y1074" t="s">
        <v>2010</v>
      </c>
      <c r="Z1074" t="s">
        <v>2020</v>
      </c>
      <c r="AA1074" t="s">
        <v>2032</v>
      </c>
      <c r="AB1074" t="s">
        <v>13806</v>
      </c>
      <c r="AD1074" t="s">
        <v>16244</v>
      </c>
      <c r="AE1074">
        <v>403</v>
      </c>
      <c r="AF1074" t="s">
        <v>2909</v>
      </c>
      <c r="AG1074" t="s">
        <v>2915</v>
      </c>
      <c r="AH1074">
        <v>20</v>
      </c>
      <c r="AI1074">
        <v>2</v>
      </c>
      <c r="AJ1074">
        <v>0</v>
      </c>
      <c r="AK1074">
        <v>0</v>
      </c>
      <c r="AN1074" t="s">
        <v>2926</v>
      </c>
      <c r="AO1074" t="s">
        <v>13051</v>
      </c>
      <c r="AS1074" t="s">
        <v>2992</v>
      </c>
      <c r="AT1074" t="s">
        <v>18529</v>
      </c>
      <c r="AU1074">
        <v>5.8</v>
      </c>
      <c r="AV1074" t="s">
        <v>6191</v>
      </c>
      <c r="AW1074" t="s">
        <v>3056</v>
      </c>
    </row>
    <row r="1075" spans="1:50">
      <c r="A1075" s="1" t="s">
        <v>90</v>
      </c>
      <c r="B1075" t="s">
        <v>164</v>
      </c>
      <c r="C1075" t="s">
        <v>4285</v>
      </c>
      <c r="D1075" t="s">
        <v>382</v>
      </c>
      <c r="E1075" t="s">
        <v>269</v>
      </c>
      <c r="F1075" t="s">
        <v>7277</v>
      </c>
      <c r="G1075" t="s">
        <v>835</v>
      </c>
      <c r="H1075" t="s">
        <v>9816</v>
      </c>
      <c r="I1075">
        <v>2</v>
      </c>
      <c r="J1075" t="s">
        <v>1646</v>
      </c>
      <c r="K1075">
        <v>10301</v>
      </c>
      <c r="L1075" t="s">
        <v>1670</v>
      </c>
      <c r="M1075" t="s">
        <v>1670</v>
      </c>
      <c r="N1075" t="s">
        <v>12085</v>
      </c>
      <c r="O1075" t="s">
        <v>1936</v>
      </c>
      <c r="P1075" t="s">
        <v>1960</v>
      </c>
      <c r="Q1075" t="s">
        <v>1969</v>
      </c>
      <c r="R1075" t="s">
        <v>50</v>
      </c>
      <c r="S1075" t="s">
        <v>1671</v>
      </c>
      <c r="U1075" t="s">
        <v>1972</v>
      </c>
      <c r="V1075" t="s">
        <v>1984</v>
      </c>
      <c r="W1075" t="s">
        <v>382</v>
      </c>
      <c r="X1075">
        <v>1600</v>
      </c>
      <c r="Y1075" t="s">
        <v>2010</v>
      </c>
      <c r="Z1075" t="s">
        <v>2015</v>
      </c>
      <c r="AA1075" t="s">
        <v>2033</v>
      </c>
      <c r="AB1075" t="s">
        <v>13807</v>
      </c>
      <c r="AD1075" t="s">
        <v>16245</v>
      </c>
      <c r="AE1075">
        <v>2</v>
      </c>
      <c r="AF1075" t="s">
        <v>2903</v>
      </c>
      <c r="AG1075" t="s">
        <v>1754</v>
      </c>
      <c r="AH1075">
        <v>6</v>
      </c>
      <c r="AI1075">
        <v>3</v>
      </c>
      <c r="AJ1075">
        <v>0</v>
      </c>
      <c r="AK1075">
        <v>0</v>
      </c>
      <c r="AN1075" t="s">
        <v>2926</v>
      </c>
      <c r="AO1075" t="s">
        <v>13051</v>
      </c>
      <c r="AU1075">
        <v>3.2</v>
      </c>
      <c r="AV1075" t="s">
        <v>294</v>
      </c>
      <c r="AW1075" t="s">
        <v>3062</v>
      </c>
    </row>
    <row r="1076" spans="1:50">
      <c r="A1076" s="1" t="s">
        <v>80</v>
      </c>
      <c r="B1076" t="s">
        <v>164</v>
      </c>
      <c r="C1076" t="s">
        <v>4286</v>
      </c>
      <c r="D1076" t="s">
        <v>3029</v>
      </c>
      <c r="E1076" t="s">
        <v>320</v>
      </c>
      <c r="F1076" t="s">
        <v>7278</v>
      </c>
      <c r="G1076" t="s">
        <v>7918</v>
      </c>
      <c r="H1076" t="s">
        <v>9817</v>
      </c>
      <c r="I1076">
        <v>30</v>
      </c>
      <c r="J1076" t="s">
        <v>1646</v>
      </c>
      <c r="K1076">
        <v>10301</v>
      </c>
      <c r="L1076" t="s">
        <v>1670</v>
      </c>
      <c r="M1076" t="s">
        <v>1670</v>
      </c>
      <c r="N1076" t="s">
        <v>12086</v>
      </c>
      <c r="O1076" t="s">
        <v>1936</v>
      </c>
      <c r="P1076" t="s">
        <v>1960</v>
      </c>
      <c r="Q1076" t="s">
        <v>1971</v>
      </c>
      <c r="R1076" t="s">
        <v>50</v>
      </c>
      <c r="S1076" t="s">
        <v>1671</v>
      </c>
      <c r="U1076" t="s">
        <v>1972</v>
      </c>
      <c r="W1076" t="s">
        <v>3029</v>
      </c>
      <c r="X1076" t="s">
        <v>13051</v>
      </c>
      <c r="Y1076" t="s">
        <v>2010</v>
      </c>
      <c r="AA1076" t="s">
        <v>2032</v>
      </c>
      <c r="AB1076" t="s">
        <v>13808</v>
      </c>
      <c r="AD1076" t="s">
        <v>16246</v>
      </c>
      <c r="AE1076" t="s">
        <v>13051</v>
      </c>
      <c r="AH1076" t="s">
        <v>13051</v>
      </c>
      <c r="AI1076">
        <v>1</v>
      </c>
      <c r="AJ1076">
        <v>0</v>
      </c>
      <c r="AK1076">
        <v>0</v>
      </c>
      <c r="AN1076" t="s">
        <v>2926</v>
      </c>
      <c r="AO1076" t="s">
        <v>13051</v>
      </c>
      <c r="AU1076">
        <v>3</v>
      </c>
      <c r="AV1076" t="s">
        <v>1993</v>
      </c>
      <c r="AW1076" t="s">
        <v>3056</v>
      </c>
    </row>
    <row r="1077" spans="1:50">
      <c r="A1077" s="1" t="s">
        <v>3181</v>
      </c>
      <c r="B1077" t="s">
        <v>164</v>
      </c>
      <c r="C1077" t="s">
        <v>4287</v>
      </c>
      <c r="D1077" t="s">
        <v>167</v>
      </c>
      <c r="E1077" t="s">
        <v>322</v>
      </c>
      <c r="F1077" t="s">
        <v>7279</v>
      </c>
      <c r="G1077" t="s">
        <v>8399</v>
      </c>
      <c r="H1077" t="s">
        <v>9818</v>
      </c>
      <c r="I1077">
        <v>41</v>
      </c>
      <c r="J1077" t="s">
        <v>1668</v>
      </c>
      <c r="K1077">
        <v>11358</v>
      </c>
      <c r="L1077" t="s">
        <v>1670</v>
      </c>
      <c r="M1077" t="s">
        <v>1670</v>
      </c>
      <c r="N1077" t="s">
        <v>12087</v>
      </c>
      <c r="O1077" t="s">
        <v>1936</v>
      </c>
      <c r="P1077" t="s">
        <v>1960</v>
      </c>
      <c r="Q1077" t="s">
        <v>13024</v>
      </c>
      <c r="R1077" t="s">
        <v>50</v>
      </c>
      <c r="S1077" t="s">
        <v>1671</v>
      </c>
      <c r="U1077" t="s">
        <v>1972</v>
      </c>
      <c r="V1077" t="s">
        <v>1984</v>
      </c>
      <c r="W1077" t="s">
        <v>167</v>
      </c>
      <c r="X1077">
        <v>1150</v>
      </c>
      <c r="Y1077" t="s">
        <v>2007</v>
      </c>
      <c r="Z1077" t="s">
        <v>2014</v>
      </c>
      <c r="AA1077" t="s">
        <v>2032</v>
      </c>
      <c r="AB1077" t="s">
        <v>13809</v>
      </c>
      <c r="AD1077" t="s">
        <v>16247</v>
      </c>
      <c r="AE1077">
        <v>28</v>
      </c>
      <c r="AF1077" t="s">
        <v>2904</v>
      </c>
      <c r="AG1077" t="s">
        <v>1754</v>
      </c>
      <c r="AH1077">
        <v>6</v>
      </c>
      <c r="AI1077">
        <v>1</v>
      </c>
      <c r="AJ1077">
        <v>0</v>
      </c>
      <c r="AK1077">
        <v>0</v>
      </c>
      <c r="AN1077" t="s">
        <v>2926</v>
      </c>
      <c r="AO1077" t="s">
        <v>13051</v>
      </c>
      <c r="AQ1077" t="s">
        <v>2977</v>
      </c>
      <c r="AR1077" t="s">
        <v>18462</v>
      </c>
      <c r="AS1077" t="s">
        <v>2992</v>
      </c>
      <c r="AT1077" t="s">
        <v>18530</v>
      </c>
      <c r="AU1077">
        <v>23.2</v>
      </c>
      <c r="AV1077" t="s">
        <v>208</v>
      </c>
      <c r="AW1077" t="s">
        <v>3044</v>
      </c>
    </row>
    <row r="1078" spans="1:50">
      <c r="A1078" s="1" t="s">
        <v>100</v>
      </c>
      <c r="B1078" t="s">
        <v>164</v>
      </c>
      <c r="C1078" t="s">
        <v>4288</v>
      </c>
      <c r="D1078" t="s">
        <v>3029</v>
      </c>
      <c r="E1078" t="s">
        <v>1994</v>
      </c>
      <c r="F1078" t="s">
        <v>420</v>
      </c>
      <c r="G1078" t="s">
        <v>8302</v>
      </c>
      <c r="H1078" t="s">
        <v>9819</v>
      </c>
      <c r="J1078" t="s">
        <v>1643</v>
      </c>
      <c r="K1078">
        <v>10023</v>
      </c>
      <c r="L1078" t="s">
        <v>1670</v>
      </c>
      <c r="M1078" t="s">
        <v>1671</v>
      </c>
      <c r="N1078" t="s">
        <v>12088</v>
      </c>
      <c r="O1078" t="s">
        <v>12746</v>
      </c>
      <c r="P1078" t="s">
        <v>1960</v>
      </c>
      <c r="Q1078" t="s">
        <v>13024</v>
      </c>
      <c r="R1078" t="s">
        <v>50</v>
      </c>
      <c r="S1078" t="s">
        <v>1671</v>
      </c>
      <c r="U1078" t="s">
        <v>1972</v>
      </c>
      <c r="W1078" t="s">
        <v>1994</v>
      </c>
      <c r="X1078">
        <v>3600</v>
      </c>
      <c r="Y1078" t="s">
        <v>2008</v>
      </c>
      <c r="Z1078" t="s">
        <v>2012</v>
      </c>
      <c r="AA1078" t="s">
        <v>2032</v>
      </c>
      <c r="AB1078" t="s">
        <v>2405</v>
      </c>
      <c r="AD1078" t="s">
        <v>16248</v>
      </c>
      <c r="AE1078" t="s">
        <v>13051</v>
      </c>
      <c r="AF1078" t="s">
        <v>2902</v>
      </c>
      <c r="AG1078" t="s">
        <v>1754</v>
      </c>
      <c r="AH1078">
        <v>1</v>
      </c>
      <c r="AI1078">
        <v>1</v>
      </c>
      <c r="AJ1078">
        <v>0</v>
      </c>
      <c r="AK1078">
        <v>0</v>
      </c>
      <c r="AN1078" t="s">
        <v>2926</v>
      </c>
      <c r="AO1078" t="s">
        <v>13051</v>
      </c>
      <c r="AU1078">
        <v>68.59999999999999</v>
      </c>
      <c r="AV1078" t="s">
        <v>1994</v>
      </c>
      <c r="AW1078" t="s">
        <v>3042</v>
      </c>
      <c r="AX1078" t="s">
        <v>18685</v>
      </c>
    </row>
    <row r="1079" spans="1:50">
      <c r="A1079" s="1" t="s">
        <v>140</v>
      </c>
      <c r="B1079" t="s">
        <v>163</v>
      </c>
      <c r="C1079" t="s">
        <v>4289</v>
      </c>
      <c r="D1079" t="s">
        <v>230</v>
      </c>
      <c r="F1079" t="s">
        <v>585</v>
      </c>
      <c r="G1079" t="s">
        <v>835</v>
      </c>
      <c r="H1079" t="s">
        <v>9820</v>
      </c>
      <c r="I1079" t="s">
        <v>11166</v>
      </c>
      <c r="J1079" t="s">
        <v>11739</v>
      </c>
      <c r="K1079">
        <v>11372</v>
      </c>
      <c r="L1079" t="s">
        <v>1670</v>
      </c>
      <c r="M1079" t="s">
        <v>1672</v>
      </c>
      <c r="N1079" t="s">
        <v>12089</v>
      </c>
      <c r="O1079" t="s">
        <v>1936</v>
      </c>
      <c r="P1079" t="s">
        <v>1960</v>
      </c>
      <c r="R1079" t="s">
        <v>50</v>
      </c>
      <c r="S1079" t="s">
        <v>1671</v>
      </c>
      <c r="U1079" t="s">
        <v>1972</v>
      </c>
      <c r="V1079" t="s">
        <v>1986</v>
      </c>
      <c r="W1079" t="s">
        <v>230</v>
      </c>
      <c r="X1079">
        <v>750</v>
      </c>
      <c r="Y1079" t="s">
        <v>2007</v>
      </c>
      <c r="Z1079" t="s">
        <v>2020</v>
      </c>
      <c r="AB1079" t="s">
        <v>13810</v>
      </c>
      <c r="AD1079" t="s">
        <v>16249</v>
      </c>
      <c r="AE1079">
        <v>43</v>
      </c>
      <c r="AF1079" t="s">
        <v>2902</v>
      </c>
      <c r="AH1079">
        <v>46</v>
      </c>
      <c r="AI1079">
        <v>1</v>
      </c>
      <c r="AJ1079">
        <v>0</v>
      </c>
      <c r="AK1079">
        <v>0</v>
      </c>
      <c r="AN1079" t="s">
        <v>2926</v>
      </c>
      <c r="AO1079" t="s">
        <v>13051</v>
      </c>
      <c r="AU1079">
        <v>16.3</v>
      </c>
      <c r="AV1079" t="s">
        <v>3037</v>
      </c>
      <c r="AW1079" t="s">
        <v>140</v>
      </c>
      <c r="AX1079" t="s">
        <v>18685</v>
      </c>
    </row>
    <row r="1080" spans="1:50">
      <c r="A1080" s="1" t="s">
        <v>151</v>
      </c>
      <c r="B1080" t="s">
        <v>163</v>
      </c>
      <c r="C1080" t="s">
        <v>4290</v>
      </c>
      <c r="D1080" t="s">
        <v>230</v>
      </c>
      <c r="F1080" t="s">
        <v>7280</v>
      </c>
      <c r="G1080" t="s">
        <v>8400</v>
      </c>
      <c r="H1080" t="s">
        <v>9821</v>
      </c>
      <c r="I1080" t="s">
        <v>11167</v>
      </c>
      <c r="J1080" t="s">
        <v>1668</v>
      </c>
      <c r="K1080">
        <v>11367</v>
      </c>
      <c r="L1080" t="s">
        <v>1670</v>
      </c>
      <c r="M1080" t="s">
        <v>1672</v>
      </c>
      <c r="N1080" t="s">
        <v>12090</v>
      </c>
      <c r="O1080" t="s">
        <v>1936</v>
      </c>
      <c r="P1080" t="s">
        <v>1960</v>
      </c>
      <c r="R1080" t="s">
        <v>50</v>
      </c>
      <c r="S1080" t="s">
        <v>1670</v>
      </c>
      <c r="U1080" t="s">
        <v>1972</v>
      </c>
      <c r="V1080" t="s">
        <v>1984</v>
      </c>
      <c r="W1080" t="s">
        <v>230</v>
      </c>
      <c r="X1080">
        <v>1358</v>
      </c>
      <c r="Y1080" t="s">
        <v>2007</v>
      </c>
      <c r="Z1080" t="s">
        <v>2014</v>
      </c>
      <c r="AB1080" t="s">
        <v>13811</v>
      </c>
      <c r="AD1080" t="s">
        <v>16250</v>
      </c>
      <c r="AE1080">
        <v>12</v>
      </c>
      <c r="AF1080" t="s">
        <v>2902</v>
      </c>
      <c r="AH1080">
        <v>8</v>
      </c>
      <c r="AI1080">
        <v>1</v>
      </c>
      <c r="AJ1080">
        <v>0</v>
      </c>
      <c r="AK1080">
        <v>0</v>
      </c>
      <c r="AN1080" t="s">
        <v>2926</v>
      </c>
      <c r="AO1080" t="s">
        <v>13051</v>
      </c>
      <c r="AU1080">
        <v>16.95</v>
      </c>
      <c r="AV1080" t="s">
        <v>397</v>
      </c>
      <c r="AW1080" t="s">
        <v>3073</v>
      </c>
      <c r="AX1080" t="s">
        <v>18685</v>
      </c>
    </row>
    <row r="1081" spans="1:50">
      <c r="A1081" s="1" t="s">
        <v>149</v>
      </c>
      <c r="B1081" t="s">
        <v>163</v>
      </c>
      <c r="C1081" t="s">
        <v>4291</v>
      </c>
      <c r="D1081" t="s">
        <v>339</v>
      </c>
      <c r="F1081" t="s">
        <v>7279</v>
      </c>
      <c r="G1081" t="s">
        <v>8399</v>
      </c>
      <c r="H1081" t="s">
        <v>9818</v>
      </c>
      <c r="I1081">
        <v>41</v>
      </c>
      <c r="J1081" t="s">
        <v>1668</v>
      </c>
      <c r="K1081">
        <v>11358</v>
      </c>
      <c r="L1081" t="s">
        <v>1670</v>
      </c>
      <c r="M1081" t="s">
        <v>1670</v>
      </c>
      <c r="N1081" t="s">
        <v>12091</v>
      </c>
      <c r="O1081" t="s">
        <v>1940</v>
      </c>
      <c r="P1081" t="s">
        <v>1960</v>
      </c>
      <c r="R1081" t="s">
        <v>50</v>
      </c>
      <c r="S1081" t="s">
        <v>1670</v>
      </c>
      <c r="U1081" t="s">
        <v>1972</v>
      </c>
      <c r="V1081" t="s">
        <v>1984</v>
      </c>
      <c r="W1081" t="s">
        <v>339</v>
      </c>
      <c r="X1081">
        <v>1150</v>
      </c>
      <c r="Y1081" t="s">
        <v>2007</v>
      </c>
      <c r="Z1081" t="s">
        <v>2014</v>
      </c>
      <c r="AB1081" t="s">
        <v>13809</v>
      </c>
      <c r="AD1081" t="s">
        <v>16247</v>
      </c>
      <c r="AE1081">
        <v>45</v>
      </c>
      <c r="AF1081" t="s">
        <v>2902</v>
      </c>
      <c r="AH1081">
        <v>6</v>
      </c>
      <c r="AI1081">
        <v>1</v>
      </c>
      <c r="AJ1081">
        <v>0</v>
      </c>
      <c r="AK1081">
        <v>0</v>
      </c>
      <c r="AN1081" t="s">
        <v>2926</v>
      </c>
      <c r="AO1081" t="s">
        <v>13051</v>
      </c>
      <c r="AU1081">
        <v>21.4</v>
      </c>
      <c r="AV1081" t="s">
        <v>397</v>
      </c>
      <c r="AW1081" t="s">
        <v>3073</v>
      </c>
    </row>
    <row r="1082" spans="1:50">
      <c r="A1082" s="1" t="s">
        <v>73</v>
      </c>
      <c r="B1082" t="s">
        <v>163</v>
      </c>
      <c r="C1082" t="s">
        <v>4292</v>
      </c>
      <c r="D1082" t="s">
        <v>360</v>
      </c>
      <c r="F1082" t="s">
        <v>7133</v>
      </c>
      <c r="G1082" t="s">
        <v>8401</v>
      </c>
      <c r="H1082" t="s">
        <v>9822</v>
      </c>
      <c r="I1082" t="s">
        <v>1477</v>
      </c>
      <c r="J1082" t="s">
        <v>1668</v>
      </c>
      <c r="K1082">
        <v>11354</v>
      </c>
      <c r="L1082" t="s">
        <v>1670</v>
      </c>
      <c r="M1082" t="s">
        <v>1670</v>
      </c>
      <c r="N1082" t="s">
        <v>12092</v>
      </c>
      <c r="O1082" t="s">
        <v>1940</v>
      </c>
      <c r="P1082" t="s">
        <v>1960</v>
      </c>
      <c r="R1082" t="s">
        <v>50</v>
      </c>
      <c r="S1082" t="s">
        <v>1670</v>
      </c>
      <c r="U1082" t="s">
        <v>1972</v>
      </c>
      <c r="V1082" t="s">
        <v>1984</v>
      </c>
      <c r="W1082" t="s">
        <v>209</v>
      </c>
      <c r="X1082">
        <v>1100</v>
      </c>
      <c r="Y1082" t="s">
        <v>2007</v>
      </c>
      <c r="Z1082" t="s">
        <v>2025</v>
      </c>
      <c r="AB1082" t="s">
        <v>13812</v>
      </c>
      <c r="AD1082" t="s">
        <v>16251</v>
      </c>
      <c r="AE1082">
        <v>15</v>
      </c>
      <c r="AF1082" t="s">
        <v>2903</v>
      </c>
      <c r="AG1082" t="s">
        <v>1754</v>
      </c>
      <c r="AH1082">
        <v>4</v>
      </c>
      <c r="AI1082">
        <v>1</v>
      </c>
      <c r="AJ1082">
        <v>0</v>
      </c>
      <c r="AK1082">
        <v>0</v>
      </c>
      <c r="AN1082" t="s">
        <v>2926</v>
      </c>
      <c r="AO1082" t="s">
        <v>13051</v>
      </c>
      <c r="AQ1082" t="s">
        <v>2980</v>
      </c>
      <c r="AR1082" t="s">
        <v>2017</v>
      </c>
      <c r="AS1082" t="s">
        <v>2993</v>
      </c>
      <c r="AT1082" t="s">
        <v>18531</v>
      </c>
      <c r="AU1082">
        <v>22.5</v>
      </c>
      <c r="AV1082" t="s">
        <v>189</v>
      </c>
      <c r="AW1082" t="s">
        <v>3066</v>
      </c>
    </row>
    <row r="1083" spans="1:50">
      <c r="A1083" s="1" t="s">
        <v>66</v>
      </c>
      <c r="B1083" t="s">
        <v>163</v>
      </c>
      <c r="C1083" t="s">
        <v>4293</v>
      </c>
      <c r="D1083" t="s">
        <v>167</v>
      </c>
      <c r="F1083" t="s">
        <v>7281</v>
      </c>
      <c r="G1083" t="s">
        <v>8402</v>
      </c>
      <c r="H1083" t="s">
        <v>9823</v>
      </c>
      <c r="I1083" t="s">
        <v>1509</v>
      </c>
      <c r="J1083" t="s">
        <v>1644</v>
      </c>
      <c r="K1083">
        <v>11237</v>
      </c>
      <c r="L1083" t="s">
        <v>1670</v>
      </c>
      <c r="M1083" t="s">
        <v>1671</v>
      </c>
      <c r="N1083" t="s">
        <v>12093</v>
      </c>
      <c r="O1083" t="s">
        <v>1940</v>
      </c>
      <c r="P1083" t="s">
        <v>1960</v>
      </c>
      <c r="R1083" t="s">
        <v>50</v>
      </c>
      <c r="U1083" t="s">
        <v>1972</v>
      </c>
      <c r="W1083" t="s">
        <v>266</v>
      </c>
      <c r="X1083">
        <v>973</v>
      </c>
      <c r="Y1083" t="s">
        <v>2009</v>
      </c>
      <c r="Z1083" t="s">
        <v>2014</v>
      </c>
      <c r="AB1083" t="s">
        <v>13813</v>
      </c>
      <c r="AC1083" t="s">
        <v>15108</v>
      </c>
      <c r="AD1083" t="s">
        <v>16252</v>
      </c>
      <c r="AE1083" t="s">
        <v>13051</v>
      </c>
      <c r="AG1083" t="s">
        <v>2915</v>
      </c>
      <c r="AH1083">
        <v>12</v>
      </c>
      <c r="AI1083">
        <v>1</v>
      </c>
      <c r="AJ1083">
        <v>0</v>
      </c>
      <c r="AK1083">
        <v>0</v>
      </c>
      <c r="AN1083" t="s">
        <v>2926</v>
      </c>
      <c r="AO1083" t="s">
        <v>13051</v>
      </c>
      <c r="AU1083">
        <v>73</v>
      </c>
      <c r="AV1083" t="s">
        <v>3030</v>
      </c>
      <c r="AW1083" t="s">
        <v>3074</v>
      </c>
    </row>
    <row r="1084" spans="1:50">
      <c r="A1084" s="1" t="s">
        <v>125</v>
      </c>
      <c r="B1084" t="s">
        <v>163</v>
      </c>
      <c r="C1084" t="s">
        <v>4294</v>
      </c>
      <c r="D1084" t="s">
        <v>309</v>
      </c>
      <c r="F1084" t="s">
        <v>7282</v>
      </c>
      <c r="G1084" t="s">
        <v>8403</v>
      </c>
      <c r="H1084" t="s">
        <v>9824</v>
      </c>
      <c r="I1084" t="s">
        <v>11144</v>
      </c>
      <c r="J1084" t="s">
        <v>1644</v>
      </c>
      <c r="K1084">
        <v>11233</v>
      </c>
      <c r="L1084" t="s">
        <v>1670</v>
      </c>
      <c r="M1084" t="s">
        <v>1670</v>
      </c>
      <c r="N1084" t="s">
        <v>12094</v>
      </c>
      <c r="O1084" t="s">
        <v>1940</v>
      </c>
      <c r="P1084" t="s">
        <v>1960</v>
      </c>
      <c r="R1084" t="s">
        <v>50</v>
      </c>
      <c r="S1084" t="s">
        <v>1671</v>
      </c>
      <c r="U1084" t="s">
        <v>1972</v>
      </c>
      <c r="V1084" t="s">
        <v>1987</v>
      </c>
      <c r="W1084" t="s">
        <v>1990</v>
      </c>
      <c r="X1084">
        <v>800</v>
      </c>
      <c r="Y1084" t="s">
        <v>2009</v>
      </c>
      <c r="Z1084" t="s">
        <v>2014</v>
      </c>
      <c r="AB1084" t="s">
        <v>13814</v>
      </c>
      <c r="AC1084">
        <v>88034031</v>
      </c>
      <c r="AD1084" t="s">
        <v>16253</v>
      </c>
      <c r="AE1084">
        <v>2</v>
      </c>
      <c r="AF1084" t="s">
        <v>2903</v>
      </c>
      <c r="AG1084" t="s">
        <v>18016</v>
      </c>
      <c r="AH1084">
        <v>2</v>
      </c>
      <c r="AI1084">
        <v>1</v>
      </c>
      <c r="AJ1084">
        <v>0</v>
      </c>
      <c r="AK1084">
        <v>0</v>
      </c>
      <c r="AN1084" t="s">
        <v>2927</v>
      </c>
      <c r="AO1084" t="s">
        <v>13051</v>
      </c>
      <c r="AP1084" t="s">
        <v>18248</v>
      </c>
      <c r="AU1084">
        <v>1</v>
      </c>
      <c r="AV1084" t="s">
        <v>383</v>
      </c>
      <c r="AW1084" t="s">
        <v>3060</v>
      </c>
    </row>
    <row r="1085" spans="1:50">
      <c r="A1085" s="1" t="s">
        <v>107</v>
      </c>
      <c r="B1085" t="s">
        <v>163</v>
      </c>
      <c r="C1085" t="s">
        <v>4295</v>
      </c>
      <c r="D1085" t="s">
        <v>202</v>
      </c>
      <c r="F1085" t="s">
        <v>7111</v>
      </c>
      <c r="G1085" t="s">
        <v>8404</v>
      </c>
      <c r="H1085" t="s">
        <v>9825</v>
      </c>
      <c r="J1085" t="s">
        <v>1644</v>
      </c>
      <c r="K1085">
        <v>11233</v>
      </c>
      <c r="L1085" t="s">
        <v>1670</v>
      </c>
      <c r="M1085" t="s">
        <v>1670</v>
      </c>
      <c r="N1085" t="s">
        <v>12095</v>
      </c>
      <c r="O1085" t="s">
        <v>1940</v>
      </c>
      <c r="P1085" t="s">
        <v>1960</v>
      </c>
      <c r="R1085" t="s">
        <v>50</v>
      </c>
      <c r="S1085" t="s">
        <v>1671</v>
      </c>
      <c r="U1085" t="s">
        <v>1972</v>
      </c>
      <c r="V1085" t="s">
        <v>1984</v>
      </c>
      <c r="W1085" t="s">
        <v>267</v>
      </c>
      <c r="X1085">
        <v>525</v>
      </c>
      <c r="Y1085" t="s">
        <v>2009</v>
      </c>
      <c r="Z1085" t="s">
        <v>2011</v>
      </c>
      <c r="AB1085" t="s">
        <v>13815</v>
      </c>
      <c r="AC1085" t="s">
        <v>1754</v>
      </c>
      <c r="AD1085" t="s">
        <v>16254</v>
      </c>
      <c r="AE1085">
        <v>3</v>
      </c>
      <c r="AF1085" t="s">
        <v>2903</v>
      </c>
      <c r="AG1085" t="s">
        <v>1754</v>
      </c>
      <c r="AH1085">
        <v>12</v>
      </c>
      <c r="AI1085">
        <v>1</v>
      </c>
      <c r="AJ1085">
        <v>0</v>
      </c>
      <c r="AK1085">
        <v>0</v>
      </c>
      <c r="AN1085" t="s">
        <v>2926</v>
      </c>
      <c r="AO1085" t="s">
        <v>13051</v>
      </c>
      <c r="AU1085">
        <v>93.8</v>
      </c>
      <c r="AV1085" t="s">
        <v>18645</v>
      </c>
      <c r="AW1085" t="s">
        <v>3059</v>
      </c>
      <c r="AX1085" t="s">
        <v>18685</v>
      </c>
    </row>
    <row r="1086" spans="1:50">
      <c r="A1086" s="1" t="s">
        <v>88</v>
      </c>
      <c r="B1086" t="s">
        <v>163</v>
      </c>
      <c r="C1086" t="s">
        <v>4296</v>
      </c>
      <c r="D1086" t="s">
        <v>179</v>
      </c>
      <c r="F1086" t="s">
        <v>7283</v>
      </c>
      <c r="G1086" t="s">
        <v>7916</v>
      </c>
      <c r="H1086" t="s">
        <v>9825</v>
      </c>
      <c r="I1086">
        <v>2</v>
      </c>
      <c r="J1086" t="s">
        <v>1644</v>
      </c>
      <c r="K1086">
        <v>11233</v>
      </c>
      <c r="L1086" t="s">
        <v>1670</v>
      </c>
      <c r="M1086" t="s">
        <v>1672</v>
      </c>
      <c r="N1086" t="s">
        <v>12096</v>
      </c>
      <c r="O1086" t="s">
        <v>1940</v>
      </c>
      <c r="P1086" t="s">
        <v>1960</v>
      </c>
      <c r="R1086" t="s">
        <v>50</v>
      </c>
      <c r="S1086" t="s">
        <v>1671</v>
      </c>
      <c r="U1086" t="s">
        <v>1972</v>
      </c>
      <c r="V1086" t="s">
        <v>1984</v>
      </c>
      <c r="W1086" t="s">
        <v>267</v>
      </c>
      <c r="X1086">
        <v>525</v>
      </c>
      <c r="Y1086" t="s">
        <v>2009</v>
      </c>
      <c r="Z1086" t="s">
        <v>2013</v>
      </c>
      <c r="AB1086" t="s">
        <v>13816</v>
      </c>
      <c r="AC1086" t="s">
        <v>1691</v>
      </c>
      <c r="AD1086" t="s">
        <v>16255</v>
      </c>
      <c r="AE1086">
        <v>8</v>
      </c>
      <c r="AF1086" t="s">
        <v>2902</v>
      </c>
      <c r="AG1086" t="s">
        <v>1754</v>
      </c>
      <c r="AH1086">
        <v>5</v>
      </c>
      <c r="AI1086">
        <v>1</v>
      </c>
      <c r="AJ1086">
        <v>0</v>
      </c>
      <c r="AK1086">
        <v>0</v>
      </c>
      <c r="AN1086" t="s">
        <v>2926</v>
      </c>
      <c r="AO1086" t="s">
        <v>13051</v>
      </c>
      <c r="AU1086" t="s">
        <v>13051</v>
      </c>
      <c r="AW1086" t="s">
        <v>3060</v>
      </c>
      <c r="AX1086" t="s">
        <v>18685</v>
      </c>
    </row>
    <row r="1087" spans="1:50">
      <c r="A1087" s="1" t="s">
        <v>96</v>
      </c>
      <c r="B1087" t="s">
        <v>163</v>
      </c>
      <c r="C1087" t="s">
        <v>4297</v>
      </c>
      <c r="D1087" t="s">
        <v>345</v>
      </c>
      <c r="F1087" t="s">
        <v>7284</v>
      </c>
      <c r="G1087" t="s">
        <v>8092</v>
      </c>
      <c r="H1087" t="s">
        <v>9826</v>
      </c>
      <c r="I1087" t="s">
        <v>11168</v>
      </c>
      <c r="J1087" t="s">
        <v>1644</v>
      </c>
      <c r="K1087">
        <v>11226</v>
      </c>
      <c r="L1087" t="s">
        <v>1670</v>
      </c>
      <c r="M1087" t="s">
        <v>1670</v>
      </c>
      <c r="N1087" t="s">
        <v>12097</v>
      </c>
      <c r="O1087" t="s">
        <v>1936</v>
      </c>
      <c r="P1087" t="s">
        <v>1960</v>
      </c>
      <c r="R1087" t="s">
        <v>50</v>
      </c>
      <c r="S1087" t="s">
        <v>1671</v>
      </c>
      <c r="U1087" t="s">
        <v>1972</v>
      </c>
      <c r="V1087" t="s">
        <v>1984</v>
      </c>
      <c r="W1087" t="s">
        <v>256</v>
      </c>
      <c r="X1087">
        <v>2182.37</v>
      </c>
      <c r="Y1087" t="s">
        <v>2009</v>
      </c>
      <c r="Z1087" t="s">
        <v>2020</v>
      </c>
      <c r="AB1087" t="s">
        <v>13817</v>
      </c>
      <c r="AD1087" t="s">
        <v>16256</v>
      </c>
      <c r="AE1087">
        <v>39</v>
      </c>
      <c r="AF1087" t="s">
        <v>2902</v>
      </c>
      <c r="AH1087">
        <v>20</v>
      </c>
      <c r="AI1087">
        <v>1</v>
      </c>
      <c r="AJ1087">
        <v>0</v>
      </c>
      <c r="AK1087">
        <v>0</v>
      </c>
      <c r="AN1087" t="s">
        <v>2926</v>
      </c>
      <c r="AO1087" t="s">
        <v>13051</v>
      </c>
      <c r="AQ1087" t="s">
        <v>2979</v>
      </c>
      <c r="AU1087">
        <v>69.8</v>
      </c>
      <c r="AV1087" t="s">
        <v>325</v>
      </c>
      <c r="AW1087" t="s">
        <v>69</v>
      </c>
      <c r="AX1087" t="s">
        <v>18685</v>
      </c>
    </row>
    <row r="1088" spans="1:50">
      <c r="A1088" s="1" t="s">
        <v>62</v>
      </c>
      <c r="B1088" t="s">
        <v>163</v>
      </c>
      <c r="C1088" t="s">
        <v>4298</v>
      </c>
      <c r="D1088" t="s">
        <v>6170</v>
      </c>
      <c r="F1088" t="s">
        <v>7285</v>
      </c>
      <c r="G1088" t="s">
        <v>8405</v>
      </c>
      <c r="H1088" t="s">
        <v>9451</v>
      </c>
      <c r="I1088" t="s">
        <v>11169</v>
      </c>
      <c r="J1088" t="s">
        <v>1644</v>
      </c>
      <c r="K1088">
        <v>11225</v>
      </c>
      <c r="L1088" t="s">
        <v>1670</v>
      </c>
      <c r="M1088" t="s">
        <v>1672</v>
      </c>
      <c r="O1088" t="s">
        <v>1939</v>
      </c>
      <c r="P1088" t="s">
        <v>1960</v>
      </c>
      <c r="R1088" t="s">
        <v>50</v>
      </c>
      <c r="S1088" t="s">
        <v>1670</v>
      </c>
      <c r="T1088" t="s">
        <v>13026</v>
      </c>
      <c r="U1088" t="s">
        <v>1972</v>
      </c>
      <c r="W1088" t="s">
        <v>13036</v>
      </c>
      <c r="X1088">
        <v>1262.69</v>
      </c>
      <c r="Y1088" t="s">
        <v>2009</v>
      </c>
      <c r="Z1088" t="s">
        <v>2015</v>
      </c>
      <c r="AB1088" t="s">
        <v>13818</v>
      </c>
      <c r="AE1088">
        <v>50</v>
      </c>
      <c r="AF1088" t="s">
        <v>2902</v>
      </c>
      <c r="AG1088" t="s">
        <v>1754</v>
      </c>
      <c r="AH1088">
        <v>18</v>
      </c>
      <c r="AI1088">
        <v>1</v>
      </c>
      <c r="AJ1088">
        <v>0</v>
      </c>
      <c r="AK1088">
        <v>0</v>
      </c>
      <c r="AN1088" t="s">
        <v>18042</v>
      </c>
      <c r="AO1088" t="s">
        <v>13051</v>
      </c>
      <c r="AU1088">
        <v>0.82</v>
      </c>
      <c r="AV1088" t="s">
        <v>18646</v>
      </c>
      <c r="AW1088" t="s">
        <v>3079</v>
      </c>
      <c r="AX1088" t="s">
        <v>18685</v>
      </c>
    </row>
    <row r="1089" spans="1:50">
      <c r="A1089" s="1" t="s">
        <v>124</v>
      </c>
      <c r="B1089" t="s">
        <v>163</v>
      </c>
      <c r="C1089" t="s">
        <v>4299</v>
      </c>
      <c r="D1089" t="s">
        <v>384</v>
      </c>
      <c r="F1089" t="s">
        <v>7286</v>
      </c>
      <c r="G1089" t="s">
        <v>833</v>
      </c>
      <c r="H1089" t="s">
        <v>9371</v>
      </c>
      <c r="I1089" t="s">
        <v>1509</v>
      </c>
      <c r="J1089" t="s">
        <v>1644</v>
      </c>
      <c r="K1089">
        <v>11217</v>
      </c>
      <c r="L1089" t="s">
        <v>1670</v>
      </c>
      <c r="M1089" t="s">
        <v>1670</v>
      </c>
      <c r="O1089" t="s">
        <v>1939</v>
      </c>
      <c r="P1089" t="s">
        <v>1960</v>
      </c>
      <c r="R1089" t="s">
        <v>50</v>
      </c>
      <c r="S1089" t="s">
        <v>1670</v>
      </c>
      <c r="U1089" t="s">
        <v>1972</v>
      </c>
      <c r="W1089" t="s">
        <v>406</v>
      </c>
      <c r="X1089">
        <v>626.29</v>
      </c>
      <c r="Y1089" t="s">
        <v>2009</v>
      </c>
      <c r="AB1089" t="s">
        <v>13819</v>
      </c>
      <c r="AD1089" t="s">
        <v>16257</v>
      </c>
      <c r="AE1089" t="s">
        <v>13051</v>
      </c>
      <c r="AH1089" t="s">
        <v>13051</v>
      </c>
      <c r="AI1089">
        <v>1</v>
      </c>
      <c r="AJ1089">
        <v>0</v>
      </c>
      <c r="AK1089">
        <v>0</v>
      </c>
      <c r="AN1089" t="s">
        <v>2926</v>
      </c>
      <c r="AO1089" t="s">
        <v>13051</v>
      </c>
      <c r="AU1089">
        <v>37.2</v>
      </c>
      <c r="AV1089" t="s">
        <v>191</v>
      </c>
      <c r="AW1089" t="s">
        <v>158</v>
      </c>
    </row>
    <row r="1090" spans="1:50">
      <c r="A1090" s="1" t="s">
        <v>124</v>
      </c>
      <c r="B1090" t="s">
        <v>163</v>
      </c>
      <c r="C1090" t="s">
        <v>4300</v>
      </c>
      <c r="D1090" t="s">
        <v>369</v>
      </c>
      <c r="F1090" t="s">
        <v>6783</v>
      </c>
      <c r="G1090" t="s">
        <v>7871</v>
      </c>
      <c r="H1090" t="s">
        <v>9371</v>
      </c>
      <c r="I1090" t="s">
        <v>1544</v>
      </c>
      <c r="J1090" t="s">
        <v>1644</v>
      </c>
      <c r="K1090">
        <v>11217</v>
      </c>
      <c r="L1090" t="s">
        <v>1670</v>
      </c>
      <c r="M1090" t="s">
        <v>1672</v>
      </c>
      <c r="P1090" t="s">
        <v>1960</v>
      </c>
      <c r="R1090" t="s">
        <v>50</v>
      </c>
      <c r="U1090" t="s">
        <v>1972</v>
      </c>
      <c r="W1090" t="s">
        <v>369</v>
      </c>
      <c r="X1090">
        <v>1133.28</v>
      </c>
      <c r="Y1090" t="s">
        <v>2009</v>
      </c>
      <c r="AB1090" t="s">
        <v>13071</v>
      </c>
      <c r="AD1090" t="s">
        <v>15706</v>
      </c>
      <c r="AE1090" t="s">
        <v>13051</v>
      </c>
      <c r="AH1090">
        <v>4</v>
      </c>
      <c r="AI1090">
        <v>1</v>
      </c>
      <c r="AJ1090">
        <v>0</v>
      </c>
      <c r="AK1090">
        <v>0</v>
      </c>
      <c r="AN1090" t="s">
        <v>2926</v>
      </c>
      <c r="AO1090" t="s">
        <v>13051</v>
      </c>
      <c r="AU1090">
        <v>1.8</v>
      </c>
      <c r="AV1090" t="s">
        <v>400</v>
      </c>
      <c r="AW1090" t="s">
        <v>158</v>
      </c>
    </row>
    <row r="1091" spans="1:50">
      <c r="A1091" s="1" t="s">
        <v>124</v>
      </c>
      <c r="B1091" t="s">
        <v>163</v>
      </c>
      <c r="C1091" t="s">
        <v>4301</v>
      </c>
      <c r="D1091" t="s">
        <v>369</v>
      </c>
      <c r="F1091" t="s">
        <v>6783</v>
      </c>
      <c r="G1091" t="s">
        <v>7871</v>
      </c>
      <c r="H1091" t="s">
        <v>9371</v>
      </c>
      <c r="I1091" t="s">
        <v>1544</v>
      </c>
      <c r="J1091" t="s">
        <v>1644</v>
      </c>
      <c r="K1091">
        <v>11217</v>
      </c>
      <c r="L1091" t="s">
        <v>1670</v>
      </c>
      <c r="M1091" t="s">
        <v>1672</v>
      </c>
      <c r="P1091" t="s">
        <v>1960</v>
      </c>
      <c r="R1091" t="s">
        <v>50</v>
      </c>
      <c r="S1091" t="s">
        <v>1670</v>
      </c>
      <c r="U1091" t="s">
        <v>1972</v>
      </c>
      <c r="W1091" t="s">
        <v>369</v>
      </c>
      <c r="X1091">
        <v>1133.28</v>
      </c>
      <c r="Y1091" t="s">
        <v>2009</v>
      </c>
      <c r="AB1091" t="s">
        <v>13071</v>
      </c>
      <c r="AD1091" t="s">
        <v>15706</v>
      </c>
      <c r="AE1091" t="s">
        <v>13051</v>
      </c>
      <c r="AH1091">
        <v>4</v>
      </c>
      <c r="AI1091">
        <v>1</v>
      </c>
      <c r="AJ1091">
        <v>0</v>
      </c>
      <c r="AK1091">
        <v>0</v>
      </c>
      <c r="AN1091" t="s">
        <v>2926</v>
      </c>
      <c r="AO1091" t="s">
        <v>13051</v>
      </c>
      <c r="AU1091" t="s">
        <v>13051</v>
      </c>
      <c r="AW1091" t="s">
        <v>158</v>
      </c>
    </row>
    <row r="1092" spans="1:50">
      <c r="A1092" s="1" t="s">
        <v>124</v>
      </c>
      <c r="B1092" t="s">
        <v>163</v>
      </c>
      <c r="C1092" t="s">
        <v>4302</v>
      </c>
      <c r="D1092" t="s">
        <v>369</v>
      </c>
      <c r="F1092" t="s">
        <v>7286</v>
      </c>
      <c r="G1092" t="s">
        <v>833</v>
      </c>
      <c r="H1092" t="s">
        <v>9371</v>
      </c>
      <c r="I1092" t="s">
        <v>1509</v>
      </c>
      <c r="J1092" t="s">
        <v>1644</v>
      </c>
      <c r="K1092">
        <v>11217</v>
      </c>
      <c r="L1092" t="s">
        <v>1670</v>
      </c>
      <c r="M1092" t="s">
        <v>1672</v>
      </c>
      <c r="P1092" t="s">
        <v>1960</v>
      </c>
      <c r="R1092" t="s">
        <v>50</v>
      </c>
      <c r="U1092" t="s">
        <v>1972</v>
      </c>
      <c r="W1092" t="s">
        <v>369</v>
      </c>
      <c r="X1092">
        <v>626.29</v>
      </c>
      <c r="Y1092" t="s">
        <v>2009</v>
      </c>
      <c r="AB1092" t="s">
        <v>13819</v>
      </c>
      <c r="AD1092" t="s">
        <v>16257</v>
      </c>
      <c r="AE1092" t="s">
        <v>13051</v>
      </c>
      <c r="AH1092" t="s">
        <v>13051</v>
      </c>
      <c r="AI1092">
        <v>1</v>
      </c>
      <c r="AJ1092">
        <v>0</v>
      </c>
      <c r="AK1092">
        <v>0</v>
      </c>
      <c r="AN1092" t="s">
        <v>2926</v>
      </c>
      <c r="AO1092" t="s">
        <v>13051</v>
      </c>
      <c r="AU1092">
        <v>22.7</v>
      </c>
      <c r="AV1092" t="s">
        <v>400</v>
      </c>
      <c r="AW1092" t="s">
        <v>158</v>
      </c>
    </row>
    <row r="1093" spans="1:50">
      <c r="A1093" s="1" t="s">
        <v>124</v>
      </c>
      <c r="B1093" t="s">
        <v>163</v>
      </c>
      <c r="C1093" t="s">
        <v>4303</v>
      </c>
      <c r="D1093" t="s">
        <v>369</v>
      </c>
      <c r="F1093" t="s">
        <v>7286</v>
      </c>
      <c r="G1093" t="s">
        <v>833</v>
      </c>
      <c r="H1093" t="s">
        <v>9371</v>
      </c>
      <c r="I1093" t="s">
        <v>1509</v>
      </c>
      <c r="J1093" t="s">
        <v>1644</v>
      </c>
      <c r="K1093">
        <v>11217</v>
      </c>
      <c r="L1093" t="s">
        <v>1670</v>
      </c>
      <c r="M1093" t="s">
        <v>1672</v>
      </c>
      <c r="P1093" t="s">
        <v>1960</v>
      </c>
      <c r="R1093" t="s">
        <v>50</v>
      </c>
      <c r="S1093" t="s">
        <v>1670</v>
      </c>
      <c r="U1093" t="s">
        <v>1972</v>
      </c>
      <c r="W1093" t="s">
        <v>369</v>
      </c>
      <c r="X1093">
        <v>626.29</v>
      </c>
      <c r="Y1093" t="s">
        <v>2009</v>
      </c>
      <c r="AB1093" t="s">
        <v>13819</v>
      </c>
      <c r="AD1093" t="s">
        <v>16257</v>
      </c>
      <c r="AE1093" t="s">
        <v>13051</v>
      </c>
      <c r="AH1093" t="s">
        <v>13051</v>
      </c>
      <c r="AI1093">
        <v>1</v>
      </c>
      <c r="AJ1093">
        <v>0</v>
      </c>
      <c r="AK1093">
        <v>0</v>
      </c>
      <c r="AN1093" t="s">
        <v>2926</v>
      </c>
      <c r="AO1093" t="s">
        <v>13051</v>
      </c>
      <c r="AU1093">
        <v>1</v>
      </c>
      <c r="AV1093" t="s">
        <v>334</v>
      </c>
      <c r="AW1093" t="s">
        <v>158</v>
      </c>
    </row>
    <row r="1094" spans="1:50">
      <c r="A1094" s="1" t="s">
        <v>124</v>
      </c>
      <c r="B1094" t="s">
        <v>163</v>
      </c>
      <c r="C1094" t="s">
        <v>4304</v>
      </c>
      <c r="D1094" t="s">
        <v>191</v>
      </c>
      <c r="F1094" t="s">
        <v>6782</v>
      </c>
      <c r="G1094" t="s">
        <v>7870</v>
      </c>
      <c r="H1094" t="s">
        <v>9371</v>
      </c>
      <c r="I1094" t="s">
        <v>1622</v>
      </c>
      <c r="J1094" t="s">
        <v>1644</v>
      </c>
      <c r="K1094">
        <v>11217</v>
      </c>
      <c r="L1094" t="s">
        <v>1670</v>
      </c>
      <c r="M1094" t="s">
        <v>1672</v>
      </c>
      <c r="P1094" t="s">
        <v>1960</v>
      </c>
      <c r="R1094" t="s">
        <v>50</v>
      </c>
      <c r="S1094" t="s">
        <v>1670</v>
      </c>
      <c r="U1094" t="s">
        <v>1972</v>
      </c>
      <c r="W1094" t="s">
        <v>191</v>
      </c>
      <c r="X1094">
        <v>869.85</v>
      </c>
      <c r="Y1094" t="s">
        <v>2009</v>
      </c>
      <c r="AB1094" t="s">
        <v>13070</v>
      </c>
      <c r="AD1094" t="s">
        <v>15705</v>
      </c>
      <c r="AE1094" t="s">
        <v>13051</v>
      </c>
      <c r="AH1094">
        <v>10</v>
      </c>
      <c r="AI1094">
        <v>1</v>
      </c>
      <c r="AJ1094">
        <v>0</v>
      </c>
      <c r="AK1094">
        <v>0</v>
      </c>
      <c r="AN1094" t="s">
        <v>2926</v>
      </c>
      <c r="AO1094" t="s">
        <v>13051</v>
      </c>
      <c r="AU1094">
        <v>7.2</v>
      </c>
      <c r="AV1094" t="s">
        <v>400</v>
      </c>
      <c r="AW1094" t="s">
        <v>158</v>
      </c>
    </row>
    <row r="1095" spans="1:50">
      <c r="A1095" s="1" t="s">
        <v>124</v>
      </c>
      <c r="B1095" t="s">
        <v>163</v>
      </c>
      <c r="C1095" t="s">
        <v>4305</v>
      </c>
      <c r="D1095" t="s">
        <v>191</v>
      </c>
      <c r="F1095" t="s">
        <v>6782</v>
      </c>
      <c r="G1095" t="s">
        <v>7870</v>
      </c>
      <c r="H1095" t="s">
        <v>9371</v>
      </c>
      <c r="I1095" t="s">
        <v>1622</v>
      </c>
      <c r="J1095" t="s">
        <v>1644</v>
      </c>
      <c r="K1095">
        <v>11217</v>
      </c>
      <c r="L1095" t="s">
        <v>1670</v>
      </c>
      <c r="M1095" t="s">
        <v>1672</v>
      </c>
      <c r="P1095" t="s">
        <v>1960</v>
      </c>
      <c r="R1095" t="s">
        <v>50</v>
      </c>
      <c r="S1095" t="s">
        <v>1670</v>
      </c>
      <c r="U1095" t="s">
        <v>1972</v>
      </c>
      <c r="W1095" t="s">
        <v>191</v>
      </c>
      <c r="X1095">
        <v>869.85</v>
      </c>
      <c r="Y1095" t="s">
        <v>2009</v>
      </c>
      <c r="AB1095" t="s">
        <v>13070</v>
      </c>
      <c r="AD1095" t="s">
        <v>15705</v>
      </c>
      <c r="AE1095" t="s">
        <v>13051</v>
      </c>
      <c r="AH1095">
        <v>10</v>
      </c>
      <c r="AI1095">
        <v>1</v>
      </c>
      <c r="AJ1095">
        <v>0</v>
      </c>
      <c r="AK1095">
        <v>0</v>
      </c>
      <c r="AN1095" t="s">
        <v>2926</v>
      </c>
      <c r="AO1095" t="s">
        <v>13051</v>
      </c>
      <c r="AU1095" t="s">
        <v>13051</v>
      </c>
      <c r="AW1095" t="s">
        <v>158</v>
      </c>
    </row>
    <row r="1096" spans="1:50">
      <c r="A1096" s="1" t="s">
        <v>133</v>
      </c>
      <c r="B1096" t="s">
        <v>163</v>
      </c>
      <c r="C1096" t="s">
        <v>4306</v>
      </c>
      <c r="D1096" t="s">
        <v>324</v>
      </c>
      <c r="F1096" t="s">
        <v>7287</v>
      </c>
      <c r="G1096" t="s">
        <v>1065</v>
      </c>
      <c r="H1096" t="s">
        <v>9827</v>
      </c>
      <c r="I1096" t="s">
        <v>1506</v>
      </c>
      <c r="J1096" t="s">
        <v>1644</v>
      </c>
      <c r="K1096">
        <v>11213</v>
      </c>
      <c r="L1096" t="s">
        <v>1670</v>
      </c>
      <c r="M1096" t="s">
        <v>1670</v>
      </c>
      <c r="N1096" t="s">
        <v>1865</v>
      </c>
      <c r="O1096" t="s">
        <v>1939</v>
      </c>
      <c r="P1096" t="s">
        <v>1960</v>
      </c>
      <c r="R1096" t="s">
        <v>50</v>
      </c>
      <c r="S1096" t="s">
        <v>1670</v>
      </c>
      <c r="U1096" t="s">
        <v>1972</v>
      </c>
      <c r="V1096" t="s">
        <v>1984</v>
      </c>
      <c r="W1096" t="s">
        <v>3029</v>
      </c>
      <c r="X1096">
        <v>852</v>
      </c>
      <c r="Y1096" t="s">
        <v>2009</v>
      </c>
      <c r="AB1096" t="s">
        <v>13820</v>
      </c>
      <c r="AD1096" t="s">
        <v>16258</v>
      </c>
      <c r="AE1096">
        <v>23</v>
      </c>
      <c r="AF1096" t="s">
        <v>2902</v>
      </c>
      <c r="AH1096">
        <v>20</v>
      </c>
      <c r="AI1096">
        <v>2</v>
      </c>
      <c r="AJ1096">
        <v>0</v>
      </c>
      <c r="AK1096">
        <v>0</v>
      </c>
      <c r="AN1096" t="s">
        <v>2926</v>
      </c>
      <c r="AO1096" t="s">
        <v>13051</v>
      </c>
      <c r="AU1096">
        <v>0.1</v>
      </c>
      <c r="AV1096" t="s">
        <v>253</v>
      </c>
      <c r="AW1096" t="s">
        <v>3060</v>
      </c>
    </row>
    <row r="1097" spans="1:50">
      <c r="A1097" s="1" t="s">
        <v>88</v>
      </c>
      <c r="B1097" t="s">
        <v>163</v>
      </c>
      <c r="C1097" t="s">
        <v>4307</v>
      </c>
      <c r="D1097" t="s">
        <v>336</v>
      </c>
      <c r="F1097" t="s">
        <v>567</v>
      </c>
      <c r="G1097" t="s">
        <v>8347</v>
      </c>
      <c r="H1097" t="s">
        <v>9765</v>
      </c>
      <c r="I1097" t="s">
        <v>1596</v>
      </c>
      <c r="J1097" t="s">
        <v>1644</v>
      </c>
      <c r="K1097">
        <v>11212</v>
      </c>
      <c r="L1097" t="s">
        <v>1670</v>
      </c>
      <c r="M1097" t="s">
        <v>1670</v>
      </c>
      <c r="N1097" t="s">
        <v>12055</v>
      </c>
      <c r="O1097" t="s">
        <v>1936</v>
      </c>
      <c r="P1097" t="s">
        <v>1960</v>
      </c>
      <c r="R1097" t="s">
        <v>50</v>
      </c>
      <c r="S1097" t="s">
        <v>1671</v>
      </c>
      <c r="U1097" t="s">
        <v>1972</v>
      </c>
      <c r="W1097" t="s">
        <v>353</v>
      </c>
      <c r="X1097">
        <v>1268</v>
      </c>
      <c r="Y1097" t="s">
        <v>2009</v>
      </c>
      <c r="Z1097" t="s">
        <v>2014</v>
      </c>
      <c r="AB1097" t="s">
        <v>13735</v>
      </c>
      <c r="AC1097" t="s">
        <v>15100</v>
      </c>
      <c r="AD1097" t="s">
        <v>16200</v>
      </c>
      <c r="AE1097">
        <v>31</v>
      </c>
      <c r="AF1097" t="s">
        <v>2902</v>
      </c>
      <c r="AG1097" t="s">
        <v>2916</v>
      </c>
      <c r="AH1097">
        <v>2</v>
      </c>
      <c r="AI1097">
        <v>2</v>
      </c>
      <c r="AJ1097">
        <v>0</v>
      </c>
      <c r="AK1097">
        <v>0</v>
      </c>
      <c r="AN1097" t="s">
        <v>2926</v>
      </c>
      <c r="AO1097" t="s">
        <v>13051</v>
      </c>
      <c r="AU1097">
        <v>17.55</v>
      </c>
      <c r="AV1097" t="s">
        <v>397</v>
      </c>
      <c r="AW1097" t="s">
        <v>3059</v>
      </c>
    </row>
    <row r="1098" spans="1:50">
      <c r="A1098" s="1" t="s">
        <v>88</v>
      </c>
      <c r="B1098" t="s">
        <v>163</v>
      </c>
      <c r="C1098" t="s">
        <v>4308</v>
      </c>
      <c r="D1098" t="s">
        <v>307</v>
      </c>
      <c r="F1098" t="s">
        <v>7288</v>
      </c>
      <c r="G1098" t="s">
        <v>806</v>
      </c>
      <c r="H1098" t="s">
        <v>9828</v>
      </c>
      <c r="I1098" t="s">
        <v>1501</v>
      </c>
      <c r="J1098" t="s">
        <v>1644</v>
      </c>
      <c r="K1098">
        <v>11208</v>
      </c>
      <c r="L1098" t="s">
        <v>1670</v>
      </c>
      <c r="M1098" t="s">
        <v>1671</v>
      </c>
      <c r="N1098" t="s">
        <v>12098</v>
      </c>
      <c r="P1098" t="s">
        <v>1960</v>
      </c>
      <c r="R1098" t="s">
        <v>50</v>
      </c>
      <c r="S1098" t="s">
        <v>1671</v>
      </c>
      <c r="U1098" t="s">
        <v>1972</v>
      </c>
      <c r="V1098" t="s">
        <v>1984</v>
      </c>
      <c r="W1098" t="s">
        <v>285</v>
      </c>
      <c r="X1098">
        <v>300</v>
      </c>
      <c r="Y1098" t="s">
        <v>2009</v>
      </c>
      <c r="Z1098" t="s">
        <v>2013</v>
      </c>
      <c r="AB1098" t="s">
        <v>13821</v>
      </c>
      <c r="AC1098" t="s">
        <v>1754</v>
      </c>
      <c r="AD1098" t="s">
        <v>16259</v>
      </c>
      <c r="AE1098">
        <v>4</v>
      </c>
      <c r="AF1098" t="s">
        <v>2903</v>
      </c>
      <c r="AG1098" t="s">
        <v>1754</v>
      </c>
      <c r="AH1098">
        <v>2</v>
      </c>
      <c r="AI1098">
        <v>1</v>
      </c>
      <c r="AJ1098">
        <v>0</v>
      </c>
      <c r="AK1098">
        <v>0</v>
      </c>
      <c r="AN1098" t="s">
        <v>2926</v>
      </c>
      <c r="AO1098" t="s">
        <v>13051</v>
      </c>
      <c r="AU1098">
        <v>62.5</v>
      </c>
      <c r="AV1098" t="s">
        <v>333</v>
      </c>
      <c r="AW1098" t="s">
        <v>18654</v>
      </c>
      <c r="AX1098" t="s">
        <v>18685</v>
      </c>
    </row>
    <row r="1099" spans="1:50">
      <c r="A1099" s="1" t="s">
        <v>107</v>
      </c>
      <c r="B1099" t="s">
        <v>163</v>
      </c>
      <c r="C1099" t="s">
        <v>4309</v>
      </c>
      <c r="D1099" t="s">
        <v>3040</v>
      </c>
      <c r="F1099" t="s">
        <v>415</v>
      </c>
      <c r="G1099" t="s">
        <v>8406</v>
      </c>
      <c r="H1099" t="s">
        <v>9829</v>
      </c>
      <c r="I1099" t="s">
        <v>11076</v>
      </c>
      <c r="J1099" t="s">
        <v>1644</v>
      </c>
      <c r="K1099">
        <v>11207</v>
      </c>
      <c r="L1099" t="s">
        <v>1670</v>
      </c>
      <c r="M1099" t="s">
        <v>1670</v>
      </c>
      <c r="N1099" t="s">
        <v>12099</v>
      </c>
      <c r="O1099" t="s">
        <v>1940</v>
      </c>
      <c r="P1099" t="s">
        <v>1960</v>
      </c>
      <c r="R1099" t="s">
        <v>50</v>
      </c>
      <c r="S1099" t="s">
        <v>1671</v>
      </c>
      <c r="U1099" t="s">
        <v>1972</v>
      </c>
      <c r="W1099" t="s">
        <v>3040</v>
      </c>
      <c r="X1099">
        <v>500</v>
      </c>
      <c r="Y1099" t="s">
        <v>2009</v>
      </c>
      <c r="Z1099" t="s">
        <v>2011</v>
      </c>
      <c r="AB1099" t="s">
        <v>13822</v>
      </c>
      <c r="AD1099" t="s">
        <v>16260</v>
      </c>
      <c r="AE1099">
        <v>4</v>
      </c>
      <c r="AF1099" t="s">
        <v>2903</v>
      </c>
      <c r="AG1099" t="s">
        <v>1754</v>
      </c>
      <c r="AH1099">
        <v>1</v>
      </c>
      <c r="AI1099">
        <v>1</v>
      </c>
      <c r="AJ1099">
        <v>0</v>
      </c>
      <c r="AK1099">
        <v>0</v>
      </c>
      <c r="AN1099" t="s">
        <v>2926</v>
      </c>
      <c r="AO1099" t="s">
        <v>13051</v>
      </c>
      <c r="AP1099" t="s">
        <v>18134</v>
      </c>
      <c r="AU1099">
        <v>24.4</v>
      </c>
      <c r="AV1099" t="s">
        <v>177</v>
      </c>
      <c r="AW1099" t="s">
        <v>3059</v>
      </c>
    </row>
    <row r="1100" spans="1:50">
      <c r="A1100" s="1" t="s">
        <v>119</v>
      </c>
      <c r="B1100" t="s">
        <v>163</v>
      </c>
      <c r="C1100" t="s">
        <v>4310</v>
      </c>
      <c r="D1100" t="s">
        <v>217</v>
      </c>
      <c r="F1100" t="s">
        <v>6814</v>
      </c>
      <c r="G1100" t="s">
        <v>8407</v>
      </c>
      <c r="H1100" t="s">
        <v>9830</v>
      </c>
      <c r="I1100" t="s">
        <v>1618</v>
      </c>
      <c r="J1100" t="s">
        <v>1644</v>
      </c>
      <c r="K1100">
        <v>11207</v>
      </c>
      <c r="L1100" t="s">
        <v>1670</v>
      </c>
      <c r="M1100" t="s">
        <v>1670</v>
      </c>
      <c r="N1100" t="s">
        <v>12100</v>
      </c>
      <c r="O1100" t="s">
        <v>1936</v>
      </c>
      <c r="P1100" t="s">
        <v>1960</v>
      </c>
      <c r="R1100" t="s">
        <v>50</v>
      </c>
      <c r="S1100" t="s">
        <v>1671</v>
      </c>
      <c r="U1100" t="s">
        <v>1972</v>
      </c>
      <c r="W1100" t="s">
        <v>3036</v>
      </c>
      <c r="X1100">
        <v>1699</v>
      </c>
      <c r="Y1100" t="s">
        <v>2009</v>
      </c>
      <c r="Z1100" t="s">
        <v>2011</v>
      </c>
      <c r="AB1100" t="s">
        <v>13823</v>
      </c>
      <c r="AD1100" t="s">
        <v>16261</v>
      </c>
      <c r="AE1100">
        <v>168</v>
      </c>
      <c r="AF1100" t="s">
        <v>2907</v>
      </c>
      <c r="AG1100" t="s">
        <v>2922</v>
      </c>
      <c r="AH1100">
        <v>23</v>
      </c>
      <c r="AI1100">
        <v>1</v>
      </c>
      <c r="AJ1100">
        <v>0</v>
      </c>
      <c r="AK1100">
        <v>0</v>
      </c>
      <c r="AN1100" t="s">
        <v>2926</v>
      </c>
      <c r="AO1100" t="s">
        <v>13051</v>
      </c>
      <c r="AU1100">
        <v>11.2</v>
      </c>
      <c r="AV1100" t="s">
        <v>396</v>
      </c>
      <c r="AW1100" t="s">
        <v>3083</v>
      </c>
      <c r="AX1100" t="s">
        <v>18685</v>
      </c>
    </row>
    <row r="1101" spans="1:50">
      <c r="A1101" s="1" t="s">
        <v>69</v>
      </c>
      <c r="B1101" t="s">
        <v>163</v>
      </c>
      <c r="C1101" t="s">
        <v>4311</v>
      </c>
      <c r="D1101" t="s">
        <v>350</v>
      </c>
      <c r="F1101" t="s">
        <v>7289</v>
      </c>
      <c r="G1101" t="s">
        <v>7111</v>
      </c>
      <c r="H1101" t="s">
        <v>9368</v>
      </c>
      <c r="I1101" t="s">
        <v>11170</v>
      </c>
      <c r="J1101" t="s">
        <v>1644</v>
      </c>
      <c r="K1101">
        <v>11206</v>
      </c>
      <c r="L1101" t="s">
        <v>1671</v>
      </c>
      <c r="M1101" t="s">
        <v>1672</v>
      </c>
      <c r="P1101" t="s">
        <v>1960</v>
      </c>
      <c r="R1101" t="s">
        <v>50</v>
      </c>
      <c r="U1101" t="s">
        <v>1974</v>
      </c>
      <c r="W1101" t="s">
        <v>350</v>
      </c>
      <c r="X1101" t="s">
        <v>13051</v>
      </c>
      <c r="Y1101" t="s">
        <v>2009</v>
      </c>
      <c r="AB1101" t="s">
        <v>13824</v>
      </c>
      <c r="AD1101" t="s">
        <v>16262</v>
      </c>
      <c r="AE1101" t="s">
        <v>13051</v>
      </c>
      <c r="AH1101" t="s">
        <v>13051</v>
      </c>
      <c r="AI1101">
        <v>1</v>
      </c>
      <c r="AJ1101">
        <v>0</v>
      </c>
      <c r="AK1101">
        <v>0</v>
      </c>
      <c r="AN1101" t="s">
        <v>2926</v>
      </c>
      <c r="AO1101" t="s">
        <v>13051</v>
      </c>
      <c r="AU1101">
        <v>4.9</v>
      </c>
      <c r="AV1101" t="s">
        <v>400</v>
      </c>
      <c r="AW1101" t="s">
        <v>69</v>
      </c>
    </row>
    <row r="1102" spans="1:50">
      <c r="A1102" s="1" t="s">
        <v>53</v>
      </c>
      <c r="B1102" t="s">
        <v>163</v>
      </c>
      <c r="C1102" t="s">
        <v>4312</v>
      </c>
      <c r="D1102" t="s">
        <v>364</v>
      </c>
      <c r="F1102" t="s">
        <v>469</v>
      </c>
      <c r="G1102" t="s">
        <v>558</v>
      </c>
      <c r="H1102" t="s">
        <v>9831</v>
      </c>
      <c r="I1102" t="s">
        <v>11171</v>
      </c>
      <c r="J1102" t="s">
        <v>11749</v>
      </c>
      <c r="K1102">
        <v>11101</v>
      </c>
      <c r="L1102" t="s">
        <v>1670</v>
      </c>
      <c r="M1102" t="s">
        <v>1672</v>
      </c>
      <c r="N1102" t="s">
        <v>12101</v>
      </c>
      <c r="O1102" t="s">
        <v>1936</v>
      </c>
      <c r="P1102" t="s">
        <v>1960</v>
      </c>
      <c r="R1102" t="s">
        <v>50</v>
      </c>
      <c r="S1102" t="s">
        <v>1671</v>
      </c>
      <c r="U1102" t="s">
        <v>1972</v>
      </c>
      <c r="V1102" t="s">
        <v>1985</v>
      </c>
      <c r="W1102" t="s">
        <v>364</v>
      </c>
      <c r="X1102">
        <v>1193.64</v>
      </c>
      <c r="Y1102" t="s">
        <v>2007</v>
      </c>
      <c r="Z1102" t="s">
        <v>2014</v>
      </c>
      <c r="AB1102" t="s">
        <v>2428</v>
      </c>
      <c r="AD1102" t="s">
        <v>16263</v>
      </c>
      <c r="AE1102">
        <v>140</v>
      </c>
      <c r="AF1102" t="s">
        <v>2902</v>
      </c>
      <c r="AG1102" t="s">
        <v>2916</v>
      </c>
      <c r="AH1102">
        <v>1</v>
      </c>
      <c r="AI1102">
        <v>2</v>
      </c>
      <c r="AJ1102">
        <v>0</v>
      </c>
      <c r="AK1102">
        <v>0</v>
      </c>
      <c r="AN1102" t="s">
        <v>2926</v>
      </c>
      <c r="AO1102" t="s">
        <v>13051</v>
      </c>
      <c r="AU1102">
        <v>20.95</v>
      </c>
      <c r="AV1102" t="s">
        <v>397</v>
      </c>
      <c r="AW1102" t="s">
        <v>108</v>
      </c>
      <c r="AX1102" t="s">
        <v>18685</v>
      </c>
    </row>
    <row r="1103" spans="1:50">
      <c r="A1103" s="1" t="s">
        <v>57</v>
      </c>
      <c r="B1103" t="s">
        <v>163</v>
      </c>
      <c r="C1103" t="s">
        <v>4313</v>
      </c>
      <c r="D1103" t="s">
        <v>225</v>
      </c>
      <c r="F1103" t="s">
        <v>7110</v>
      </c>
      <c r="G1103" t="s">
        <v>914</v>
      </c>
      <c r="H1103" t="s">
        <v>1379</v>
      </c>
      <c r="I1103" t="s">
        <v>10946</v>
      </c>
      <c r="J1103" t="s">
        <v>1641</v>
      </c>
      <c r="K1103">
        <v>10468</v>
      </c>
      <c r="L1103" t="s">
        <v>1670</v>
      </c>
      <c r="M1103" t="s">
        <v>1670</v>
      </c>
      <c r="N1103" t="s">
        <v>1718</v>
      </c>
      <c r="O1103" t="s">
        <v>1939</v>
      </c>
      <c r="P1103" t="s">
        <v>1960</v>
      </c>
      <c r="R1103" t="s">
        <v>50</v>
      </c>
      <c r="S1103" t="s">
        <v>1670</v>
      </c>
      <c r="U1103" t="s">
        <v>1972</v>
      </c>
      <c r="W1103" t="s">
        <v>359</v>
      </c>
      <c r="X1103">
        <v>1100</v>
      </c>
      <c r="Y1103" t="s">
        <v>2006</v>
      </c>
      <c r="Z1103" t="s">
        <v>2015</v>
      </c>
      <c r="AB1103" t="s">
        <v>2429</v>
      </c>
      <c r="AD1103" t="s">
        <v>16233</v>
      </c>
      <c r="AE1103" t="s">
        <v>13051</v>
      </c>
      <c r="AF1103" t="s">
        <v>2902</v>
      </c>
      <c r="AG1103" t="s">
        <v>2915</v>
      </c>
      <c r="AH1103">
        <v>38</v>
      </c>
      <c r="AI1103">
        <v>2</v>
      </c>
      <c r="AJ1103">
        <v>0</v>
      </c>
      <c r="AK1103">
        <v>0</v>
      </c>
      <c r="AN1103" t="s">
        <v>2926</v>
      </c>
      <c r="AO1103" t="s">
        <v>13051</v>
      </c>
      <c r="AU1103" t="s">
        <v>13051</v>
      </c>
      <c r="AW1103" t="s">
        <v>3046</v>
      </c>
    </row>
    <row r="1104" spans="1:50">
      <c r="A1104" s="1" t="s">
        <v>74</v>
      </c>
      <c r="B1104" t="s">
        <v>163</v>
      </c>
      <c r="C1104" t="s">
        <v>4314</v>
      </c>
      <c r="D1104" t="s">
        <v>306</v>
      </c>
      <c r="F1104" t="s">
        <v>647</v>
      </c>
      <c r="G1104" t="s">
        <v>8385</v>
      </c>
      <c r="H1104" t="s">
        <v>1131</v>
      </c>
      <c r="I1104" t="s">
        <v>1522</v>
      </c>
      <c r="J1104" t="s">
        <v>1641</v>
      </c>
      <c r="K1104">
        <v>10460</v>
      </c>
      <c r="L1104" t="s">
        <v>1670</v>
      </c>
      <c r="M1104" t="s">
        <v>1670</v>
      </c>
      <c r="N1104" t="s">
        <v>1692</v>
      </c>
      <c r="O1104" t="s">
        <v>1939</v>
      </c>
      <c r="P1104" t="s">
        <v>1960</v>
      </c>
      <c r="R1104" t="s">
        <v>50</v>
      </c>
      <c r="S1104" t="s">
        <v>1670</v>
      </c>
      <c r="U1104" t="s">
        <v>1972</v>
      </c>
      <c r="W1104" t="s">
        <v>283</v>
      </c>
      <c r="X1104">
        <v>1100</v>
      </c>
      <c r="Y1104" t="s">
        <v>2006</v>
      </c>
      <c r="Z1104" t="s">
        <v>2015</v>
      </c>
      <c r="AB1104" t="s">
        <v>13786</v>
      </c>
      <c r="AD1104" t="s">
        <v>16230</v>
      </c>
      <c r="AE1104">
        <v>168</v>
      </c>
      <c r="AF1104" t="s">
        <v>2902</v>
      </c>
      <c r="AG1104" t="s">
        <v>2017</v>
      </c>
      <c r="AH1104">
        <v>4</v>
      </c>
      <c r="AI1104">
        <v>2</v>
      </c>
      <c r="AJ1104">
        <v>0</v>
      </c>
      <c r="AK1104">
        <v>0</v>
      </c>
      <c r="AN1104" t="s">
        <v>2926</v>
      </c>
      <c r="AO1104" t="s">
        <v>13051</v>
      </c>
      <c r="AU1104" t="s">
        <v>13051</v>
      </c>
      <c r="AW1104" t="s">
        <v>3046</v>
      </c>
    </row>
    <row r="1105" spans="1:50">
      <c r="A1105" s="1" t="s">
        <v>52</v>
      </c>
      <c r="B1105" t="s">
        <v>163</v>
      </c>
      <c r="C1105" t="s">
        <v>4315</v>
      </c>
      <c r="D1105" t="s">
        <v>218</v>
      </c>
      <c r="F1105" t="s">
        <v>6912</v>
      </c>
      <c r="G1105" t="s">
        <v>8389</v>
      </c>
      <c r="H1105" t="s">
        <v>1136</v>
      </c>
      <c r="I1105" t="s">
        <v>11162</v>
      </c>
      <c r="J1105" t="s">
        <v>1641</v>
      </c>
      <c r="K1105">
        <v>10457</v>
      </c>
      <c r="L1105" t="s">
        <v>1670</v>
      </c>
      <c r="M1105" t="s">
        <v>1670</v>
      </c>
      <c r="N1105" t="s">
        <v>1696</v>
      </c>
      <c r="O1105" t="s">
        <v>1939</v>
      </c>
      <c r="P1105" t="s">
        <v>1960</v>
      </c>
      <c r="R1105" t="s">
        <v>50</v>
      </c>
      <c r="S1105" t="s">
        <v>1670</v>
      </c>
      <c r="U1105" t="s">
        <v>1972</v>
      </c>
      <c r="W1105" t="s">
        <v>359</v>
      </c>
      <c r="X1105" t="s">
        <v>13051</v>
      </c>
      <c r="Y1105" t="s">
        <v>2006</v>
      </c>
      <c r="Z1105" t="s">
        <v>2015</v>
      </c>
      <c r="AB1105" t="s">
        <v>13792</v>
      </c>
      <c r="AD1105" t="s">
        <v>16235</v>
      </c>
      <c r="AE1105">
        <v>47</v>
      </c>
      <c r="AF1105" t="s">
        <v>2902</v>
      </c>
      <c r="AG1105" t="s">
        <v>2915</v>
      </c>
      <c r="AH1105" t="s">
        <v>13051</v>
      </c>
      <c r="AI1105">
        <v>1</v>
      </c>
      <c r="AJ1105">
        <v>0</v>
      </c>
      <c r="AK1105">
        <v>0</v>
      </c>
      <c r="AN1105" t="s">
        <v>2926</v>
      </c>
      <c r="AO1105" t="s">
        <v>13051</v>
      </c>
      <c r="AU1105">
        <v>402.49</v>
      </c>
      <c r="AV1105" t="s">
        <v>397</v>
      </c>
      <c r="AW1105" t="s">
        <v>98</v>
      </c>
    </row>
    <row r="1106" spans="1:50">
      <c r="A1106" s="1" t="s">
        <v>52</v>
      </c>
      <c r="B1106" t="s">
        <v>163</v>
      </c>
      <c r="C1106" t="s">
        <v>4316</v>
      </c>
      <c r="D1106" t="s">
        <v>187</v>
      </c>
      <c r="F1106" t="s">
        <v>508</v>
      </c>
      <c r="G1106" t="s">
        <v>8390</v>
      </c>
      <c r="H1106" t="s">
        <v>1136</v>
      </c>
      <c r="I1106" t="s">
        <v>1522</v>
      </c>
      <c r="J1106" t="s">
        <v>1641</v>
      </c>
      <c r="K1106">
        <v>10457</v>
      </c>
      <c r="L1106" t="s">
        <v>1670</v>
      </c>
      <c r="M1106" t="s">
        <v>1670</v>
      </c>
      <c r="N1106" t="s">
        <v>1696</v>
      </c>
      <c r="O1106" t="s">
        <v>1939</v>
      </c>
      <c r="P1106" t="s">
        <v>1960</v>
      </c>
      <c r="R1106" t="s">
        <v>50</v>
      </c>
      <c r="S1106" t="s">
        <v>1670</v>
      </c>
      <c r="U1106" t="s">
        <v>1972</v>
      </c>
      <c r="W1106" t="s">
        <v>359</v>
      </c>
      <c r="X1106">
        <v>1180</v>
      </c>
      <c r="Y1106" t="s">
        <v>2006</v>
      </c>
      <c r="Z1106" t="s">
        <v>2015</v>
      </c>
      <c r="AB1106" t="s">
        <v>13793</v>
      </c>
      <c r="AD1106" t="s">
        <v>16236</v>
      </c>
      <c r="AE1106">
        <v>47</v>
      </c>
      <c r="AF1106" t="s">
        <v>2902</v>
      </c>
      <c r="AG1106" t="s">
        <v>2915</v>
      </c>
      <c r="AH1106">
        <v>15</v>
      </c>
      <c r="AI1106">
        <v>1</v>
      </c>
      <c r="AJ1106">
        <v>0</v>
      </c>
      <c r="AK1106">
        <v>0</v>
      </c>
      <c r="AN1106" t="s">
        <v>2926</v>
      </c>
      <c r="AO1106" t="s">
        <v>13051</v>
      </c>
      <c r="AU1106" t="s">
        <v>13051</v>
      </c>
      <c r="AW1106" t="s">
        <v>3046</v>
      </c>
    </row>
    <row r="1107" spans="1:50">
      <c r="A1107" s="1" t="s">
        <v>52</v>
      </c>
      <c r="B1107" t="s">
        <v>163</v>
      </c>
      <c r="C1107" t="s">
        <v>4317</v>
      </c>
      <c r="D1107" t="s">
        <v>187</v>
      </c>
      <c r="F1107" t="s">
        <v>687</v>
      </c>
      <c r="G1107" t="s">
        <v>8391</v>
      </c>
      <c r="H1107" t="s">
        <v>1136</v>
      </c>
      <c r="I1107" t="s">
        <v>1558</v>
      </c>
      <c r="J1107" t="s">
        <v>1641</v>
      </c>
      <c r="K1107">
        <v>10457</v>
      </c>
      <c r="L1107" t="s">
        <v>1670</v>
      </c>
      <c r="M1107" t="s">
        <v>1670</v>
      </c>
      <c r="N1107" t="s">
        <v>1696</v>
      </c>
      <c r="O1107" t="s">
        <v>1939</v>
      </c>
      <c r="P1107" t="s">
        <v>1960</v>
      </c>
      <c r="R1107" t="s">
        <v>50</v>
      </c>
      <c r="S1107" t="s">
        <v>1670</v>
      </c>
      <c r="U1107" t="s">
        <v>1972</v>
      </c>
      <c r="W1107" t="s">
        <v>359</v>
      </c>
      <c r="X1107">
        <v>1160</v>
      </c>
      <c r="Y1107" t="s">
        <v>2006</v>
      </c>
      <c r="Z1107" t="s">
        <v>2015</v>
      </c>
      <c r="AB1107" t="s">
        <v>13794</v>
      </c>
      <c r="AC1107" t="s">
        <v>15105</v>
      </c>
      <c r="AE1107">
        <v>47</v>
      </c>
      <c r="AF1107" t="s">
        <v>2902</v>
      </c>
      <c r="AG1107" t="s">
        <v>1754</v>
      </c>
      <c r="AH1107">
        <v>10</v>
      </c>
      <c r="AI1107">
        <v>1</v>
      </c>
      <c r="AJ1107">
        <v>0</v>
      </c>
      <c r="AK1107">
        <v>0</v>
      </c>
      <c r="AN1107" t="s">
        <v>2927</v>
      </c>
      <c r="AO1107" t="s">
        <v>13051</v>
      </c>
      <c r="AU1107">
        <v>0.3</v>
      </c>
      <c r="AV1107" t="s">
        <v>330</v>
      </c>
      <c r="AW1107" t="s">
        <v>3046</v>
      </c>
    </row>
    <row r="1108" spans="1:50">
      <c r="A1108" s="1" t="s">
        <v>52</v>
      </c>
      <c r="B1108" t="s">
        <v>163</v>
      </c>
      <c r="C1108" t="s">
        <v>4318</v>
      </c>
      <c r="D1108" t="s">
        <v>174</v>
      </c>
      <c r="F1108" t="s">
        <v>7290</v>
      </c>
      <c r="G1108" t="s">
        <v>8408</v>
      </c>
      <c r="H1108" t="s">
        <v>1136</v>
      </c>
      <c r="I1108" t="s">
        <v>11172</v>
      </c>
      <c r="J1108" t="s">
        <v>1641</v>
      </c>
      <c r="K1108">
        <v>10457</v>
      </c>
      <c r="L1108" t="s">
        <v>1670</v>
      </c>
      <c r="M1108" t="s">
        <v>1670</v>
      </c>
      <c r="N1108" t="s">
        <v>1696</v>
      </c>
      <c r="O1108" t="s">
        <v>1939</v>
      </c>
      <c r="P1108" t="s">
        <v>1960</v>
      </c>
      <c r="R1108" t="s">
        <v>50</v>
      </c>
      <c r="S1108" t="s">
        <v>1670</v>
      </c>
      <c r="U1108" t="s">
        <v>1972</v>
      </c>
      <c r="W1108" t="s">
        <v>359</v>
      </c>
      <c r="X1108">
        <v>186</v>
      </c>
      <c r="Y1108" t="s">
        <v>2006</v>
      </c>
      <c r="Z1108" t="s">
        <v>2015</v>
      </c>
      <c r="AB1108" t="s">
        <v>13825</v>
      </c>
      <c r="AD1108" t="s">
        <v>16264</v>
      </c>
      <c r="AE1108">
        <v>48</v>
      </c>
      <c r="AF1108" t="s">
        <v>2904</v>
      </c>
      <c r="AG1108" t="s">
        <v>2915</v>
      </c>
      <c r="AH1108">
        <v>5</v>
      </c>
      <c r="AI1108">
        <v>1</v>
      </c>
      <c r="AJ1108">
        <v>0</v>
      </c>
      <c r="AK1108">
        <v>0</v>
      </c>
      <c r="AN1108" t="s">
        <v>2927</v>
      </c>
      <c r="AO1108" t="s">
        <v>13051</v>
      </c>
      <c r="AU1108">
        <v>1</v>
      </c>
      <c r="AV1108" t="s">
        <v>174</v>
      </c>
      <c r="AW1108" t="s">
        <v>98</v>
      </c>
    </row>
    <row r="1109" spans="1:50">
      <c r="A1109" s="1" t="s">
        <v>111</v>
      </c>
      <c r="B1109" t="s">
        <v>163</v>
      </c>
      <c r="C1109" t="s">
        <v>4319</v>
      </c>
      <c r="D1109" t="s">
        <v>246</v>
      </c>
      <c r="F1109" t="s">
        <v>7271</v>
      </c>
      <c r="G1109" t="s">
        <v>909</v>
      </c>
      <c r="H1109" t="s">
        <v>1260</v>
      </c>
      <c r="I1109" t="s">
        <v>1490</v>
      </c>
      <c r="J1109" t="s">
        <v>1641</v>
      </c>
      <c r="K1109">
        <v>10453</v>
      </c>
      <c r="L1109" t="s">
        <v>1670</v>
      </c>
      <c r="M1109" t="s">
        <v>1670</v>
      </c>
      <c r="N1109" t="s">
        <v>1778</v>
      </c>
      <c r="O1109" t="s">
        <v>1939</v>
      </c>
      <c r="P1109" t="s">
        <v>1960</v>
      </c>
      <c r="R1109" t="s">
        <v>50</v>
      </c>
      <c r="S1109" t="s">
        <v>1670</v>
      </c>
      <c r="U1109" t="s">
        <v>1972</v>
      </c>
      <c r="W1109" t="s">
        <v>283</v>
      </c>
      <c r="X1109">
        <v>800</v>
      </c>
      <c r="Y1109" t="s">
        <v>2006</v>
      </c>
      <c r="Z1109" t="s">
        <v>2015</v>
      </c>
      <c r="AB1109" t="s">
        <v>13787</v>
      </c>
      <c r="AD1109" t="s">
        <v>16231</v>
      </c>
      <c r="AE1109">
        <v>44</v>
      </c>
      <c r="AF1109" t="s">
        <v>2902</v>
      </c>
      <c r="AG1109" t="s">
        <v>1754</v>
      </c>
      <c r="AH1109">
        <v>1</v>
      </c>
      <c r="AI1109">
        <v>2</v>
      </c>
      <c r="AJ1109">
        <v>0</v>
      </c>
      <c r="AK1109">
        <v>0</v>
      </c>
      <c r="AN1109" t="s">
        <v>2926</v>
      </c>
      <c r="AO1109" t="s">
        <v>13051</v>
      </c>
      <c r="AU1109" t="s">
        <v>13051</v>
      </c>
      <c r="AW1109" t="s">
        <v>3047</v>
      </c>
    </row>
    <row r="1110" spans="1:50">
      <c r="A1110" s="1" t="s">
        <v>123</v>
      </c>
      <c r="B1110" t="s">
        <v>163</v>
      </c>
      <c r="C1110" t="s">
        <v>4320</v>
      </c>
      <c r="D1110" t="s">
        <v>3036</v>
      </c>
      <c r="F1110" t="s">
        <v>7291</v>
      </c>
      <c r="G1110" t="s">
        <v>7865</v>
      </c>
      <c r="H1110" t="s">
        <v>9832</v>
      </c>
      <c r="I1110" t="s">
        <v>1532</v>
      </c>
      <c r="J1110" t="s">
        <v>1641</v>
      </c>
      <c r="K1110">
        <v>10453</v>
      </c>
      <c r="L1110" t="s">
        <v>1670</v>
      </c>
      <c r="M1110" t="s">
        <v>1672</v>
      </c>
      <c r="N1110" t="s">
        <v>12102</v>
      </c>
      <c r="O1110" t="s">
        <v>1939</v>
      </c>
      <c r="P1110" t="s">
        <v>1960</v>
      </c>
      <c r="R1110" t="s">
        <v>50</v>
      </c>
      <c r="S1110" t="s">
        <v>1671</v>
      </c>
      <c r="U1110" t="s">
        <v>1972</v>
      </c>
      <c r="V1110" t="s">
        <v>1984</v>
      </c>
      <c r="W1110" t="s">
        <v>1991</v>
      </c>
      <c r="X1110">
        <v>176</v>
      </c>
      <c r="Y1110" t="s">
        <v>2006</v>
      </c>
      <c r="Z1110" t="s">
        <v>2020</v>
      </c>
      <c r="AB1110" t="s">
        <v>13826</v>
      </c>
      <c r="AD1110" t="s">
        <v>16265</v>
      </c>
      <c r="AE1110">
        <v>383</v>
      </c>
      <c r="AF1110" t="s">
        <v>2909</v>
      </c>
      <c r="AG1110" t="s">
        <v>2915</v>
      </c>
      <c r="AH1110">
        <v>12</v>
      </c>
      <c r="AI1110">
        <v>1</v>
      </c>
      <c r="AJ1110">
        <v>0</v>
      </c>
      <c r="AK1110">
        <v>0</v>
      </c>
      <c r="AN1110" t="s">
        <v>2926</v>
      </c>
      <c r="AO1110" t="s">
        <v>13051</v>
      </c>
      <c r="AU1110">
        <v>10</v>
      </c>
      <c r="AV1110" t="s">
        <v>392</v>
      </c>
      <c r="AW1110" t="s">
        <v>123</v>
      </c>
      <c r="AX1110" t="s">
        <v>18685</v>
      </c>
    </row>
    <row r="1111" spans="1:50">
      <c r="A1111" s="1" t="s">
        <v>63</v>
      </c>
      <c r="B1111" t="s">
        <v>163</v>
      </c>
      <c r="C1111" t="s">
        <v>4321</v>
      </c>
      <c r="D1111" t="s">
        <v>350</v>
      </c>
      <c r="F1111" t="s">
        <v>7292</v>
      </c>
      <c r="G1111" t="s">
        <v>8409</v>
      </c>
      <c r="H1111" t="s">
        <v>9833</v>
      </c>
      <c r="I1111" t="s">
        <v>1600</v>
      </c>
      <c r="J1111" t="s">
        <v>1641</v>
      </c>
      <c r="K1111">
        <v>10453</v>
      </c>
      <c r="L1111" t="s">
        <v>1670</v>
      </c>
      <c r="M1111" t="s">
        <v>1670</v>
      </c>
      <c r="N1111" t="s">
        <v>12103</v>
      </c>
      <c r="O1111" t="s">
        <v>1936</v>
      </c>
      <c r="P1111" t="s">
        <v>1960</v>
      </c>
      <c r="R1111" t="s">
        <v>50</v>
      </c>
      <c r="S1111" t="s">
        <v>1671</v>
      </c>
      <c r="U1111" t="s">
        <v>1972</v>
      </c>
      <c r="W1111" t="s">
        <v>350</v>
      </c>
      <c r="X1111">
        <v>169</v>
      </c>
      <c r="Y1111" t="s">
        <v>2006</v>
      </c>
      <c r="Z1111" t="s">
        <v>2015</v>
      </c>
      <c r="AB1111" t="s">
        <v>13827</v>
      </c>
      <c r="AE1111">
        <v>99</v>
      </c>
      <c r="AF1111" t="s">
        <v>2902</v>
      </c>
      <c r="AG1111" t="s">
        <v>2915</v>
      </c>
      <c r="AH1111">
        <v>6</v>
      </c>
      <c r="AI1111">
        <v>1</v>
      </c>
      <c r="AJ1111">
        <v>0</v>
      </c>
      <c r="AK1111">
        <v>0</v>
      </c>
      <c r="AN1111" t="s">
        <v>2926</v>
      </c>
      <c r="AO1111" t="s">
        <v>13051</v>
      </c>
      <c r="AU1111">
        <v>19.5</v>
      </c>
      <c r="AV1111" t="s">
        <v>289</v>
      </c>
      <c r="AW1111" t="s">
        <v>115</v>
      </c>
    </row>
    <row r="1112" spans="1:50">
      <c r="A1112" s="1" t="s">
        <v>105</v>
      </c>
      <c r="B1112" t="s">
        <v>163</v>
      </c>
      <c r="C1112" t="s">
        <v>4322</v>
      </c>
      <c r="D1112" t="s">
        <v>240</v>
      </c>
      <c r="F1112" t="s">
        <v>7293</v>
      </c>
      <c r="G1112" t="s">
        <v>8043</v>
      </c>
      <c r="H1112" t="s">
        <v>1112</v>
      </c>
      <c r="I1112" t="s">
        <v>1538</v>
      </c>
      <c r="J1112" t="s">
        <v>1641</v>
      </c>
      <c r="K1112">
        <v>10453</v>
      </c>
      <c r="L1112" t="s">
        <v>1670</v>
      </c>
      <c r="M1112" t="s">
        <v>1670</v>
      </c>
      <c r="N1112" t="s">
        <v>12104</v>
      </c>
      <c r="O1112" t="s">
        <v>1936</v>
      </c>
      <c r="P1112" t="s">
        <v>1960</v>
      </c>
      <c r="R1112" t="s">
        <v>50</v>
      </c>
      <c r="S1112" t="s">
        <v>1670</v>
      </c>
      <c r="U1112" t="s">
        <v>1972</v>
      </c>
      <c r="V1112" t="s">
        <v>1984</v>
      </c>
      <c r="W1112" t="s">
        <v>275</v>
      </c>
      <c r="X1112">
        <v>1273</v>
      </c>
      <c r="Y1112" t="s">
        <v>2006</v>
      </c>
      <c r="Z1112" t="s">
        <v>2015</v>
      </c>
      <c r="AB1112" t="s">
        <v>13828</v>
      </c>
      <c r="AE1112">
        <v>167</v>
      </c>
      <c r="AF1112" t="s">
        <v>2902</v>
      </c>
      <c r="AG1112" t="s">
        <v>1754</v>
      </c>
      <c r="AH1112">
        <v>11</v>
      </c>
      <c r="AI1112">
        <v>2</v>
      </c>
      <c r="AJ1112">
        <v>0</v>
      </c>
      <c r="AK1112">
        <v>0</v>
      </c>
      <c r="AN1112" t="s">
        <v>2927</v>
      </c>
      <c r="AO1112" t="s">
        <v>13051</v>
      </c>
      <c r="AU1112">
        <v>16</v>
      </c>
      <c r="AV1112" t="s">
        <v>354</v>
      </c>
      <c r="AW1112" t="s">
        <v>3045</v>
      </c>
      <c r="AX1112" t="s">
        <v>18685</v>
      </c>
    </row>
    <row r="1113" spans="1:50">
      <c r="A1113" s="1" t="s">
        <v>126</v>
      </c>
      <c r="B1113" t="s">
        <v>163</v>
      </c>
      <c r="C1113" t="s">
        <v>4323</v>
      </c>
      <c r="D1113" t="s">
        <v>316</v>
      </c>
      <c r="F1113" t="s">
        <v>7294</v>
      </c>
      <c r="G1113" t="s">
        <v>856</v>
      </c>
      <c r="H1113" t="s">
        <v>9662</v>
      </c>
      <c r="J1113" t="s">
        <v>1641</v>
      </c>
      <c r="K1113">
        <v>10452</v>
      </c>
      <c r="L1113" t="s">
        <v>1670</v>
      </c>
      <c r="M1113" t="s">
        <v>1670</v>
      </c>
      <c r="N1113" t="s">
        <v>12105</v>
      </c>
      <c r="O1113" t="s">
        <v>1936</v>
      </c>
      <c r="P1113" t="s">
        <v>1960</v>
      </c>
      <c r="R1113" t="s">
        <v>50</v>
      </c>
      <c r="S1113" t="s">
        <v>1671</v>
      </c>
      <c r="U1113" t="s">
        <v>1972</v>
      </c>
      <c r="W1113" t="s">
        <v>189</v>
      </c>
      <c r="X1113" t="s">
        <v>13051</v>
      </c>
      <c r="Y1113" t="s">
        <v>2006</v>
      </c>
      <c r="AB1113" t="s">
        <v>13829</v>
      </c>
      <c r="AD1113" t="s">
        <v>16266</v>
      </c>
      <c r="AE1113" t="s">
        <v>13051</v>
      </c>
      <c r="AH1113" t="s">
        <v>13051</v>
      </c>
      <c r="AI1113">
        <v>1</v>
      </c>
      <c r="AJ1113">
        <v>0</v>
      </c>
      <c r="AK1113">
        <v>0</v>
      </c>
      <c r="AO1113" t="s">
        <v>13051</v>
      </c>
      <c r="AU1113">
        <v>21.7</v>
      </c>
      <c r="AV1113" t="s">
        <v>401</v>
      </c>
      <c r="AW1113" t="s">
        <v>3046</v>
      </c>
    </row>
    <row r="1114" spans="1:50">
      <c r="A1114" s="1" t="s">
        <v>71</v>
      </c>
      <c r="B1114" t="s">
        <v>163</v>
      </c>
      <c r="C1114" t="s">
        <v>4324</v>
      </c>
      <c r="D1114" t="s">
        <v>193</v>
      </c>
      <c r="F1114" t="s">
        <v>7007</v>
      </c>
      <c r="G1114" t="s">
        <v>8410</v>
      </c>
      <c r="H1114" t="s">
        <v>9834</v>
      </c>
      <c r="I1114">
        <v>1059</v>
      </c>
      <c r="J1114" t="s">
        <v>1646</v>
      </c>
      <c r="K1114">
        <v>10304</v>
      </c>
      <c r="L1114" t="s">
        <v>1670</v>
      </c>
      <c r="M1114" t="s">
        <v>1670</v>
      </c>
      <c r="N1114" t="s">
        <v>12106</v>
      </c>
      <c r="O1114" t="s">
        <v>1940</v>
      </c>
      <c r="P1114" t="s">
        <v>1960</v>
      </c>
      <c r="R1114" t="s">
        <v>50</v>
      </c>
      <c r="S1114" t="s">
        <v>1671</v>
      </c>
      <c r="U1114" t="s">
        <v>1972</v>
      </c>
      <c r="V1114" t="s">
        <v>1984</v>
      </c>
      <c r="W1114" t="s">
        <v>193</v>
      </c>
      <c r="X1114">
        <v>1500</v>
      </c>
      <c r="Y1114" t="s">
        <v>2010</v>
      </c>
      <c r="Z1114" t="s">
        <v>2020</v>
      </c>
      <c r="AB1114" t="s">
        <v>13830</v>
      </c>
      <c r="AD1114" t="s">
        <v>16267</v>
      </c>
      <c r="AE1114">
        <v>468</v>
      </c>
      <c r="AF1114" t="s">
        <v>2902</v>
      </c>
      <c r="AG1114" t="s">
        <v>2921</v>
      </c>
      <c r="AH1114" t="s">
        <v>13051</v>
      </c>
      <c r="AI1114">
        <v>1</v>
      </c>
      <c r="AJ1114">
        <v>0</v>
      </c>
      <c r="AK1114">
        <v>0</v>
      </c>
      <c r="AN1114" t="s">
        <v>2926</v>
      </c>
      <c r="AO1114" t="s">
        <v>13051</v>
      </c>
      <c r="AU1114">
        <v>23.3</v>
      </c>
      <c r="AV1114" t="s">
        <v>1994</v>
      </c>
      <c r="AW1114" t="s">
        <v>71</v>
      </c>
      <c r="AX1114" t="s">
        <v>18685</v>
      </c>
    </row>
    <row r="1115" spans="1:50">
      <c r="A1115" s="1" t="s">
        <v>71</v>
      </c>
      <c r="B1115" t="s">
        <v>163</v>
      </c>
      <c r="C1115" t="s">
        <v>4325</v>
      </c>
      <c r="D1115" t="s">
        <v>263</v>
      </c>
      <c r="F1115" t="s">
        <v>7295</v>
      </c>
      <c r="G1115" t="s">
        <v>8411</v>
      </c>
      <c r="H1115" t="s">
        <v>9835</v>
      </c>
      <c r="I1115" t="s">
        <v>1508</v>
      </c>
      <c r="J1115" t="s">
        <v>1646</v>
      </c>
      <c r="K1115">
        <v>10301</v>
      </c>
      <c r="L1115" t="s">
        <v>1670</v>
      </c>
      <c r="M1115" t="s">
        <v>1670</v>
      </c>
      <c r="N1115" t="s">
        <v>12107</v>
      </c>
      <c r="O1115" t="s">
        <v>1936</v>
      </c>
      <c r="P1115" t="s">
        <v>1960</v>
      </c>
      <c r="R1115" t="s">
        <v>50</v>
      </c>
      <c r="S1115" t="s">
        <v>1671</v>
      </c>
      <c r="U1115" t="s">
        <v>1972</v>
      </c>
      <c r="V1115" t="s">
        <v>1985</v>
      </c>
      <c r="W1115" t="s">
        <v>263</v>
      </c>
      <c r="X1115">
        <v>1429.3</v>
      </c>
      <c r="Y1115" t="s">
        <v>2010</v>
      </c>
      <c r="Z1115" t="s">
        <v>2013</v>
      </c>
      <c r="AB1115" t="s">
        <v>13831</v>
      </c>
      <c r="AD1115" t="s">
        <v>16268</v>
      </c>
      <c r="AE1115">
        <v>2</v>
      </c>
      <c r="AF1115" t="s">
        <v>2902</v>
      </c>
      <c r="AG1115" t="s">
        <v>1754</v>
      </c>
      <c r="AH1115">
        <v>10</v>
      </c>
      <c r="AI1115">
        <v>1</v>
      </c>
      <c r="AJ1115">
        <v>0</v>
      </c>
      <c r="AK1115">
        <v>0</v>
      </c>
      <c r="AN1115" t="s">
        <v>2926</v>
      </c>
      <c r="AO1115" t="s">
        <v>13051</v>
      </c>
      <c r="AU1115">
        <v>15</v>
      </c>
      <c r="AV1115" t="s">
        <v>333</v>
      </c>
      <c r="AW1115" t="s">
        <v>3056</v>
      </c>
      <c r="AX1115" t="s">
        <v>18685</v>
      </c>
    </row>
    <row r="1116" spans="1:50">
      <c r="A1116" s="1" t="s">
        <v>71</v>
      </c>
      <c r="B1116" t="s">
        <v>163</v>
      </c>
      <c r="C1116" t="s">
        <v>4326</v>
      </c>
      <c r="D1116" t="s">
        <v>171</v>
      </c>
      <c r="F1116" t="s">
        <v>614</v>
      </c>
      <c r="G1116" t="s">
        <v>1055</v>
      </c>
      <c r="H1116" t="s">
        <v>9836</v>
      </c>
      <c r="I1116" t="s">
        <v>11173</v>
      </c>
      <c r="J1116" t="s">
        <v>1646</v>
      </c>
      <c r="K1116">
        <v>10301</v>
      </c>
      <c r="L1116" t="s">
        <v>1670</v>
      </c>
      <c r="M1116" t="s">
        <v>1670</v>
      </c>
      <c r="N1116" t="s">
        <v>12108</v>
      </c>
      <c r="O1116" t="s">
        <v>1936</v>
      </c>
      <c r="P1116" t="s">
        <v>1960</v>
      </c>
      <c r="R1116" t="s">
        <v>50</v>
      </c>
      <c r="S1116" t="s">
        <v>1671</v>
      </c>
      <c r="U1116" t="s">
        <v>1972</v>
      </c>
      <c r="V1116" t="s">
        <v>1983</v>
      </c>
      <c r="W1116" t="s">
        <v>171</v>
      </c>
      <c r="X1116">
        <v>1300</v>
      </c>
      <c r="Y1116" t="s">
        <v>2010</v>
      </c>
      <c r="Z1116" t="s">
        <v>2022</v>
      </c>
      <c r="AB1116" t="s">
        <v>13832</v>
      </c>
      <c r="AD1116" t="s">
        <v>16269</v>
      </c>
      <c r="AE1116">
        <v>4</v>
      </c>
      <c r="AF1116" t="s">
        <v>2902</v>
      </c>
      <c r="AG1116" t="s">
        <v>1754</v>
      </c>
      <c r="AH1116">
        <v>9</v>
      </c>
      <c r="AI1116">
        <v>1</v>
      </c>
      <c r="AJ1116">
        <v>0</v>
      </c>
      <c r="AK1116">
        <v>0</v>
      </c>
      <c r="AN1116" t="s">
        <v>2926</v>
      </c>
      <c r="AO1116" t="s">
        <v>13051</v>
      </c>
      <c r="AU1116">
        <v>8</v>
      </c>
      <c r="AV1116" t="s">
        <v>3034</v>
      </c>
      <c r="AW1116" t="s">
        <v>3050</v>
      </c>
    </row>
    <row r="1117" spans="1:50">
      <c r="A1117" s="1" t="s">
        <v>97</v>
      </c>
      <c r="B1117" t="s">
        <v>163</v>
      </c>
      <c r="C1117" t="s">
        <v>4327</v>
      </c>
      <c r="D1117" t="s">
        <v>201</v>
      </c>
      <c r="F1117" t="s">
        <v>7296</v>
      </c>
      <c r="G1117" t="s">
        <v>8412</v>
      </c>
      <c r="H1117" t="s">
        <v>1216</v>
      </c>
      <c r="I1117" t="s">
        <v>10972</v>
      </c>
      <c r="J1117" t="s">
        <v>1643</v>
      </c>
      <c r="K1117">
        <v>10034</v>
      </c>
      <c r="L1117" t="s">
        <v>1670</v>
      </c>
      <c r="M1117" t="s">
        <v>1670</v>
      </c>
      <c r="N1117" t="s">
        <v>11864</v>
      </c>
      <c r="O1117" t="s">
        <v>1939</v>
      </c>
      <c r="P1117" t="s">
        <v>1960</v>
      </c>
      <c r="R1117" t="s">
        <v>50</v>
      </c>
      <c r="S1117" t="s">
        <v>1670</v>
      </c>
      <c r="U1117" t="s">
        <v>1972</v>
      </c>
      <c r="W1117" t="s">
        <v>201</v>
      </c>
      <c r="X1117">
        <v>2670</v>
      </c>
      <c r="Y1117" t="s">
        <v>2008</v>
      </c>
      <c r="Z1117" t="s">
        <v>2013</v>
      </c>
      <c r="AB1117" t="s">
        <v>13833</v>
      </c>
      <c r="AE1117">
        <v>67</v>
      </c>
      <c r="AF1117" t="s">
        <v>2902</v>
      </c>
      <c r="AG1117" t="s">
        <v>1754</v>
      </c>
      <c r="AH1117">
        <v>8</v>
      </c>
      <c r="AI1117">
        <v>1</v>
      </c>
      <c r="AJ1117">
        <v>0</v>
      </c>
      <c r="AK1117">
        <v>0</v>
      </c>
      <c r="AN1117" t="s">
        <v>2926</v>
      </c>
      <c r="AO1117" t="s">
        <v>13051</v>
      </c>
      <c r="AU1117">
        <v>3.3</v>
      </c>
      <c r="AV1117" t="s">
        <v>212</v>
      </c>
      <c r="AW1117" t="s">
        <v>3042</v>
      </c>
      <c r="AX1117" t="s">
        <v>18685</v>
      </c>
    </row>
    <row r="1118" spans="1:50">
      <c r="A1118" s="1" t="s">
        <v>97</v>
      </c>
      <c r="B1118" t="s">
        <v>163</v>
      </c>
      <c r="C1118" t="s">
        <v>4328</v>
      </c>
      <c r="D1118" t="s">
        <v>2000</v>
      </c>
      <c r="F1118" t="s">
        <v>7297</v>
      </c>
      <c r="G1118" t="s">
        <v>441</v>
      </c>
      <c r="H1118" t="s">
        <v>9837</v>
      </c>
      <c r="I1118" t="s">
        <v>1475</v>
      </c>
      <c r="J1118" t="s">
        <v>1643</v>
      </c>
      <c r="K1118">
        <v>10033</v>
      </c>
      <c r="L1118" t="s">
        <v>1670</v>
      </c>
      <c r="M1118" t="s">
        <v>1670</v>
      </c>
      <c r="N1118" t="s">
        <v>12109</v>
      </c>
      <c r="O1118" t="s">
        <v>1936</v>
      </c>
      <c r="P1118" t="s">
        <v>1960</v>
      </c>
      <c r="R1118" t="s">
        <v>50</v>
      </c>
      <c r="S1118" t="s">
        <v>1671</v>
      </c>
      <c r="U1118" t="s">
        <v>1972</v>
      </c>
      <c r="W1118" t="s">
        <v>2000</v>
      </c>
      <c r="X1118">
        <v>1244</v>
      </c>
      <c r="Y1118" t="s">
        <v>2008</v>
      </c>
      <c r="Z1118" t="s">
        <v>2013</v>
      </c>
      <c r="AB1118" t="s">
        <v>13834</v>
      </c>
      <c r="AD1118" t="s">
        <v>16270</v>
      </c>
      <c r="AE1118">
        <v>37</v>
      </c>
      <c r="AF1118" t="s">
        <v>2902</v>
      </c>
      <c r="AG1118" t="s">
        <v>1754</v>
      </c>
      <c r="AH1118">
        <v>30</v>
      </c>
      <c r="AI1118">
        <v>1</v>
      </c>
      <c r="AJ1118">
        <v>0</v>
      </c>
      <c r="AK1118">
        <v>0</v>
      </c>
      <c r="AN1118" t="s">
        <v>2927</v>
      </c>
      <c r="AO1118" t="s">
        <v>13051</v>
      </c>
      <c r="AU1118">
        <v>39.25</v>
      </c>
      <c r="AV1118" t="s">
        <v>405</v>
      </c>
      <c r="AW1118" t="s">
        <v>3042</v>
      </c>
      <c r="AX1118" t="s">
        <v>18685</v>
      </c>
    </row>
    <row r="1119" spans="1:50">
      <c r="A1119" s="1" t="s">
        <v>152</v>
      </c>
      <c r="B1119" t="s">
        <v>163</v>
      </c>
      <c r="C1119" t="s">
        <v>4329</v>
      </c>
      <c r="D1119" t="s">
        <v>372</v>
      </c>
      <c r="F1119" t="s">
        <v>7298</v>
      </c>
      <c r="G1119" t="s">
        <v>8413</v>
      </c>
      <c r="H1119" t="s">
        <v>9838</v>
      </c>
      <c r="I1119" t="s">
        <v>11050</v>
      </c>
      <c r="J1119" t="s">
        <v>1643</v>
      </c>
      <c r="K1119">
        <v>10024</v>
      </c>
      <c r="L1119" t="s">
        <v>1670</v>
      </c>
      <c r="M1119" t="s">
        <v>1672</v>
      </c>
      <c r="N1119" t="s">
        <v>12110</v>
      </c>
      <c r="O1119" t="s">
        <v>1936</v>
      </c>
      <c r="P1119" t="s">
        <v>1960</v>
      </c>
      <c r="R1119" t="s">
        <v>50</v>
      </c>
      <c r="S1119" t="s">
        <v>1671</v>
      </c>
      <c r="U1119" t="s">
        <v>1972</v>
      </c>
      <c r="W1119" t="s">
        <v>372</v>
      </c>
      <c r="X1119">
        <v>1344</v>
      </c>
      <c r="Y1119" t="s">
        <v>2008</v>
      </c>
      <c r="Z1119" t="s">
        <v>2013</v>
      </c>
      <c r="AB1119" t="s">
        <v>13835</v>
      </c>
      <c r="AD1119" t="s">
        <v>16271</v>
      </c>
      <c r="AE1119">
        <v>64</v>
      </c>
      <c r="AF1119" t="s">
        <v>2902</v>
      </c>
      <c r="AG1119" t="s">
        <v>2017</v>
      </c>
      <c r="AH1119">
        <v>38</v>
      </c>
      <c r="AI1119">
        <v>1</v>
      </c>
      <c r="AJ1119">
        <v>0</v>
      </c>
      <c r="AK1119">
        <v>0</v>
      </c>
      <c r="AN1119" t="s">
        <v>2926</v>
      </c>
      <c r="AO1119" t="s">
        <v>13051</v>
      </c>
      <c r="AU1119">
        <v>76.5</v>
      </c>
      <c r="AV1119" t="s">
        <v>239</v>
      </c>
      <c r="AW1119" t="s">
        <v>3051</v>
      </c>
    </row>
    <row r="1120" spans="1:50">
      <c r="A1120" s="1" t="s">
        <v>127</v>
      </c>
      <c r="B1120" t="s">
        <v>163</v>
      </c>
      <c r="C1120" t="s">
        <v>4330</v>
      </c>
      <c r="D1120" t="s">
        <v>198</v>
      </c>
      <c r="F1120" t="s">
        <v>7299</v>
      </c>
      <c r="G1120" t="s">
        <v>780</v>
      </c>
      <c r="H1120" t="s">
        <v>1242</v>
      </c>
      <c r="I1120" t="s">
        <v>1484</v>
      </c>
      <c r="J1120" t="s">
        <v>1644</v>
      </c>
      <c r="K1120">
        <v>11206</v>
      </c>
      <c r="L1120" t="s">
        <v>1670</v>
      </c>
      <c r="M1120" t="s">
        <v>1670</v>
      </c>
      <c r="N1120" t="s">
        <v>12111</v>
      </c>
      <c r="O1120" t="s">
        <v>1936</v>
      </c>
      <c r="P1120" t="s">
        <v>1960</v>
      </c>
      <c r="R1120" t="s">
        <v>50</v>
      </c>
      <c r="S1120" t="s">
        <v>1671</v>
      </c>
      <c r="U1120" t="s">
        <v>1972</v>
      </c>
      <c r="V1120" t="s">
        <v>1984</v>
      </c>
      <c r="W1120" t="s">
        <v>295</v>
      </c>
      <c r="X1120">
        <v>1245</v>
      </c>
      <c r="Y1120" t="s">
        <v>2009</v>
      </c>
      <c r="Z1120" t="s">
        <v>2020</v>
      </c>
      <c r="AB1120" t="s">
        <v>13836</v>
      </c>
      <c r="AC1120" t="s">
        <v>15109</v>
      </c>
      <c r="AE1120">
        <v>8</v>
      </c>
      <c r="AF1120" t="s">
        <v>2902</v>
      </c>
      <c r="AH1120">
        <v>2</v>
      </c>
      <c r="AI1120">
        <v>2</v>
      </c>
      <c r="AJ1120">
        <v>0</v>
      </c>
      <c r="AK1120">
        <v>1.27</v>
      </c>
      <c r="AN1120" t="s">
        <v>2926</v>
      </c>
      <c r="AO1120">
        <v>215</v>
      </c>
      <c r="AP1120" t="s">
        <v>18249</v>
      </c>
      <c r="AU1120">
        <v>36.7</v>
      </c>
      <c r="AV1120" t="s">
        <v>325</v>
      </c>
      <c r="AW1120" t="s">
        <v>127</v>
      </c>
      <c r="AX1120" t="s">
        <v>18685</v>
      </c>
    </row>
    <row r="1121" spans="1:50">
      <c r="A1121" s="1" t="s">
        <v>66</v>
      </c>
      <c r="B1121" t="s">
        <v>164</v>
      </c>
      <c r="C1121" t="s">
        <v>4331</v>
      </c>
      <c r="D1121" t="s">
        <v>187</v>
      </c>
      <c r="E1121" t="s">
        <v>341</v>
      </c>
      <c r="F1121" t="s">
        <v>7300</v>
      </c>
      <c r="G1121" t="s">
        <v>8414</v>
      </c>
      <c r="H1121" t="s">
        <v>9839</v>
      </c>
      <c r="I1121" t="s">
        <v>11097</v>
      </c>
      <c r="J1121" t="s">
        <v>1644</v>
      </c>
      <c r="K1121">
        <v>11212</v>
      </c>
      <c r="L1121" t="s">
        <v>1670</v>
      </c>
      <c r="M1121" t="s">
        <v>1670</v>
      </c>
      <c r="P1121" t="s">
        <v>1962</v>
      </c>
      <c r="Q1121" t="s">
        <v>1968</v>
      </c>
      <c r="R1121" t="s">
        <v>50</v>
      </c>
      <c r="U1121" t="s">
        <v>1972</v>
      </c>
      <c r="W1121" t="s">
        <v>187</v>
      </c>
      <c r="X1121">
        <v>600</v>
      </c>
      <c r="Y1121" t="s">
        <v>2009</v>
      </c>
      <c r="Z1121" t="s">
        <v>2013</v>
      </c>
      <c r="AA1121" t="s">
        <v>2029</v>
      </c>
      <c r="AB1121" t="s">
        <v>13837</v>
      </c>
      <c r="AC1121" t="s">
        <v>15110</v>
      </c>
      <c r="AD1121" t="s">
        <v>16272</v>
      </c>
      <c r="AE1121">
        <v>2</v>
      </c>
      <c r="AH1121">
        <v>1</v>
      </c>
      <c r="AI1121">
        <v>1</v>
      </c>
      <c r="AJ1121">
        <v>0</v>
      </c>
      <c r="AK1121">
        <v>2.57</v>
      </c>
      <c r="AN1121" t="s">
        <v>2935</v>
      </c>
      <c r="AO1121">
        <v>312</v>
      </c>
      <c r="AU1121">
        <v>2.1</v>
      </c>
      <c r="AV1121" t="s">
        <v>341</v>
      </c>
      <c r="AW1121" t="s">
        <v>3049</v>
      </c>
    </row>
    <row r="1122" spans="1:50">
      <c r="A1122" s="1" t="s">
        <v>63</v>
      </c>
      <c r="B1122" t="s">
        <v>163</v>
      </c>
      <c r="C1122" t="s">
        <v>4332</v>
      </c>
      <c r="D1122" t="s">
        <v>241</v>
      </c>
      <c r="F1122" t="s">
        <v>7015</v>
      </c>
      <c r="G1122" t="s">
        <v>8415</v>
      </c>
      <c r="H1122" t="s">
        <v>9840</v>
      </c>
      <c r="I1122">
        <v>315</v>
      </c>
      <c r="J1122" t="s">
        <v>1641</v>
      </c>
      <c r="K1122">
        <v>10459</v>
      </c>
      <c r="L1122" t="s">
        <v>1670</v>
      </c>
      <c r="M1122" t="s">
        <v>1670</v>
      </c>
      <c r="N1122" t="s">
        <v>12112</v>
      </c>
      <c r="O1122" t="s">
        <v>1940</v>
      </c>
      <c r="P1122" t="s">
        <v>1960</v>
      </c>
      <c r="R1122" t="s">
        <v>50</v>
      </c>
      <c r="S1122" t="s">
        <v>1671</v>
      </c>
      <c r="U1122" t="s">
        <v>1972</v>
      </c>
      <c r="V1122" t="s">
        <v>1984</v>
      </c>
      <c r="W1122" t="s">
        <v>241</v>
      </c>
      <c r="X1122">
        <v>1640.18</v>
      </c>
      <c r="Y1122" t="s">
        <v>2006</v>
      </c>
      <c r="Z1122" t="s">
        <v>2023</v>
      </c>
      <c r="AB1122" t="s">
        <v>13838</v>
      </c>
      <c r="AD1122" t="s">
        <v>16273</v>
      </c>
      <c r="AE1122">
        <v>123</v>
      </c>
      <c r="AF1122" t="s">
        <v>2902</v>
      </c>
      <c r="AG1122" t="s">
        <v>1754</v>
      </c>
      <c r="AH1122">
        <v>11</v>
      </c>
      <c r="AI1122">
        <v>2</v>
      </c>
      <c r="AJ1122">
        <v>0</v>
      </c>
      <c r="AK1122">
        <v>2.92</v>
      </c>
      <c r="AN1122" t="s">
        <v>2926</v>
      </c>
      <c r="AO1122">
        <v>480</v>
      </c>
      <c r="AP1122" t="s">
        <v>18250</v>
      </c>
      <c r="AU1122">
        <v>43.2</v>
      </c>
      <c r="AV1122" t="s">
        <v>2005</v>
      </c>
      <c r="AW1122" t="s">
        <v>3058</v>
      </c>
    </row>
    <row r="1123" spans="1:50">
      <c r="A1123" s="1" t="s">
        <v>52</v>
      </c>
      <c r="B1123" t="s">
        <v>164</v>
      </c>
      <c r="C1123" t="s">
        <v>4333</v>
      </c>
      <c r="D1123" t="s">
        <v>220</v>
      </c>
      <c r="E1123" t="s">
        <v>220</v>
      </c>
      <c r="F1123" t="s">
        <v>6868</v>
      </c>
      <c r="G1123" t="s">
        <v>8416</v>
      </c>
      <c r="H1123" t="s">
        <v>9841</v>
      </c>
      <c r="I1123" t="s">
        <v>1549</v>
      </c>
      <c r="J1123" t="s">
        <v>1641</v>
      </c>
      <c r="K1123">
        <v>10459</v>
      </c>
      <c r="L1123" t="s">
        <v>1670</v>
      </c>
      <c r="M1123" t="s">
        <v>1670</v>
      </c>
      <c r="N1123" t="s">
        <v>12113</v>
      </c>
      <c r="O1123" t="s">
        <v>1938</v>
      </c>
      <c r="P1123" t="s">
        <v>1962</v>
      </c>
      <c r="Q1123" t="s">
        <v>1968</v>
      </c>
      <c r="R1123" t="s">
        <v>50</v>
      </c>
      <c r="S1123" t="s">
        <v>1671</v>
      </c>
      <c r="U1123" t="s">
        <v>1972</v>
      </c>
      <c r="W1123" t="s">
        <v>1991</v>
      </c>
      <c r="X1123">
        <v>915</v>
      </c>
      <c r="Y1123" t="s">
        <v>2006</v>
      </c>
      <c r="AA1123" t="s">
        <v>2030</v>
      </c>
      <c r="AB1123" t="s">
        <v>13839</v>
      </c>
      <c r="AE1123">
        <v>20</v>
      </c>
      <c r="AF1123" t="s">
        <v>2902</v>
      </c>
      <c r="AG1123" t="s">
        <v>1754</v>
      </c>
      <c r="AH1123">
        <v>23</v>
      </c>
      <c r="AI1123">
        <v>2</v>
      </c>
      <c r="AJ1123">
        <v>0</v>
      </c>
      <c r="AK1123">
        <v>2.96</v>
      </c>
      <c r="AN1123" t="s">
        <v>2927</v>
      </c>
      <c r="AO1123">
        <v>500</v>
      </c>
      <c r="AP1123" t="s">
        <v>18251</v>
      </c>
      <c r="AU1123">
        <v>1.5</v>
      </c>
      <c r="AV1123" t="s">
        <v>220</v>
      </c>
      <c r="AW1123" t="s">
        <v>3045</v>
      </c>
    </row>
    <row r="1124" spans="1:50">
      <c r="A1124" s="1" t="s">
        <v>100</v>
      </c>
      <c r="B1124" t="s">
        <v>164</v>
      </c>
      <c r="C1124" t="s">
        <v>4334</v>
      </c>
      <c r="D1124" t="s">
        <v>378</v>
      </c>
      <c r="E1124" t="s">
        <v>320</v>
      </c>
      <c r="F1124" t="s">
        <v>7301</v>
      </c>
      <c r="G1124" t="s">
        <v>8417</v>
      </c>
      <c r="H1124" t="s">
        <v>9842</v>
      </c>
      <c r="I1124" t="s">
        <v>1525</v>
      </c>
      <c r="J1124" t="s">
        <v>1643</v>
      </c>
      <c r="K1124">
        <v>10034</v>
      </c>
      <c r="L1124" t="s">
        <v>1670</v>
      </c>
      <c r="M1124" t="s">
        <v>1670</v>
      </c>
      <c r="P1124" t="s">
        <v>1962</v>
      </c>
      <c r="Q1124" t="s">
        <v>1968</v>
      </c>
      <c r="R1124" t="s">
        <v>50</v>
      </c>
      <c r="S1124" t="s">
        <v>1671</v>
      </c>
      <c r="U1124" t="s">
        <v>1972</v>
      </c>
      <c r="W1124" t="s">
        <v>378</v>
      </c>
      <c r="X1124" t="s">
        <v>13051</v>
      </c>
      <c r="Y1124" t="s">
        <v>2008</v>
      </c>
      <c r="Z1124" t="s">
        <v>2013</v>
      </c>
      <c r="AA1124" t="s">
        <v>2030</v>
      </c>
      <c r="AB1124" t="s">
        <v>13840</v>
      </c>
      <c r="AE1124">
        <v>17</v>
      </c>
      <c r="AF1124" t="s">
        <v>2902</v>
      </c>
      <c r="AG1124" t="s">
        <v>1754</v>
      </c>
      <c r="AH1124">
        <v>9</v>
      </c>
      <c r="AI1124">
        <v>1</v>
      </c>
      <c r="AJ1124">
        <v>0</v>
      </c>
      <c r="AK1124">
        <v>5.93</v>
      </c>
      <c r="AN1124" t="s">
        <v>2927</v>
      </c>
      <c r="AO1124">
        <v>720</v>
      </c>
      <c r="AU1124">
        <v>0.1</v>
      </c>
      <c r="AV1124" t="s">
        <v>320</v>
      </c>
      <c r="AW1124" t="s">
        <v>3042</v>
      </c>
    </row>
    <row r="1125" spans="1:50">
      <c r="A1125" s="1" t="s">
        <v>73</v>
      </c>
      <c r="B1125" t="s">
        <v>163</v>
      </c>
      <c r="C1125" t="s">
        <v>4335</v>
      </c>
      <c r="D1125" t="s">
        <v>326</v>
      </c>
      <c r="F1125" t="s">
        <v>7302</v>
      </c>
      <c r="G1125" t="s">
        <v>945</v>
      </c>
      <c r="H1125" t="s">
        <v>9788</v>
      </c>
      <c r="I1125" t="s">
        <v>11030</v>
      </c>
      <c r="J1125" t="s">
        <v>1645</v>
      </c>
      <c r="K1125">
        <v>11691</v>
      </c>
      <c r="L1125" t="s">
        <v>1670</v>
      </c>
      <c r="M1125" t="s">
        <v>1670</v>
      </c>
      <c r="O1125" t="s">
        <v>1675</v>
      </c>
      <c r="P1125" t="s">
        <v>1962</v>
      </c>
      <c r="R1125" t="s">
        <v>50</v>
      </c>
      <c r="U1125" t="s">
        <v>1972</v>
      </c>
      <c r="W1125" t="s">
        <v>255</v>
      </c>
      <c r="X1125">
        <v>1500</v>
      </c>
      <c r="Y1125" t="s">
        <v>2007</v>
      </c>
      <c r="AB1125" t="s">
        <v>13841</v>
      </c>
      <c r="AE1125">
        <v>917</v>
      </c>
      <c r="AF1125" t="s">
        <v>2902</v>
      </c>
      <c r="AG1125" t="s">
        <v>2915</v>
      </c>
      <c r="AH1125">
        <v>5</v>
      </c>
      <c r="AI1125">
        <v>1</v>
      </c>
      <c r="AJ1125">
        <v>0</v>
      </c>
      <c r="AK1125">
        <v>6.1</v>
      </c>
      <c r="AN1125" t="s">
        <v>2926</v>
      </c>
      <c r="AO1125">
        <v>762</v>
      </c>
      <c r="AU1125">
        <v>0.5</v>
      </c>
      <c r="AV1125" t="s">
        <v>269</v>
      </c>
      <c r="AW1125" t="s">
        <v>73</v>
      </c>
    </row>
    <row r="1126" spans="1:50">
      <c r="A1126" s="1" t="s">
        <v>90</v>
      </c>
      <c r="B1126" t="s">
        <v>164</v>
      </c>
      <c r="C1126" t="s">
        <v>4336</v>
      </c>
      <c r="D1126" t="s">
        <v>2005</v>
      </c>
      <c r="E1126" t="s">
        <v>361</v>
      </c>
      <c r="F1126" t="s">
        <v>7303</v>
      </c>
      <c r="G1126" t="s">
        <v>8418</v>
      </c>
      <c r="H1126" t="s">
        <v>1338</v>
      </c>
      <c r="I1126">
        <v>60</v>
      </c>
      <c r="J1126" t="s">
        <v>1646</v>
      </c>
      <c r="K1126">
        <v>10304</v>
      </c>
      <c r="L1126" t="s">
        <v>1670</v>
      </c>
      <c r="M1126" t="s">
        <v>1670</v>
      </c>
      <c r="N1126" t="s">
        <v>12114</v>
      </c>
      <c r="O1126" t="s">
        <v>1936</v>
      </c>
      <c r="P1126" t="s">
        <v>1960</v>
      </c>
      <c r="Q1126" t="s">
        <v>1969</v>
      </c>
      <c r="R1126" t="s">
        <v>50</v>
      </c>
      <c r="S1126" t="s">
        <v>1671</v>
      </c>
      <c r="U1126" t="s">
        <v>1973</v>
      </c>
      <c r="V1126" t="s">
        <v>1984</v>
      </c>
      <c r="W1126" t="s">
        <v>3040</v>
      </c>
      <c r="X1126">
        <v>1120</v>
      </c>
      <c r="Y1126" t="s">
        <v>2010</v>
      </c>
      <c r="Z1126" t="s">
        <v>2020</v>
      </c>
      <c r="AA1126" t="s">
        <v>2041</v>
      </c>
      <c r="AB1126" t="s">
        <v>13842</v>
      </c>
      <c r="AD1126" t="s">
        <v>16274</v>
      </c>
      <c r="AE1126">
        <v>150</v>
      </c>
      <c r="AF1126" t="s">
        <v>2907</v>
      </c>
      <c r="AH1126">
        <v>6</v>
      </c>
      <c r="AI1126">
        <v>1</v>
      </c>
      <c r="AJ1126">
        <v>0</v>
      </c>
      <c r="AK1126">
        <v>6.62</v>
      </c>
      <c r="AN1126" t="s">
        <v>2926</v>
      </c>
      <c r="AO1126">
        <v>804</v>
      </c>
      <c r="AU1126">
        <v>18.35</v>
      </c>
      <c r="AV1126" t="s">
        <v>272</v>
      </c>
      <c r="AW1126" t="s">
        <v>3062</v>
      </c>
    </row>
    <row r="1127" spans="1:50">
      <c r="A1127" s="1" t="s">
        <v>65</v>
      </c>
      <c r="B1127" t="s">
        <v>163</v>
      </c>
      <c r="C1127" t="s">
        <v>4337</v>
      </c>
      <c r="D1127" t="s">
        <v>286</v>
      </c>
      <c r="F1127" t="s">
        <v>530</v>
      </c>
      <c r="G1127" t="s">
        <v>8419</v>
      </c>
      <c r="H1127" t="s">
        <v>9529</v>
      </c>
      <c r="I1127" t="s">
        <v>1575</v>
      </c>
      <c r="J1127" t="s">
        <v>1644</v>
      </c>
      <c r="K1127">
        <v>11225</v>
      </c>
      <c r="L1127" t="s">
        <v>1670</v>
      </c>
      <c r="M1127" t="s">
        <v>1670</v>
      </c>
      <c r="O1127" t="s">
        <v>1938</v>
      </c>
      <c r="P1127" t="s">
        <v>1961</v>
      </c>
      <c r="R1127" t="s">
        <v>50</v>
      </c>
      <c r="S1127" t="s">
        <v>1670</v>
      </c>
      <c r="U1127" t="s">
        <v>1972</v>
      </c>
      <c r="W1127" t="s">
        <v>2001</v>
      </c>
      <c r="X1127">
        <v>1108.02</v>
      </c>
      <c r="Y1127" t="s">
        <v>2009</v>
      </c>
      <c r="AB1127" t="s">
        <v>13843</v>
      </c>
      <c r="AC1127" t="s">
        <v>15111</v>
      </c>
      <c r="AD1127" t="s">
        <v>16275</v>
      </c>
      <c r="AE1127" t="s">
        <v>13051</v>
      </c>
      <c r="AG1127" t="s">
        <v>2915</v>
      </c>
      <c r="AH1127">
        <v>13</v>
      </c>
      <c r="AI1127">
        <v>1</v>
      </c>
      <c r="AJ1127">
        <v>0</v>
      </c>
      <c r="AK1127">
        <v>6.85</v>
      </c>
      <c r="AN1127" t="s">
        <v>2926</v>
      </c>
      <c r="AO1127">
        <v>855.36</v>
      </c>
      <c r="AU1127">
        <v>2.6</v>
      </c>
      <c r="AV1127" t="s">
        <v>392</v>
      </c>
      <c r="AW1127" t="s">
        <v>158</v>
      </c>
      <c r="AX1127" t="s">
        <v>18685</v>
      </c>
    </row>
    <row r="1128" spans="1:50">
      <c r="A1128" s="1" t="s">
        <v>65</v>
      </c>
      <c r="B1128" t="s">
        <v>163</v>
      </c>
      <c r="C1128" t="s">
        <v>4338</v>
      </c>
      <c r="D1128" t="s">
        <v>253</v>
      </c>
      <c r="F1128" t="s">
        <v>530</v>
      </c>
      <c r="G1128" t="s">
        <v>8419</v>
      </c>
      <c r="H1128" t="s">
        <v>9529</v>
      </c>
      <c r="I1128" t="s">
        <v>1575</v>
      </c>
      <c r="J1128" t="s">
        <v>1644</v>
      </c>
      <c r="K1128">
        <v>11225</v>
      </c>
      <c r="L1128" t="s">
        <v>1670</v>
      </c>
      <c r="M1128" t="s">
        <v>1670</v>
      </c>
      <c r="O1128" t="s">
        <v>1952</v>
      </c>
      <c r="P1128" t="s">
        <v>1960</v>
      </c>
      <c r="R1128" t="s">
        <v>50</v>
      </c>
      <c r="U1128" t="s">
        <v>1972</v>
      </c>
      <c r="W1128" t="s">
        <v>2001</v>
      </c>
      <c r="X1128" t="s">
        <v>13051</v>
      </c>
      <c r="Y1128" t="s">
        <v>2009</v>
      </c>
      <c r="AB1128" t="s">
        <v>13843</v>
      </c>
      <c r="AC1128" t="s">
        <v>15111</v>
      </c>
      <c r="AD1128" t="s">
        <v>16275</v>
      </c>
      <c r="AE1128" t="s">
        <v>13051</v>
      </c>
      <c r="AH1128" t="s">
        <v>13051</v>
      </c>
      <c r="AI1128">
        <v>1</v>
      </c>
      <c r="AJ1128">
        <v>0</v>
      </c>
      <c r="AK1128">
        <v>7.05</v>
      </c>
      <c r="AN1128" t="s">
        <v>2926</v>
      </c>
      <c r="AO1128">
        <v>855.36</v>
      </c>
      <c r="AU1128" t="s">
        <v>13051</v>
      </c>
      <c r="AW1128" t="s">
        <v>69</v>
      </c>
      <c r="AX1128" t="s">
        <v>18686</v>
      </c>
    </row>
    <row r="1129" spans="1:50">
      <c r="A1129" s="1" t="s">
        <v>96</v>
      </c>
      <c r="B1129" t="s">
        <v>164</v>
      </c>
      <c r="C1129" t="s">
        <v>4339</v>
      </c>
      <c r="D1129" t="s">
        <v>356</v>
      </c>
      <c r="E1129" t="s">
        <v>193</v>
      </c>
      <c r="F1129" t="s">
        <v>553</v>
      </c>
      <c r="G1129" t="s">
        <v>8156</v>
      </c>
      <c r="H1129" t="s">
        <v>9814</v>
      </c>
      <c r="I1129" t="s">
        <v>11174</v>
      </c>
      <c r="J1129" t="s">
        <v>1644</v>
      </c>
      <c r="K1129">
        <v>11203</v>
      </c>
      <c r="L1129" t="s">
        <v>1670</v>
      </c>
      <c r="M1129" t="s">
        <v>1670</v>
      </c>
      <c r="O1129" t="s">
        <v>1937</v>
      </c>
      <c r="P1129" t="s">
        <v>1959</v>
      </c>
      <c r="Q1129" t="s">
        <v>1967</v>
      </c>
      <c r="R1129" t="s">
        <v>50</v>
      </c>
      <c r="S1129" t="s">
        <v>1670</v>
      </c>
      <c r="U1129" t="s">
        <v>1972</v>
      </c>
      <c r="W1129" t="s">
        <v>356</v>
      </c>
      <c r="X1129" t="s">
        <v>13051</v>
      </c>
      <c r="Y1129" t="s">
        <v>2009</v>
      </c>
      <c r="Z1129" t="s">
        <v>2020</v>
      </c>
      <c r="AA1129" t="s">
        <v>2031</v>
      </c>
      <c r="AB1129" t="s">
        <v>13844</v>
      </c>
      <c r="AD1129" t="s">
        <v>15077</v>
      </c>
      <c r="AE1129" t="s">
        <v>13051</v>
      </c>
      <c r="AF1129" t="s">
        <v>2902</v>
      </c>
      <c r="AH1129">
        <v>41</v>
      </c>
      <c r="AI1129">
        <v>2</v>
      </c>
      <c r="AJ1129">
        <v>0</v>
      </c>
      <c r="AK1129">
        <v>7.29</v>
      </c>
      <c r="AN1129" t="s">
        <v>2926</v>
      </c>
      <c r="AO1129">
        <v>1200</v>
      </c>
      <c r="AS1129" t="s">
        <v>2992</v>
      </c>
      <c r="AT1129" t="s">
        <v>18532</v>
      </c>
      <c r="AU1129">
        <v>1.25</v>
      </c>
      <c r="AV1129" t="s">
        <v>193</v>
      </c>
      <c r="AW1129" t="s">
        <v>3049</v>
      </c>
      <c r="AX1129" t="s">
        <v>18685</v>
      </c>
    </row>
    <row r="1130" spans="1:50">
      <c r="A1130" s="1" t="s">
        <v>115</v>
      </c>
      <c r="B1130" t="s">
        <v>164</v>
      </c>
      <c r="C1130" t="s">
        <v>4340</v>
      </c>
      <c r="D1130" t="s">
        <v>265</v>
      </c>
      <c r="E1130" t="s">
        <v>199</v>
      </c>
      <c r="F1130" t="s">
        <v>415</v>
      </c>
      <c r="G1130" t="s">
        <v>8420</v>
      </c>
      <c r="H1130" t="s">
        <v>9843</v>
      </c>
      <c r="I1130" t="s">
        <v>11168</v>
      </c>
      <c r="J1130" t="s">
        <v>1641</v>
      </c>
      <c r="K1130">
        <v>10459</v>
      </c>
      <c r="L1130" t="s">
        <v>1670</v>
      </c>
      <c r="M1130" t="s">
        <v>1670</v>
      </c>
      <c r="O1130" t="s">
        <v>1675</v>
      </c>
      <c r="P1130" t="s">
        <v>1962</v>
      </c>
      <c r="Q1130" t="s">
        <v>1968</v>
      </c>
      <c r="R1130" t="s">
        <v>50</v>
      </c>
      <c r="S1130" t="s">
        <v>1671</v>
      </c>
      <c r="U1130" t="s">
        <v>1972</v>
      </c>
      <c r="W1130" t="s">
        <v>338</v>
      </c>
      <c r="X1130">
        <v>1048.5</v>
      </c>
      <c r="Y1130" t="s">
        <v>2006</v>
      </c>
      <c r="Z1130" t="s">
        <v>2015</v>
      </c>
      <c r="AA1130" t="s">
        <v>2029</v>
      </c>
      <c r="AB1130" t="s">
        <v>13845</v>
      </c>
      <c r="AD1130" t="s">
        <v>16276</v>
      </c>
      <c r="AE1130">
        <v>9</v>
      </c>
      <c r="AF1130" t="s">
        <v>2902</v>
      </c>
      <c r="AG1130" t="s">
        <v>1754</v>
      </c>
      <c r="AH1130">
        <v>5</v>
      </c>
      <c r="AI1130">
        <v>1</v>
      </c>
      <c r="AJ1130">
        <v>0</v>
      </c>
      <c r="AK1130">
        <v>8.01</v>
      </c>
      <c r="AN1130" t="s">
        <v>2926</v>
      </c>
      <c r="AO1130">
        <v>1000</v>
      </c>
      <c r="AU1130">
        <v>3.05</v>
      </c>
      <c r="AV1130" t="s">
        <v>199</v>
      </c>
      <c r="AW1130" t="s">
        <v>115</v>
      </c>
    </row>
    <row r="1131" spans="1:50">
      <c r="A1131" s="1" t="s">
        <v>82</v>
      </c>
      <c r="B1131" t="s">
        <v>164</v>
      </c>
      <c r="C1131" t="s">
        <v>4341</v>
      </c>
      <c r="D1131" t="s">
        <v>185</v>
      </c>
      <c r="E1131" t="s">
        <v>6764</v>
      </c>
      <c r="F1131" t="s">
        <v>7304</v>
      </c>
      <c r="G1131" t="s">
        <v>8421</v>
      </c>
      <c r="H1131" t="s">
        <v>9844</v>
      </c>
      <c r="I1131" t="s">
        <v>1490</v>
      </c>
      <c r="J1131" t="s">
        <v>1644</v>
      </c>
      <c r="K1131">
        <v>11217</v>
      </c>
      <c r="L1131" t="s">
        <v>1670</v>
      </c>
      <c r="M1131" t="s">
        <v>1670</v>
      </c>
      <c r="N1131" t="s">
        <v>12115</v>
      </c>
      <c r="O1131" t="s">
        <v>1940</v>
      </c>
      <c r="P1131" t="s">
        <v>1958</v>
      </c>
      <c r="Q1131" t="s">
        <v>1965</v>
      </c>
      <c r="R1131" t="s">
        <v>50</v>
      </c>
      <c r="S1131" t="s">
        <v>1671</v>
      </c>
      <c r="U1131" t="s">
        <v>1972</v>
      </c>
      <c r="W1131" t="s">
        <v>185</v>
      </c>
      <c r="X1131">
        <v>1113.78</v>
      </c>
      <c r="Y1131" t="s">
        <v>2009</v>
      </c>
      <c r="Z1131" t="s">
        <v>2020</v>
      </c>
      <c r="AA1131" t="s">
        <v>2032</v>
      </c>
      <c r="AB1131" t="s">
        <v>13846</v>
      </c>
      <c r="AC1131" t="s">
        <v>15112</v>
      </c>
      <c r="AD1131" t="s">
        <v>16277</v>
      </c>
      <c r="AE1131">
        <v>36</v>
      </c>
      <c r="AF1131" t="s">
        <v>2902</v>
      </c>
      <c r="AG1131" t="s">
        <v>2920</v>
      </c>
      <c r="AH1131">
        <v>20</v>
      </c>
      <c r="AI1131">
        <v>1</v>
      </c>
      <c r="AJ1131">
        <v>0</v>
      </c>
      <c r="AK1131">
        <v>8.199999999999999</v>
      </c>
      <c r="AN1131" t="s">
        <v>2926</v>
      </c>
      <c r="AO1131">
        <v>996</v>
      </c>
      <c r="AU1131">
        <v>0.5</v>
      </c>
      <c r="AV1131" t="s">
        <v>6764</v>
      </c>
      <c r="AW1131" t="s">
        <v>82</v>
      </c>
    </row>
    <row r="1132" spans="1:50">
      <c r="A1132" s="1" t="s">
        <v>139</v>
      </c>
      <c r="B1132" t="s">
        <v>164</v>
      </c>
      <c r="C1132" t="s">
        <v>4342</v>
      </c>
      <c r="D1132" t="s">
        <v>256</v>
      </c>
      <c r="E1132" t="s">
        <v>327</v>
      </c>
      <c r="F1132" t="s">
        <v>7305</v>
      </c>
      <c r="G1132" t="s">
        <v>8422</v>
      </c>
      <c r="H1132" t="s">
        <v>9845</v>
      </c>
      <c r="I1132" t="s">
        <v>11175</v>
      </c>
      <c r="J1132" t="s">
        <v>1643</v>
      </c>
      <c r="K1132">
        <v>10029</v>
      </c>
      <c r="L1132" t="s">
        <v>1670</v>
      </c>
      <c r="M1132" t="s">
        <v>1670</v>
      </c>
      <c r="O1132" t="s">
        <v>12747</v>
      </c>
      <c r="P1132" t="s">
        <v>1958</v>
      </c>
      <c r="Q1132" t="s">
        <v>1965</v>
      </c>
      <c r="R1132" t="s">
        <v>50</v>
      </c>
      <c r="S1132" t="s">
        <v>1671</v>
      </c>
      <c r="U1132" t="s">
        <v>1972</v>
      </c>
      <c r="V1132" t="s">
        <v>1984</v>
      </c>
      <c r="W1132" t="s">
        <v>274</v>
      </c>
      <c r="X1132">
        <v>1400</v>
      </c>
      <c r="Y1132" t="s">
        <v>2008</v>
      </c>
      <c r="Z1132" t="s">
        <v>2019</v>
      </c>
      <c r="AA1132" t="s">
        <v>2029</v>
      </c>
      <c r="AB1132" t="s">
        <v>13847</v>
      </c>
      <c r="AD1132" t="s">
        <v>16278</v>
      </c>
      <c r="AE1132">
        <v>120</v>
      </c>
      <c r="AF1132" t="s">
        <v>2904</v>
      </c>
      <c r="AG1132" t="s">
        <v>1754</v>
      </c>
      <c r="AH1132">
        <v>3</v>
      </c>
      <c r="AI1132">
        <v>1</v>
      </c>
      <c r="AJ1132">
        <v>0</v>
      </c>
      <c r="AK1132">
        <v>9.609999999999999</v>
      </c>
      <c r="AN1132" t="s">
        <v>2926</v>
      </c>
      <c r="AO1132">
        <v>1200</v>
      </c>
      <c r="AU1132">
        <v>2.5</v>
      </c>
      <c r="AV1132" t="s">
        <v>339</v>
      </c>
      <c r="AW1132" t="s">
        <v>3058</v>
      </c>
      <c r="AX1132" t="s">
        <v>18685</v>
      </c>
    </row>
    <row r="1133" spans="1:50">
      <c r="A1133" s="1" t="s">
        <v>52</v>
      </c>
      <c r="B1133" t="s">
        <v>164</v>
      </c>
      <c r="C1133" t="s">
        <v>4343</v>
      </c>
      <c r="D1133" t="s">
        <v>394</v>
      </c>
      <c r="E1133" t="s">
        <v>258</v>
      </c>
      <c r="F1133" t="s">
        <v>7306</v>
      </c>
      <c r="G1133" t="s">
        <v>8423</v>
      </c>
      <c r="H1133" t="s">
        <v>9846</v>
      </c>
      <c r="I1133" t="s">
        <v>1562</v>
      </c>
      <c r="J1133" t="s">
        <v>1641</v>
      </c>
      <c r="K1133">
        <v>10456</v>
      </c>
      <c r="L1133" t="s">
        <v>1670</v>
      </c>
      <c r="M1133" t="s">
        <v>1670</v>
      </c>
      <c r="O1133" t="s">
        <v>1941</v>
      </c>
      <c r="P1133" t="s">
        <v>1959</v>
      </c>
      <c r="Q1133" t="s">
        <v>1968</v>
      </c>
      <c r="R1133" t="s">
        <v>50</v>
      </c>
      <c r="U1133" t="s">
        <v>13033</v>
      </c>
      <c r="W1133" t="s">
        <v>266</v>
      </c>
      <c r="X1133">
        <v>1108</v>
      </c>
      <c r="Y1133" t="s">
        <v>2006</v>
      </c>
      <c r="Z1133" t="s">
        <v>2020</v>
      </c>
      <c r="AA1133" t="s">
        <v>2030</v>
      </c>
      <c r="AB1133" t="s">
        <v>13848</v>
      </c>
      <c r="AC1133" t="s">
        <v>15113</v>
      </c>
      <c r="AD1133" t="s">
        <v>16279</v>
      </c>
      <c r="AE1133" t="s">
        <v>13051</v>
      </c>
      <c r="AF1133" t="s">
        <v>2902</v>
      </c>
      <c r="AG1133" t="s">
        <v>2918</v>
      </c>
      <c r="AH1133">
        <v>8</v>
      </c>
      <c r="AI1133">
        <v>1</v>
      </c>
      <c r="AJ1133">
        <v>0</v>
      </c>
      <c r="AK1133">
        <v>9.880000000000001</v>
      </c>
      <c r="AN1133" t="s">
        <v>2927</v>
      </c>
      <c r="AO1133">
        <v>1200</v>
      </c>
      <c r="AP1133" t="s">
        <v>18252</v>
      </c>
      <c r="AU1133">
        <v>0.5</v>
      </c>
      <c r="AV1133" t="s">
        <v>195</v>
      </c>
      <c r="AW1133" t="s">
        <v>3046</v>
      </c>
    </row>
    <row r="1134" spans="1:50">
      <c r="A1134" s="1" t="s">
        <v>63</v>
      </c>
      <c r="B1134" t="s">
        <v>163</v>
      </c>
      <c r="C1134" t="s">
        <v>4344</v>
      </c>
      <c r="D1134" t="s">
        <v>272</v>
      </c>
      <c r="F1134" t="s">
        <v>7307</v>
      </c>
      <c r="G1134" t="s">
        <v>8424</v>
      </c>
      <c r="H1134" t="s">
        <v>1131</v>
      </c>
      <c r="I1134" t="s">
        <v>11176</v>
      </c>
      <c r="J1134" t="s">
        <v>1641</v>
      </c>
      <c r="K1134">
        <v>10460</v>
      </c>
      <c r="L1134" t="s">
        <v>1670</v>
      </c>
      <c r="M1134" t="s">
        <v>1672</v>
      </c>
      <c r="N1134" t="s">
        <v>12116</v>
      </c>
      <c r="O1134" t="s">
        <v>1936</v>
      </c>
      <c r="P1134" t="s">
        <v>1960</v>
      </c>
      <c r="R1134" t="s">
        <v>50</v>
      </c>
      <c r="S1134" t="s">
        <v>1671</v>
      </c>
      <c r="U1134" t="s">
        <v>1972</v>
      </c>
      <c r="W1134" t="s">
        <v>1991</v>
      </c>
      <c r="X1134">
        <v>233</v>
      </c>
      <c r="Y1134" t="s">
        <v>2006</v>
      </c>
      <c r="Z1134" t="s">
        <v>2020</v>
      </c>
      <c r="AB1134" t="s">
        <v>2352</v>
      </c>
      <c r="AD1134" t="s">
        <v>16280</v>
      </c>
      <c r="AE1134">
        <v>248</v>
      </c>
      <c r="AF1134" t="s">
        <v>2910</v>
      </c>
      <c r="AG1134" t="s">
        <v>2921</v>
      </c>
      <c r="AH1134">
        <v>25</v>
      </c>
      <c r="AI1134">
        <v>2</v>
      </c>
      <c r="AJ1134">
        <v>0</v>
      </c>
      <c r="AK1134">
        <v>11.6</v>
      </c>
      <c r="AN1134" t="s">
        <v>2926</v>
      </c>
      <c r="AO1134">
        <v>1962</v>
      </c>
      <c r="AU1134">
        <v>9.800000000000001</v>
      </c>
      <c r="AV1134" t="s">
        <v>361</v>
      </c>
      <c r="AW1134" t="s">
        <v>3046</v>
      </c>
      <c r="AX1134" t="s">
        <v>18685</v>
      </c>
    </row>
    <row r="1135" spans="1:50">
      <c r="A1135" s="1" t="s">
        <v>57</v>
      </c>
      <c r="B1135" t="s">
        <v>163</v>
      </c>
      <c r="C1135" t="s">
        <v>4345</v>
      </c>
      <c r="D1135" t="s">
        <v>182</v>
      </c>
      <c r="F1135" t="s">
        <v>7308</v>
      </c>
      <c r="G1135" t="s">
        <v>8425</v>
      </c>
      <c r="H1135" t="s">
        <v>1112</v>
      </c>
      <c r="I1135" t="s">
        <v>11177</v>
      </c>
      <c r="J1135" t="s">
        <v>1641</v>
      </c>
      <c r="K1135">
        <v>10453</v>
      </c>
      <c r="L1135" t="s">
        <v>1670</v>
      </c>
      <c r="M1135" t="s">
        <v>1670</v>
      </c>
      <c r="O1135" t="s">
        <v>1938</v>
      </c>
      <c r="P1135" t="s">
        <v>1961</v>
      </c>
      <c r="R1135" t="s">
        <v>50</v>
      </c>
      <c r="S1135" t="s">
        <v>1670</v>
      </c>
      <c r="U1135" t="s">
        <v>1972</v>
      </c>
      <c r="W1135" t="s">
        <v>283</v>
      </c>
      <c r="X1135">
        <v>1400</v>
      </c>
      <c r="Y1135" t="s">
        <v>2006</v>
      </c>
      <c r="Z1135" t="s">
        <v>2015</v>
      </c>
      <c r="AB1135" t="s">
        <v>13849</v>
      </c>
      <c r="AD1135" t="s">
        <v>16281</v>
      </c>
      <c r="AE1135">
        <v>170</v>
      </c>
      <c r="AF1135" t="s">
        <v>2902</v>
      </c>
      <c r="AH1135">
        <v>8</v>
      </c>
      <c r="AI1135">
        <v>2</v>
      </c>
      <c r="AJ1135">
        <v>0</v>
      </c>
      <c r="AK1135">
        <v>11.83</v>
      </c>
      <c r="AN1135" t="s">
        <v>2927</v>
      </c>
      <c r="AO1135">
        <v>2000</v>
      </c>
      <c r="AU1135" t="s">
        <v>13051</v>
      </c>
      <c r="AW1135" t="s">
        <v>76</v>
      </c>
    </row>
    <row r="1136" spans="1:50">
      <c r="A1136" s="1" t="s">
        <v>94</v>
      </c>
      <c r="B1136" t="s">
        <v>164</v>
      </c>
      <c r="C1136" t="s">
        <v>4346</v>
      </c>
      <c r="D1136" t="s">
        <v>332</v>
      </c>
      <c r="E1136" t="s">
        <v>237</v>
      </c>
      <c r="F1136" t="s">
        <v>7309</v>
      </c>
      <c r="G1136" t="s">
        <v>870</v>
      </c>
      <c r="H1136" t="s">
        <v>9847</v>
      </c>
      <c r="I1136">
        <v>51</v>
      </c>
      <c r="J1136" t="s">
        <v>1643</v>
      </c>
      <c r="K1136">
        <v>10033</v>
      </c>
      <c r="L1136" t="s">
        <v>1670</v>
      </c>
      <c r="M1136" t="s">
        <v>1670</v>
      </c>
      <c r="P1136" t="s">
        <v>1958</v>
      </c>
      <c r="Q1136" t="s">
        <v>1965</v>
      </c>
      <c r="R1136" t="s">
        <v>50</v>
      </c>
      <c r="S1136" t="s">
        <v>1671</v>
      </c>
      <c r="U1136" t="s">
        <v>1972</v>
      </c>
      <c r="W1136" t="s">
        <v>332</v>
      </c>
      <c r="X1136">
        <v>942.42</v>
      </c>
      <c r="Y1136" t="s">
        <v>2008</v>
      </c>
      <c r="Z1136" t="s">
        <v>2013</v>
      </c>
      <c r="AA1136" t="s">
        <v>2029</v>
      </c>
      <c r="AB1136" t="s">
        <v>13850</v>
      </c>
      <c r="AD1136" t="s">
        <v>16282</v>
      </c>
      <c r="AE1136" t="s">
        <v>13051</v>
      </c>
      <c r="AF1136" t="s">
        <v>2902</v>
      </c>
      <c r="AG1136" t="s">
        <v>1754</v>
      </c>
      <c r="AH1136">
        <v>35</v>
      </c>
      <c r="AI1136">
        <v>1</v>
      </c>
      <c r="AJ1136">
        <v>0</v>
      </c>
      <c r="AK1136">
        <v>11.86</v>
      </c>
      <c r="AN1136" t="s">
        <v>2927</v>
      </c>
      <c r="AO1136">
        <v>1440</v>
      </c>
      <c r="AU1136">
        <v>0.1</v>
      </c>
      <c r="AV1136" t="s">
        <v>3029</v>
      </c>
      <c r="AW1136" t="s">
        <v>3042</v>
      </c>
    </row>
    <row r="1137" spans="1:50">
      <c r="A1137" s="1" t="s">
        <v>107</v>
      </c>
      <c r="B1137" t="s">
        <v>163</v>
      </c>
      <c r="C1137" t="s">
        <v>4347</v>
      </c>
      <c r="D1137" t="s">
        <v>6171</v>
      </c>
      <c r="F1137" t="s">
        <v>7310</v>
      </c>
      <c r="G1137" t="s">
        <v>8017</v>
      </c>
      <c r="H1137" t="s">
        <v>9848</v>
      </c>
      <c r="I1137" t="s">
        <v>1569</v>
      </c>
      <c r="J1137" t="s">
        <v>1644</v>
      </c>
      <c r="K1137">
        <v>11207</v>
      </c>
      <c r="L1137" t="s">
        <v>1670</v>
      </c>
      <c r="M1137" t="s">
        <v>1670</v>
      </c>
      <c r="N1137" t="s">
        <v>12117</v>
      </c>
      <c r="O1137" t="s">
        <v>1940</v>
      </c>
      <c r="P1137" t="s">
        <v>1960</v>
      </c>
      <c r="R1137" t="s">
        <v>50</v>
      </c>
      <c r="S1137" t="s">
        <v>1671</v>
      </c>
      <c r="U1137" t="s">
        <v>1972</v>
      </c>
      <c r="W1137" t="s">
        <v>300</v>
      </c>
      <c r="X1137">
        <v>215</v>
      </c>
      <c r="Y1137" t="s">
        <v>2009</v>
      </c>
      <c r="AB1137" t="s">
        <v>13851</v>
      </c>
      <c r="AC1137">
        <v>33843008</v>
      </c>
      <c r="AD1137" t="s">
        <v>16283</v>
      </c>
      <c r="AE1137">
        <v>60</v>
      </c>
      <c r="AF1137" t="s">
        <v>2907</v>
      </c>
      <c r="AG1137" t="s">
        <v>2915</v>
      </c>
      <c r="AH1137">
        <v>20</v>
      </c>
      <c r="AI1137">
        <v>1</v>
      </c>
      <c r="AJ1137">
        <v>0</v>
      </c>
      <c r="AK1137">
        <v>11.86</v>
      </c>
      <c r="AN1137" t="s">
        <v>2926</v>
      </c>
      <c r="AO1137">
        <v>1440</v>
      </c>
      <c r="AU1137">
        <v>59.65</v>
      </c>
      <c r="AV1137" t="s">
        <v>389</v>
      </c>
      <c r="AW1137" t="s">
        <v>3060</v>
      </c>
    </row>
    <row r="1138" spans="1:50">
      <c r="A1138" s="1" t="s">
        <v>126</v>
      </c>
      <c r="B1138" t="s">
        <v>163</v>
      </c>
      <c r="C1138" t="s">
        <v>4348</v>
      </c>
      <c r="D1138" t="s">
        <v>311</v>
      </c>
      <c r="F1138" t="s">
        <v>7311</v>
      </c>
      <c r="G1138" t="s">
        <v>769</v>
      </c>
      <c r="H1138" t="s">
        <v>9849</v>
      </c>
      <c r="I1138">
        <v>2</v>
      </c>
      <c r="J1138" t="s">
        <v>1641</v>
      </c>
      <c r="K1138">
        <v>10453</v>
      </c>
      <c r="L1138" t="s">
        <v>1670</v>
      </c>
      <c r="M1138" t="s">
        <v>1670</v>
      </c>
      <c r="N1138" t="s">
        <v>12118</v>
      </c>
      <c r="O1138" t="s">
        <v>1940</v>
      </c>
      <c r="P1138" t="s">
        <v>1960</v>
      </c>
      <c r="R1138" t="s">
        <v>50</v>
      </c>
      <c r="U1138" t="s">
        <v>1972</v>
      </c>
      <c r="V1138" t="s">
        <v>1984</v>
      </c>
      <c r="W1138" t="s">
        <v>311</v>
      </c>
      <c r="X1138">
        <v>1300</v>
      </c>
      <c r="Y1138" t="s">
        <v>2006</v>
      </c>
      <c r="Z1138" t="s">
        <v>2015</v>
      </c>
      <c r="AB1138" t="s">
        <v>13852</v>
      </c>
      <c r="AD1138" t="s">
        <v>16284</v>
      </c>
      <c r="AE1138" t="s">
        <v>13051</v>
      </c>
      <c r="AF1138" t="s">
        <v>2903</v>
      </c>
      <c r="AG1138" t="s">
        <v>2915</v>
      </c>
      <c r="AH1138">
        <v>13</v>
      </c>
      <c r="AI1138">
        <v>1</v>
      </c>
      <c r="AJ1138">
        <v>0</v>
      </c>
      <c r="AK1138">
        <v>11.86</v>
      </c>
      <c r="AN1138" t="s">
        <v>2926</v>
      </c>
      <c r="AO1138">
        <v>1440</v>
      </c>
      <c r="AU1138">
        <v>38.5</v>
      </c>
      <c r="AV1138" t="s">
        <v>401</v>
      </c>
      <c r="AW1138" t="s">
        <v>3047</v>
      </c>
    </row>
    <row r="1139" spans="1:50">
      <c r="A1139" s="1" t="s">
        <v>59</v>
      </c>
      <c r="B1139" t="s">
        <v>163</v>
      </c>
      <c r="C1139" t="s">
        <v>4349</v>
      </c>
      <c r="D1139" t="s">
        <v>202</v>
      </c>
      <c r="F1139" t="s">
        <v>7307</v>
      </c>
      <c r="G1139" t="s">
        <v>8424</v>
      </c>
      <c r="H1139" t="s">
        <v>1131</v>
      </c>
      <c r="I1139" t="s">
        <v>11176</v>
      </c>
      <c r="J1139" t="s">
        <v>1641</v>
      </c>
      <c r="K1139">
        <v>10460</v>
      </c>
      <c r="L1139" t="s">
        <v>1670</v>
      </c>
      <c r="M1139" t="s">
        <v>1670</v>
      </c>
      <c r="N1139" t="s">
        <v>12119</v>
      </c>
      <c r="O1139" t="s">
        <v>1936</v>
      </c>
      <c r="P1139" t="s">
        <v>1960</v>
      </c>
      <c r="R1139" t="s">
        <v>50</v>
      </c>
      <c r="S1139" t="s">
        <v>1671</v>
      </c>
      <c r="U1139" t="s">
        <v>1972</v>
      </c>
      <c r="V1139" t="s">
        <v>1983</v>
      </c>
      <c r="W1139" t="s">
        <v>302</v>
      </c>
      <c r="X1139">
        <v>233</v>
      </c>
      <c r="Y1139" t="s">
        <v>2006</v>
      </c>
      <c r="Z1139" t="s">
        <v>2020</v>
      </c>
      <c r="AB1139" t="s">
        <v>2352</v>
      </c>
      <c r="AD1139" t="s">
        <v>16280</v>
      </c>
      <c r="AE1139">
        <v>248</v>
      </c>
      <c r="AF1139" t="s">
        <v>2910</v>
      </c>
      <c r="AG1139" t="s">
        <v>2921</v>
      </c>
      <c r="AH1139">
        <v>25</v>
      </c>
      <c r="AI1139">
        <v>2</v>
      </c>
      <c r="AJ1139">
        <v>0</v>
      </c>
      <c r="AK1139">
        <v>11.92</v>
      </c>
      <c r="AN1139" t="s">
        <v>2926</v>
      </c>
      <c r="AO1139">
        <v>1962</v>
      </c>
      <c r="AU1139">
        <v>23.8</v>
      </c>
      <c r="AV1139" t="s">
        <v>268</v>
      </c>
      <c r="AW1139" t="s">
        <v>3047</v>
      </c>
    </row>
    <row r="1140" spans="1:50">
      <c r="A1140" s="1" t="s">
        <v>153</v>
      </c>
      <c r="B1140" t="s">
        <v>164</v>
      </c>
      <c r="C1140" t="s">
        <v>4350</v>
      </c>
      <c r="D1140" t="s">
        <v>321</v>
      </c>
      <c r="E1140" t="s">
        <v>364</v>
      </c>
      <c r="F1140" t="s">
        <v>7312</v>
      </c>
      <c r="G1140" t="s">
        <v>7344</v>
      </c>
      <c r="H1140" t="s">
        <v>9850</v>
      </c>
      <c r="I1140" t="s">
        <v>11138</v>
      </c>
      <c r="J1140" t="s">
        <v>1641</v>
      </c>
      <c r="K1140">
        <v>10460</v>
      </c>
      <c r="L1140" t="s">
        <v>1670</v>
      </c>
      <c r="M1140" t="s">
        <v>1670</v>
      </c>
      <c r="N1140" t="s">
        <v>12120</v>
      </c>
      <c r="O1140" t="s">
        <v>1936</v>
      </c>
      <c r="P1140" t="s">
        <v>1960</v>
      </c>
      <c r="Q1140" t="s">
        <v>1969</v>
      </c>
      <c r="R1140" t="s">
        <v>50</v>
      </c>
      <c r="S1140" t="s">
        <v>1671</v>
      </c>
      <c r="U1140" t="s">
        <v>1972</v>
      </c>
      <c r="V1140" t="s">
        <v>1984</v>
      </c>
      <c r="W1140" t="s">
        <v>321</v>
      </c>
      <c r="X1140">
        <v>918</v>
      </c>
      <c r="Y1140" t="s">
        <v>2006</v>
      </c>
      <c r="Z1140" t="s">
        <v>2011</v>
      </c>
      <c r="AA1140" t="s">
        <v>2032</v>
      </c>
      <c r="AB1140" t="s">
        <v>13853</v>
      </c>
      <c r="AC1140" t="s">
        <v>15114</v>
      </c>
      <c r="AD1140" t="s">
        <v>16285</v>
      </c>
      <c r="AE1140">
        <v>6</v>
      </c>
      <c r="AF1140" t="s">
        <v>2904</v>
      </c>
      <c r="AG1140" t="s">
        <v>1754</v>
      </c>
      <c r="AH1140">
        <v>5</v>
      </c>
      <c r="AI1140">
        <v>2</v>
      </c>
      <c r="AJ1140">
        <v>0</v>
      </c>
      <c r="AK1140">
        <v>11.96</v>
      </c>
      <c r="AN1140" t="s">
        <v>2926</v>
      </c>
      <c r="AO1140">
        <v>1968</v>
      </c>
      <c r="AQ1140" t="s">
        <v>2979</v>
      </c>
      <c r="AU1140">
        <v>32.2</v>
      </c>
      <c r="AV1140" t="s">
        <v>322</v>
      </c>
      <c r="AW1140" t="s">
        <v>3054</v>
      </c>
    </row>
    <row r="1141" spans="1:50">
      <c r="A1141" s="1" t="s">
        <v>139</v>
      </c>
      <c r="B1141" t="s">
        <v>163</v>
      </c>
      <c r="C1141" t="s">
        <v>4351</v>
      </c>
      <c r="D1141" t="s">
        <v>328</v>
      </c>
      <c r="F1141" t="s">
        <v>7313</v>
      </c>
      <c r="G1141" t="s">
        <v>8426</v>
      </c>
      <c r="H1141" t="s">
        <v>9851</v>
      </c>
      <c r="I1141" t="s">
        <v>1619</v>
      </c>
      <c r="J1141" t="s">
        <v>1643</v>
      </c>
      <c r="K1141">
        <v>10035</v>
      </c>
      <c r="L1141" t="s">
        <v>1670</v>
      </c>
      <c r="M1141" t="s">
        <v>1672</v>
      </c>
      <c r="N1141" t="s">
        <v>12121</v>
      </c>
      <c r="O1141" t="s">
        <v>1940</v>
      </c>
      <c r="P1141" t="s">
        <v>1960</v>
      </c>
      <c r="R1141" t="s">
        <v>50</v>
      </c>
      <c r="S1141" t="s">
        <v>1671</v>
      </c>
      <c r="U1141" t="s">
        <v>1972</v>
      </c>
      <c r="V1141" t="s">
        <v>1985</v>
      </c>
      <c r="W1141" t="s">
        <v>328</v>
      </c>
      <c r="X1141">
        <v>1390</v>
      </c>
      <c r="Y1141" t="s">
        <v>2008</v>
      </c>
      <c r="Z1141" t="s">
        <v>2016</v>
      </c>
      <c r="AB1141" t="s">
        <v>13854</v>
      </c>
      <c r="AC1141">
        <v>230649601</v>
      </c>
      <c r="AD1141" t="s">
        <v>16286</v>
      </c>
      <c r="AE1141">
        <v>96</v>
      </c>
      <c r="AF1141" t="s">
        <v>2902</v>
      </c>
      <c r="AG1141" t="s">
        <v>2017</v>
      </c>
      <c r="AH1141">
        <v>19</v>
      </c>
      <c r="AI1141">
        <v>1</v>
      </c>
      <c r="AJ1141">
        <v>0</v>
      </c>
      <c r="AK1141">
        <v>12.49</v>
      </c>
      <c r="AN1141" t="s">
        <v>2926</v>
      </c>
      <c r="AO1141">
        <v>1560</v>
      </c>
      <c r="AU1141">
        <v>18.65</v>
      </c>
      <c r="AV1141" t="s">
        <v>399</v>
      </c>
      <c r="AW1141" t="s">
        <v>3061</v>
      </c>
      <c r="AX1141" t="s">
        <v>18686</v>
      </c>
    </row>
    <row r="1142" spans="1:50">
      <c r="A1142" s="1" t="s">
        <v>63</v>
      </c>
      <c r="B1142" t="s">
        <v>163</v>
      </c>
      <c r="C1142" t="s">
        <v>4352</v>
      </c>
      <c r="D1142" t="s">
        <v>365</v>
      </c>
      <c r="F1142" t="s">
        <v>7314</v>
      </c>
      <c r="G1142" t="s">
        <v>8427</v>
      </c>
      <c r="H1142" t="s">
        <v>9852</v>
      </c>
      <c r="I1142" t="s">
        <v>1554</v>
      </c>
      <c r="J1142" t="s">
        <v>1641</v>
      </c>
      <c r="K1142">
        <v>10460</v>
      </c>
      <c r="L1142" t="s">
        <v>1670</v>
      </c>
      <c r="M1142" t="s">
        <v>1670</v>
      </c>
      <c r="N1142" t="s">
        <v>12122</v>
      </c>
      <c r="O1142" t="s">
        <v>1936</v>
      </c>
      <c r="P1142" t="s">
        <v>1958</v>
      </c>
      <c r="R1142" t="s">
        <v>50</v>
      </c>
      <c r="S1142" t="s">
        <v>1671</v>
      </c>
      <c r="U1142" t="s">
        <v>1972</v>
      </c>
      <c r="V1142" t="s">
        <v>1983</v>
      </c>
      <c r="W1142" t="s">
        <v>1991</v>
      </c>
      <c r="X1142">
        <v>1330</v>
      </c>
      <c r="Y1142" t="s">
        <v>2006</v>
      </c>
      <c r="Z1142" t="s">
        <v>2011</v>
      </c>
      <c r="AA1142" t="s">
        <v>2029</v>
      </c>
      <c r="AB1142" t="s">
        <v>13071</v>
      </c>
      <c r="AC1142" t="s">
        <v>15115</v>
      </c>
      <c r="AD1142" t="s">
        <v>16287</v>
      </c>
      <c r="AE1142">
        <v>237</v>
      </c>
      <c r="AF1142" t="s">
        <v>2909</v>
      </c>
      <c r="AG1142" t="s">
        <v>1754</v>
      </c>
      <c r="AH1142">
        <v>8</v>
      </c>
      <c r="AI1142">
        <v>2</v>
      </c>
      <c r="AJ1142">
        <v>0</v>
      </c>
      <c r="AK1142">
        <v>13.06</v>
      </c>
      <c r="AN1142" t="s">
        <v>2926</v>
      </c>
      <c r="AO1142">
        <v>2208</v>
      </c>
      <c r="AP1142" t="s">
        <v>18253</v>
      </c>
      <c r="AU1142">
        <v>5.1</v>
      </c>
      <c r="AV1142" t="s">
        <v>1995</v>
      </c>
      <c r="AW1142" t="s">
        <v>3082</v>
      </c>
      <c r="AX1142" t="s">
        <v>18685</v>
      </c>
    </row>
    <row r="1143" spans="1:50">
      <c r="A1143" s="1" t="s">
        <v>105</v>
      </c>
      <c r="B1143" t="s">
        <v>163</v>
      </c>
      <c r="C1143" t="s">
        <v>4353</v>
      </c>
      <c r="D1143" t="s">
        <v>321</v>
      </c>
      <c r="F1143" t="s">
        <v>7315</v>
      </c>
      <c r="G1143" t="s">
        <v>849</v>
      </c>
      <c r="H1143" t="s">
        <v>9853</v>
      </c>
      <c r="I1143" t="s">
        <v>11030</v>
      </c>
      <c r="J1143" t="s">
        <v>1641</v>
      </c>
      <c r="K1143">
        <v>10453</v>
      </c>
      <c r="L1143" t="s">
        <v>1670</v>
      </c>
      <c r="M1143" t="s">
        <v>1670</v>
      </c>
      <c r="N1143" t="s">
        <v>12123</v>
      </c>
      <c r="O1143" t="s">
        <v>1936</v>
      </c>
      <c r="P1143" t="s">
        <v>1960</v>
      </c>
      <c r="R1143" t="s">
        <v>50</v>
      </c>
      <c r="S1143" t="s">
        <v>1671</v>
      </c>
      <c r="U1143" t="s">
        <v>1972</v>
      </c>
      <c r="V1143" t="s">
        <v>1984</v>
      </c>
      <c r="W1143" t="s">
        <v>292</v>
      </c>
      <c r="X1143">
        <v>1385</v>
      </c>
      <c r="Y1143" t="s">
        <v>2006</v>
      </c>
      <c r="Z1143" t="s">
        <v>2020</v>
      </c>
      <c r="AB1143" t="s">
        <v>13855</v>
      </c>
      <c r="AC1143" t="s">
        <v>15116</v>
      </c>
      <c r="AD1143" t="s">
        <v>16288</v>
      </c>
      <c r="AE1143">
        <v>64</v>
      </c>
      <c r="AF1143" t="s">
        <v>2902</v>
      </c>
      <c r="AG1143" t="s">
        <v>1754</v>
      </c>
      <c r="AH1143">
        <v>40</v>
      </c>
      <c r="AI1143">
        <v>2</v>
      </c>
      <c r="AJ1143">
        <v>0</v>
      </c>
      <c r="AK1143">
        <v>13.34</v>
      </c>
      <c r="AN1143" t="s">
        <v>2926</v>
      </c>
      <c r="AO1143">
        <v>2196</v>
      </c>
      <c r="AQ1143" t="s">
        <v>2979</v>
      </c>
      <c r="AR1143" t="s">
        <v>2017</v>
      </c>
      <c r="AU1143">
        <v>38.3</v>
      </c>
      <c r="AV1143" t="s">
        <v>346</v>
      </c>
      <c r="AW1143" t="s">
        <v>3054</v>
      </c>
    </row>
    <row r="1144" spans="1:50">
      <c r="A1144" s="1" t="s">
        <v>126</v>
      </c>
      <c r="B1144" t="s">
        <v>163</v>
      </c>
      <c r="C1144" t="s">
        <v>4354</v>
      </c>
      <c r="D1144" t="s">
        <v>245</v>
      </c>
      <c r="F1144" t="s">
        <v>7316</v>
      </c>
      <c r="G1144" t="s">
        <v>780</v>
      </c>
      <c r="H1144" t="s">
        <v>9627</v>
      </c>
      <c r="I1144" t="s">
        <v>11178</v>
      </c>
      <c r="J1144" t="s">
        <v>1641</v>
      </c>
      <c r="K1144">
        <v>10451</v>
      </c>
      <c r="L1144" t="s">
        <v>1670</v>
      </c>
      <c r="M1144" t="s">
        <v>1670</v>
      </c>
      <c r="O1144" t="s">
        <v>1939</v>
      </c>
      <c r="P1144" t="s">
        <v>1958</v>
      </c>
      <c r="R1144" t="s">
        <v>50</v>
      </c>
      <c r="S1144" t="s">
        <v>1670</v>
      </c>
      <c r="U1144" t="s">
        <v>1972</v>
      </c>
      <c r="W1144" t="s">
        <v>359</v>
      </c>
      <c r="X1144">
        <v>1400</v>
      </c>
      <c r="Y1144" t="s">
        <v>2006</v>
      </c>
      <c r="Z1144" t="s">
        <v>2015</v>
      </c>
      <c r="AB1144" t="s">
        <v>13856</v>
      </c>
      <c r="AD1144" t="s">
        <v>16289</v>
      </c>
      <c r="AE1144">
        <v>100</v>
      </c>
      <c r="AF1144" t="s">
        <v>2902</v>
      </c>
      <c r="AG1144" t="s">
        <v>2915</v>
      </c>
      <c r="AH1144">
        <v>3</v>
      </c>
      <c r="AI1144">
        <v>1</v>
      </c>
      <c r="AJ1144">
        <v>0</v>
      </c>
      <c r="AK1144">
        <v>13.84</v>
      </c>
      <c r="AN1144" t="s">
        <v>2927</v>
      </c>
      <c r="AO1144">
        <v>1680</v>
      </c>
      <c r="AU1144" t="s">
        <v>13051</v>
      </c>
      <c r="AW1144" t="s">
        <v>3047</v>
      </c>
    </row>
    <row r="1145" spans="1:50">
      <c r="A1145" s="1" t="s">
        <v>73</v>
      </c>
      <c r="B1145" t="s">
        <v>163</v>
      </c>
      <c r="C1145" t="s">
        <v>4355</v>
      </c>
      <c r="D1145" t="s">
        <v>295</v>
      </c>
      <c r="F1145" t="s">
        <v>7317</v>
      </c>
      <c r="G1145" t="s">
        <v>914</v>
      </c>
      <c r="H1145" t="s">
        <v>1293</v>
      </c>
      <c r="I1145">
        <v>28</v>
      </c>
      <c r="J1145" t="s">
        <v>1645</v>
      </c>
      <c r="K1145">
        <v>11691</v>
      </c>
      <c r="L1145" t="s">
        <v>1670</v>
      </c>
      <c r="M1145" t="s">
        <v>1670</v>
      </c>
      <c r="O1145" t="s">
        <v>1938</v>
      </c>
      <c r="P1145" t="s">
        <v>1962</v>
      </c>
      <c r="R1145" t="s">
        <v>50</v>
      </c>
      <c r="S1145" t="s">
        <v>1670</v>
      </c>
      <c r="U1145" t="s">
        <v>1972</v>
      </c>
      <c r="W1145" t="s">
        <v>295</v>
      </c>
      <c r="X1145">
        <v>540</v>
      </c>
      <c r="Y1145" t="s">
        <v>2007</v>
      </c>
      <c r="Z1145" t="s">
        <v>2016</v>
      </c>
      <c r="AB1145" t="s">
        <v>13857</v>
      </c>
      <c r="AD1145" t="s">
        <v>16290</v>
      </c>
      <c r="AE1145">
        <v>43</v>
      </c>
      <c r="AF1145" t="s">
        <v>2902</v>
      </c>
      <c r="AH1145">
        <v>28</v>
      </c>
      <c r="AI1145">
        <v>2</v>
      </c>
      <c r="AJ1145">
        <v>0</v>
      </c>
      <c r="AK1145">
        <v>14.19</v>
      </c>
      <c r="AN1145" t="s">
        <v>2926</v>
      </c>
      <c r="AO1145">
        <v>2400</v>
      </c>
      <c r="AU1145" t="s">
        <v>13051</v>
      </c>
      <c r="AW1145" t="s">
        <v>3073</v>
      </c>
    </row>
    <row r="1146" spans="1:50">
      <c r="A1146" s="1" t="s">
        <v>73</v>
      </c>
      <c r="B1146" t="s">
        <v>163</v>
      </c>
      <c r="C1146" t="s">
        <v>4356</v>
      </c>
      <c r="D1146" t="s">
        <v>295</v>
      </c>
      <c r="F1146" t="s">
        <v>7317</v>
      </c>
      <c r="G1146" t="s">
        <v>914</v>
      </c>
      <c r="H1146" t="s">
        <v>1293</v>
      </c>
      <c r="I1146">
        <v>4</v>
      </c>
      <c r="J1146" t="s">
        <v>1645</v>
      </c>
      <c r="K1146">
        <v>11691</v>
      </c>
      <c r="L1146" t="s">
        <v>1670</v>
      </c>
      <c r="M1146" t="s">
        <v>1670</v>
      </c>
      <c r="O1146" t="s">
        <v>1941</v>
      </c>
      <c r="P1146" t="s">
        <v>1962</v>
      </c>
      <c r="R1146" t="s">
        <v>50</v>
      </c>
      <c r="S1146" t="s">
        <v>1670</v>
      </c>
      <c r="U1146" t="s">
        <v>1972</v>
      </c>
      <c r="W1146" t="s">
        <v>295</v>
      </c>
      <c r="X1146">
        <v>540</v>
      </c>
      <c r="Y1146" t="s">
        <v>2007</v>
      </c>
      <c r="Z1146" t="s">
        <v>2016</v>
      </c>
      <c r="AB1146" t="s">
        <v>13857</v>
      </c>
      <c r="AD1146" t="s">
        <v>16290</v>
      </c>
      <c r="AE1146">
        <v>43</v>
      </c>
      <c r="AH1146">
        <v>28</v>
      </c>
      <c r="AI1146">
        <v>2</v>
      </c>
      <c r="AJ1146">
        <v>0</v>
      </c>
      <c r="AK1146">
        <v>14.19</v>
      </c>
      <c r="AN1146" t="s">
        <v>2926</v>
      </c>
      <c r="AO1146">
        <v>2400</v>
      </c>
      <c r="AU1146" t="s">
        <v>13051</v>
      </c>
      <c r="AW1146" t="s">
        <v>3073</v>
      </c>
    </row>
    <row r="1147" spans="1:50">
      <c r="A1147" s="1" t="s">
        <v>126</v>
      </c>
      <c r="B1147" t="s">
        <v>164</v>
      </c>
      <c r="C1147" t="s">
        <v>4357</v>
      </c>
      <c r="D1147" t="s">
        <v>292</v>
      </c>
      <c r="E1147" t="s">
        <v>292</v>
      </c>
      <c r="F1147" t="s">
        <v>7318</v>
      </c>
      <c r="G1147" t="s">
        <v>8428</v>
      </c>
      <c r="H1147" t="s">
        <v>9854</v>
      </c>
      <c r="J1147" t="s">
        <v>1641</v>
      </c>
      <c r="K1147">
        <v>10467</v>
      </c>
      <c r="L1147" t="s">
        <v>1670</v>
      </c>
      <c r="M1147" t="s">
        <v>1670</v>
      </c>
      <c r="O1147" t="s">
        <v>1941</v>
      </c>
      <c r="P1147" t="s">
        <v>1962</v>
      </c>
      <c r="Q1147" t="s">
        <v>1968</v>
      </c>
      <c r="R1147" t="s">
        <v>50</v>
      </c>
      <c r="U1147" t="s">
        <v>1972</v>
      </c>
      <c r="W1147" t="s">
        <v>292</v>
      </c>
      <c r="X1147" t="s">
        <v>13051</v>
      </c>
      <c r="Y1147" t="s">
        <v>2006</v>
      </c>
      <c r="AA1147" t="s">
        <v>2030</v>
      </c>
      <c r="AB1147" t="s">
        <v>13858</v>
      </c>
      <c r="AC1147">
        <v>4043580</v>
      </c>
      <c r="AD1147" t="s">
        <v>16291</v>
      </c>
      <c r="AE1147" t="s">
        <v>13051</v>
      </c>
      <c r="AH1147" t="s">
        <v>13051</v>
      </c>
      <c r="AI1147">
        <v>2</v>
      </c>
      <c r="AJ1147">
        <v>0</v>
      </c>
      <c r="AK1147">
        <v>14.37</v>
      </c>
      <c r="AN1147" t="s">
        <v>2926</v>
      </c>
      <c r="AO1147">
        <v>2366</v>
      </c>
      <c r="AP1147" t="s">
        <v>18254</v>
      </c>
      <c r="AU1147">
        <v>1.5</v>
      </c>
      <c r="AV1147" t="s">
        <v>292</v>
      </c>
      <c r="AW1147" t="s">
        <v>126</v>
      </c>
      <c r="AX1147" t="s">
        <v>18686</v>
      </c>
    </row>
    <row r="1148" spans="1:50">
      <c r="A1148" s="1" t="s">
        <v>57</v>
      </c>
      <c r="B1148" t="s">
        <v>163</v>
      </c>
      <c r="C1148" t="s">
        <v>4358</v>
      </c>
      <c r="D1148" t="s">
        <v>265</v>
      </c>
      <c r="F1148" t="s">
        <v>6950</v>
      </c>
      <c r="G1148" t="s">
        <v>772</v>
      </c>
      <c r="H1148" t="s">
        <v>1112</v>
      </c>
      <c r="I1148" t="s">
        <v>11015</v>
      </c>
      <c r="J1148" t="s">
        <v>1641</v>
      </c>
      <c r="K1148">
        <v>10453</v>
      </c>
      <c r="L1148" t="s">
        <v>1670</v>
      </c>
      <c r="M1148" t="s">
        <v>1670</v>
      </c>
      <c r="N1148" t="s">
        <v>1677</v>
      </c>
      <c r="O1148" t="s">
        <v>1939</v>
      </c>
      <c r="P1148" t="s">
        <v>1960</v>
      </c>
      <c r="R1148" t="s">
        <v>50</v>
      </c>
      <c r="S1148" t="s">
        <v>1670</v>
      </c>
      <c r="U1148" t="s">
        <v>1972</v>
      </c>
      <c r="W1148" t="s">
        <v>283</v>
      </c>
      <c r="X1148">
        <v>685.95</v>
      </c>
      <c r="Y1148" t="s">
        <v>2006</v>
      </c>
      <c r="Z1148" t="s">
        <v>2015</v>
      </c>
      <c r="AB1148" t="s">
        <v>13303</v>
      </c>
      <c r="AD1148" t="s">
        <v>15884</v>
      </c>
      <c r="AE1148">
        <v>167</v>
      </c>
      <c r="AF1148" t="s">
        <v>2902</v>
      </c>
      <c r="AG1148" t="s">
        <v>1754</v>
      </c>
      <c r="AH1148">
        <v>26</v>
      </c>
      <c r="AI1148">
        <v>1</v>
      </c>
      <c r="AJ1148">
        <v>0</v>
      </c>
      <c r="AK1148">
        <v>14.38</v>
      </c>
      <c r="AN1148" t="s">
        <v>2926</v>
      </c>
      <c r="AO1148">
        <v>1796</v>
      </c>
      <c r="AU1148" t="s">
        <v>13051</v>
      </c>
      <c r="AW1148" t="s">
        <v>3046</v>
      </c>
    </row>
    <row r="1149" spans="1:50">
      <c r="A1149" s="1" t="s">
        <v>96</v>
      </c>
      <c r="B1149" t="s">
        <v>163</v>
      </c>
      <c r="C1149" t="s">
        <v>4359</v>
      </c>
      <c r="D1149" t="s">
        <v>404</v>
      </c>
      <c r="F1149" t="s">
        <v>7289</v>
      </c>
      <c r="G1149" t="s">
        <v>7111</v>
      </c>
      <c r="H1149" t="s">
        <v>9368</v>
      </c>
      <c r="I1149" t="s">
        <v>11170</v>
      </c>
      <c r="J1149" t="s">
        <v>1644</v>
      </c>
      <c r="K1149">
        <v>11206</v>
      </c>
      <c r="L1149" t="s">
        <v>1670</v>
      </c>
      <c r="M1149" t="s">
        <v>1672</v>
      </c>
      <c r="P1149" t="s">
        <v>1959</v>
      </c>
      <c r="R1149" t="s">
        <v>50</v>
      </c>
      <c r="U1149" t="s">
        <v>1972</v>
      </c>
      <c r="W1149" t="s">
        <v>404</v>
      </c>
      <c r="X1149" t="s">
        <v>13051</v>
      </c>
      <c r="Y1149" t="s">
        <v>2009</v>
      </c>
      <c r="AB1149" t="s">
        <v>13824</v>
      </c>
      <c r="AD1149" t="s">
        <v>16262</v>
      </c>
      <c r="AE1149" t="s">
        <v>13051</v>
      </c>
      <c r="AH1149" t="s">
        <v>13051</v>
      </c>
      <c r="AI1149">
        <v>1</v>
      </c>
      <c r="AJ1149">
        <v>0</v>
      </c>
      <c r="AK1149">
        <v>14.78</v>
      </c>
      <c r="AN1149" t="s">
        <v>2926</v>
      </c>
      <c r="AO1149">
        <v>1846</v>
      </c>
      <c r="AU1149">
        <v>0.1</v>
      </c>
      <c r="AV1149" t="s">
        <v>404</v>
      </c>
      <c r="AW1149" t="s">
        <v>69</v>
      </c>
      <c r="AX1149" t="s">
        <v>18685</v>
      </c>
    </row>
    <row r="1150" spans="1:50">
      <c r="A1150" s="1" t="s">
        <v>96</v>
      </c>
      <c r="B1150" t="s">
        <v>163</v>
      </c>
      <c r="C1150" t="s">
        <v>4360</v>
      </c>
      <c r="D1150" t="s">
        <v>301</v>
      </c>
      <c r="F1150" t="s">
        <v>7289</v>
      </c>
      <c r="G1150" t="s">
        <v>7111</v>
      </c>
      <c r="H1150" t="s">
        <v>9368</v>
      </c>
      <c r="I1150" t="s">
        <v>11170</v>
      </c>
      <c r="J1150" t="s">
        <v>1644</v>
      </c>
      <c r="K1150">
        <v>11206</v>
      </c>
      <c r="L1150" t="s">
        <v>1670</v>
      </c>
      <c r="M1150" t="s">
        <v>1670</v>
      </c>
      <c r="N1150" t="s">
        <v>12124</v>
      </c>
      <c r="O1150" t="s">
        <v>1936</v>
      </c>
      <c r="P1150" t="s">
        <v>1960</v>
      </c>
      <c r="R1150" t="s">
        <v>50</v>
      </c>
      <c r="S1150" t="s">
        <v>1671</v>
      </c>
      <c r="U1150" t="s">
        <v>1972</v>
      </c>
      <c r="V1150" t="s">
        <v>1984</v>
      </c>
      <c r="W1150" t="s">
        <v>199</v>
      </c>
      <c r="X1150">
        <v>225</v>
      </c>
      <c r="Y1150" t="s">
        <v>2009</v>
      </c>
      <c r="Z1150" t="s">
        <v>2020</v>
      </c>
      <c r="AB1150" t="s">
        <v>13824</v>
      </c>
      <c r="AD1150" t="s">
        <v>16262</v>
      </c>
      <c r="AE1150" t="s">
        <v>13051</v>
      </c>
      <c r="AF1150" t="s">
        <v>2909</v>
      </c>
      <c r="AH1150">
        <v>15</v>
      </c>
      <c r="AI1150">
        <v>1</v>
      </c>
      <c r="AJ1150">
        <v>0</v>
      </c>
      <c r="AK1150">
        <v>14.78</v>
      </c>
      <c r="AN1150" t="s">
        <v>2926</v>
      </c>
      <c r="AO1150">
        <v>1846</v>
      </c>
      <c r="AU1150">
        <v>10.5</v>
      </c>
      <c r="AV1150" t="s">
        <v>403</v>
      </c>
      <c r="AW1150" t="s">
        <v>158</v>
      </c>
    </row>
    <row r="1151" spans="1:50">
      <c r="A1151" s="1" t="s">
        <v>103</v>
      </c>
      <c r="B1151" t="s">
        <v>164</v>
      </c>
      <c r="C1151" t="s">
        <v>4361</v>
      </c>
      <c r="D1151" t="s">
        <v>315</v>
      </c>
      <c r="E1151" t="s">
        <v>306</v>
      </c>
      <c r="F1151" t="s">
        <v>7319</v>
      </c>
      <c r="G1151" t="s">
        <v>8429</v>
      </c>
      <c r="H1151" t="s">
        <v>9855</v>
      </c>
      <c r="I1151" t="s">
        <v>1488</v>
      </c>
      <c r="J1151" t="s">
        <v>1644</v>
      </c>
      <c r="K1151">
        <v>11233</v>
      </c>
      <c r="L1151" t="s">
        <v>1670</v>
      </c>
      <c r="M1151" t="s">
        <v>1670</v>
      </c>
      <c r="N1151" t="s">
        <v>12125</v>
      </c>
      <c r="O1151" t="s">
        <v>1936</v>
      </c>
      <c r="P1151" t="s">
        <v>1958</v>
      </c>
      <c r="Q1151" t="s">
        <v>1965</v>
      </c>
      <c r="R1151" t="s">
        <v>50</v>
      </c>
      <c r="S1151" t="s">
        <v>1670</v>
      </c>
      <c r="U1151" t="s">
        <v>1972</v>
      </c>
      <c r="W1151" t="s">
        <v>315</v>
      </c>
      <c r="X1151">
        <v>67</v>
      </c>
      <c r="Y1151" t="s">
        <v>2009</v>
      </c>
      <c r="Z1151" t="s">
        <v>2019</v>
      </c>
      <c r="AA1151" t="s">
        <v>2029</v>
      </c>
      <c r="AB1151" t="s">
        <v>13859</v>
      </c>
      <c r="AC1151" t="s">
        <v>15117</v>
      </c>
      <c r="AD1151" t="s">
        <v>16292</v>
      </c>
      <c r="AE1151">
        <v>120</v>
      </c>
      <c r="AF1151" t="s">
        <v>2909</v>
      </c>
      <c r="AG1151" t="s">
        <v>2915</v>
      </c>
      <c r="AH1151">
        <v>20</v>
      </c>
      <c r="AI1151">
        <v>1</v>
      </c>
      <c r="AJ1151">
        <v>0</v>
      </c>
      <c r="AK1151">
        <v>14.83</v>
      </c>
      <c r="AN1151" t="s">
        <v>2926</v>
      </c>
      <c r="AO1151">
        <v>1800</v>
      </c>
      <c r="AU1151">
        <v>3.5</v>
      </c>
      <c r="AV1151" t="s">
        <v>192</v>
      </c>
      <c r="AW1151" t="s">
        <v>3066</v>
      </c>
    </row>
    <row r="1152" spans="1:50">
      <c r="A1152" s="1" t="s">
        <v>92</v>
      </c>
      <c r="B1152" t="s">
        <v>164</v>
      </c>
      <c r="C1152" t="s">
        <v>4362</v>
      </c>
      <c r="D1152" t="s">
        <v>2004</v>
      </c>
      <c r="E1152" t="s">
        <v>192</v>
      </c>
      <c r="F1152" t="s">
        <v>460</v>
      </c>
      <c r="G1152" t="s">
        <v>8029</v>
      </c>
      <c r="H1152" t="s">
        <v>9856</v>
      </c>
      <c r="I1152" t="s">
        <v>1580</v>
      </c>
      <c r="J1152" t="s">
        <v>1643</v>
      </c>
      <c r="K1152">
        <v>10030</v>
      </c>
      <c r="L1152" t="s">
        <v>1670</v>
      </c>
      <c r="M1152" t="s">
        <v>1671</v>
      </c>
      <c r="N1152" t="s">
        <v>12126</v>
      </c>
      <c r="O1152" t="s">
        <v>1936</v>
      </c>
      <c r="P1152" t="s">
        <v>1958</v>
      </c>
      <c r="Q1152" t="s">
        <v>1965</v>
      </c>
      <c r="R1152" t="s">
        <v>50</v>
      </c>
      <c r="S1152" t="s">
        <v>1671</v>
      </c>
      <c r="U1152" t="s">
        <v>1972</v>
      </c>
      <c r="W1152" t="s">
        <v>264</v>
      </c>
      <c r="X1152">
        <v>988.66</v>
      </c>
      <c r="Y1152" t="s">
        <v>2008</v>
      </c>
      <c r="Z1152" t="s">
        <v>2013</v>
      </c>
      <c r="AA1152" t="s">
        <v>2029</v>
      </c>
      <c r="AB1152" t="s">
        <v>13860</v>
      </c>
      <c r="AD1152" t="s">
        <v>16293</v>
      </c>
      <c r="AE1152">
        <v>52</v>
      </c>
      <c r="AF1152" t="s">
        <v>2902</v>
      </c>
      <c r="AH1152">
        <v>18</v>
      </c>
      <c r="AI1152">
        <v>1</v>
      </c>
      <c r="AJ1152">
        <v>0</v>
      </c>
      <c r="AK1152">
        <v>14.99</v>
      </c>
      <c r="AN1152" t="s">
        <v>2926</v>
      </c>
      <c r="AO1152">
        <v>1820</v>
      </c>
      <c r="AU1152">
        <v>1.4</v>
      </c>
      <c r="AV1152" t="s">
        <v>192</v>
      </c>
      <c r="AW1152" t="s">
        <v>18665</v>
      </c>
    </row>
    <row r="1153" spans="1:50">
      <c r="A1153" s="1" t="s">
        <v>119</v>
      </c>
      <c r="B1153" t="s">
        <v>164</v>
      </c>
      <c r="C1153" t="s">
        <v>4363</v>
      </c>
      <c r="D1153" t="s">
        <v>165</v>
      </c>
      <c r="E1153" t="s">
        <v>406</v>
      </c>
      <c r="F1153" t="s">
        <v>438</v>
      </c>
      <c r="G1153" t="s">
        <v>810</v>
      </c>
      <c r="H1153" t="s">
        <v>9857</v>
      </c>
      <c r="I1153" t="s">
        <v>1511</v>
      </c>
      <c r="J1153" t="s">
        <v>1644</v>
      </c>
      <c r="K1153">
        <v>11208</v>
      </c>
      <c r="L1153" t="s">
        <v>1670</v>
      </c>
      <c r="M1153" t="s">
        <v>1670</v>
      </c>
      <c r="N1153" t="s">
        <v>12127</v>
      </c>
      <c r="O1153" t="s">
        <v>1936</v>
      </c>
      <c r="P1153" t="s">
        <v>1958</v>
      </c>
      <c r="Q1153" t="s">
        <v>1965</v>
      </c>
      <c r="R1153" t="s">
        <v>50</v>
      </c>
      <c r="S1153" t="s">
        <v>1671</v>
      </c>
      <c r="U1153" t="s">
        <v>1972</v>
      </c>
      <c r="W1153" t="s">
        <v>406</v>
      </c>
      <c r="X1153">
        <v>835</v>
      </c>
      <c r="Y1153" t="s">
        <v>2009</v>
      </c>
      <c r="AA1153" t="s">
        <v>2029</v>
      </c>
      <c r="AB1153" t="s">
        <v>13861</v>
      </c>
      <c r="AD1153" t="s">
        <v>16294</v>
      </c>
      <c r="AE1153">
        <v>6</v>
      </c>
      <c r="AF1153" t="s">
        <v>2902</v>
      </c>
      <c r="AG1153" t="s">
        <v>2915</v>
      </c>
      <c r="AH1153" t="s">
        <v>13051</v>
      </c>
      <c r="AI1153">
        <v>1</v>
      </c>
      <c r="AJ1153">
        <v>0</v>
      </c>
      <c r="AK1153">
        <v>15.03</v>
      </c>
      <c r="AN1153" t="s">
        <v>2926</v>
      </c>
      <c r="AO1153">
        <v>1877.2</v>
      </c>
      <c r="AU1153">
        <v>1.4</v>
      </c>
      <c r="AV1153" t="s">
        <v>199</v>
      </c>
      <c r="AW1153" t="s">
        <v>3059</v>
      </c>
    </row>
    <row r="1154" spans="1:50">
      <c r="A1154" s="1" t="s">
        <v>3161</v>
      </c>
      <c r="B1154" t="s">
        <v>164</v>
      </c>
      <c r="C1154" t="s">
        <v>4364</v>
      </c>
      <c r="D1154" t="s">
        <v>6137</v>
      </c>
      <c r="E1154" t="s">
        <v>393</v>
      </c>
      <c r="F1154" t="s">
        <v>7320</v>
      </c>
      <c r="G1154" t="s">
        <v>8430</v>
      </c>
      <c r="H1154" t="s">
        <v>9858</v>
      </c>
      <c r="I1154" t="s">
        <v>11090</v>
      </c>
      <c r="J1154" t="s">
        <v>1643</v>
      </c>
      <c r="K1154">
        <v>10039</v>
      </c>
      <c r="L1154" t="s">
        <v>1670</v>
      </c>
      <c r="M1154" t="s">
        <v>1670</v>
      </c>
      <c r="N1154" t="s">
        <v>12128</v>
      </c>
      <c r="O1154" t="s">
        <v>1939</v>
      </c>
      <c r="P1154" t="s">
        <v>1958</v>
      </c>
      <c r="Q1154" t="s">
        <v>1965</v>
      </c>
      <c r="R1154" t="s">
        <v>50</v>
      </c>
      <c r="S1154" t="s">
        <v>1671</v>
      </c>
      <c r="U1154" t="s">
        <v>1972</v>
      </c>
      <c r="W1154" t="s">
        <v>6137</v>
      </c>
      <c r="X1154">
        <v>831</v>
      </c>
      <c r="Y1154" t="s">
        <v>2008</v>
      </c>
      <c r="Z1154" t="s">
        <v>2013</v>
      </c>
      <c r="AA1154" t="s">
        <v>2029</v>
      </c>
      <c r="AB1154" t="s">
        <v>13862</v>
      </c>
      <c r="AD1154" t="s">
        <v>16295</v>
      </c>
      <c r="AE1154">
        <v>312</v>
      </c>
      <c r="AF1154" t="s">
        <v>2906</v>
      </c>
      <c r="AG1154" t="s">
        <v>1754</v>
      </c>
      <c r="AH1154">
        <v>29</v>
      </c>
      <c r="AI1154">
        <v>1</v>
      </c>
      <c r="AJ1154">
        <v>0</v>
      </c>
      <c r="AK1154">
        <v>15.33</v>
      </c>
      <c r="AN1154" t="s">
        <v>2926</v>
      </c>
      <c r="AO1154">
        <v>1861.6</v>
      </c>
      <c r="AU1154">
        <v>1.5</v>
      </c>
      <c r="AV1154" t="s">
        <v>6137</v>
      </c>
      <c r="AW1154" t="s">
        <v>3051</v>
      </c>
      <c r="AX1154" t="s">
        <v>18685</v>
      </c>
    </row>
    <row r="1155" spans="1:50">
      <c r="A1155" s="1" t="s">
        <v>101</v>
      </c>
      <c r="B1155" t="s">
        <v>164</v>
      </c>
      <c r="C1155" t="s">
        <v>4365</v>
      </c>
      <c r="D1155" t="s">
        <v>306</v>
      </c>
      <c r="E1155" t="s">
        <v>243</v>
      </c>
      <c r="F1155" t="s">
        <v>521</v>
      </c>
      <c r="G1155" t="s">
        <v>8431</v>
      </c>
      <c r="H1155" t="s">
        <v>9859</v>
      </c>
      <c r="I1155">
        <v>510</v>
      </c>
      <c r="J1155" t="s">
        <v>1643</v>
      </c>
      <c r="K1155">
        <v>10035</v>
      </c>
      <c r="L1155" t="s">
        <v>1670</v>
      </c>
      <c r="M1155" t="s">
        <v>1670</v>
      </c>
      <c r="O1155" t="s">
        <v>1937</v>
      </c>
      <c r="P1155" t="s">
        <v>1959</v>
      </c>
      <c r="Q1155" t="s">
        <v>1966</v>
      </c>
      <c r="R1155" t="s">
        <v>50</v>
      </c>
      <c r="S1155" t="s">
        <v>1671</v>
      </c>
      <c r="U1155" t="s">
        <v>1976</v>
      </c>
      <c r="V1155" t="s">
        <v>1983</v>
      </c>
      <c r="W1155" t="s">
        <v>306</v>
      </c>
      <c r="X1155">
        <v>1361</v>
      </c>
      <c r="Y1155" t="s">
        <v>2008</v>
      </c>
      <c r="Z1155" t="s">
        <v>2013</v>
      </c>
      <c r="AA1155" t="s">
        <v>2039</v>
      </c>
      <c r="AB1155" t="s">
        <v>13863</v>
      </c>
      <c r="AD1155" t="s">
        <v>16296</v>
      </c>
      <c r="AE1155">
        <v>87</v>
      </c>
      <c r="AF1155" t="s">
        <v>2902</v>
      </c>
      <c r="AG1155" t="s">
        <v>2915</v>
      </c>
      <c r="AH1155">
        <v>3</v>
      </c>
      <c r="AI1155">
        <v>2</v>
      </c>
      <c r="AJ1155">
        <v>0</v>
      </c>
      <c r="AK1155">
        <v>15.67</v>
      </c>
      <c r="AN1155" t="s">
        <v>2926</v>
      </c>
      <c r="AO1155">
        <v>2580</v>
      </c>
      <c r="AR1155" t="s">
        <v>2982</v>
      </c>
      <c r="AS1155" t="s">
        <v>2992</v>
      </c>
      <c r="AT1155" t="s">
        <v>18533</v>
      </c>
      <c r="AU1155">
        <v>0.2</v>
      </c>
      <c r="AV1155" t="s">
        <v>306</v>
      </c>
      <c r="AW1155" t="s">
        <v>101</v>
      </c>
    </row>
    <row r="1156" spans="1:50">
      <c r="A1156" s="1" t="s">
        <v>100</v>
      </c>
      <c r="B1156" t="s">
        <v>164</v>
      </c>
      <c r="C1156" t="s">
        <v>4366</v>
      </c>
      <c r="D1156" t="s">
        <v>349</v>
      </c>
      <c r="E1156" t="s">
        <v>176</v>
      </c>
      <c r="F1156" t="s">
        <v>7321</v>
      </c>
      <c r="G1156" t="s">
        <v>8432</v>
      </c>
      <c r="H1156" t="s">
        <v>9860</v>
      </c>
      <c r="I1156" t="s">
        <v>11168</v>
      </c>
      <c r="J1156" t="s">
        <v>1643</v>
      </c>
      <c r="K1156">
        <v>10034</v>
      </c>
      <c r="L1156" t="s">
        <v>1670</v>
      </c>
      <c r="M1156" t="s">
        <v>1670</v>
      </c>
      <c r="O1156" t="s">
        <v>1936</v>
      </c>
      <c r="P1156" t="s">
        <v>1962</v>
      </c>
      <c r="Q1156" t="s">
        <v>1968</v>
      </c>
      <c r="R1156" t="s">
        <v>50</v>
      </c>
      <c r="S1156" t="s">
        <v>1671</v>
      </c>
      <c r="U1156" t="s">
        <v>1972</v>
      </c>
      <c r="V1156" t="s">
        <v>1983</v>
      </c>
      <c r="W1156" t="s">
        <v>349</v>
      </c>
      <c r="X1156">
        <v>1409</v>
      </c>
      <c r="Y1156" t="s">
        <v>2008</v>
      </c>
      <c r="Z1156" t="s">
        <v>2013</v>
      </c>
      <c r="AA1156" t="s">
        <v>2030</v>
      </c>
      <c r="AB1156" t="s">
        <v>13864</v>
      </c>
      <c r="AD1156" t="s">
        <v>16297</v>
      </c>
      <c r="AE1156">
        <v>228</v>
      </c>
      <c r="AF1156" t="s">
        <v>2902</v>
      </c>
      <c r="AG1156" t="s">
        <v>1754</v>
      </c>
      <c r="AH1156">
        <v>18</v>
      </c>
      <c r="AI1156">
        <v>1</v>
      </c>
      <c r="AJ1156">
        <v>0</v>
      </c>
      <c r="AK1156">
        <v>16.06</v>
      </c>
      <c r="AN1156" t="s">
        <v>2926</v>
      </c>
      <c r="AO1156">
        <v>1950</v>
      </c>
      <c r="AU1156">
        <v>3.7</v>
      </c>
      <c r="AV1156" t="s">
        <v>373</v>
      </c>
      <c r="AW1156" t="s">
        <v>3042</v>
      </c>
    </row>
    <row r="1157" spans="1:50">
      <c r="A1157" s="1" t="s">
        <v>74</v>
      </c>
      <c r="B1157" t="s">
        <v>163</v>
      </c>
      <c r="C1157" t="s">
        <v>4367</v>
      </c>
      <c r="D1157" t="s">
        <v>2005</v>
      </c>
      <c r="F1157" t="s">
        <v>422</v>
      </c>
      <c r="G1157" t="s">
        <v>810</v>
      </c>
      <c r="H1157" t="s">
        <v>9861</v>
      </c>
      <c r="I1157" t="s">
        <v>1600</v>
      </c>
      <c r="J1157" t="s">
        <v>1641</v>
      </c>
      <c r="K1157">
        <v>10459</v>
      </c>
      <c r="L1157" t="s">
        <v>1670</v>
      </c>
      <c r="M1157" t="s">
        <v>1670</v>
      </c>
      <c r="N1157" t="s">
        <v>12129</v>
      </c>
      <c r="O1157" t="s">
        <v>1936</v>
      </c>
      <c r="P1157" t="s">
        <v>1960</v>
      </c>
      <c r="R1157" t="s">
        <v>50</v>
      </c>
      <c r="S1157" t="s">
        <v>1671</v>
      </c>
      <c r="U1157" t="s">
        <v>1972</v>
      </c>
      <c r="W1157" t="s">
        <v>2005</v>
      </c>
      <c r="X1157">
        <v>350</v>
      </c>
      <c r="Y1157" t="s">
        <v>2006</v>
      </c>
      <c r="Z1157" t="s">
        <v>2014</v>
      </c>
      <c r="AB1157" t="s">
        <v>13865</v>
      </c>
      <c r="AC1157" t="s">
        <v>15118</v>
      </c>
      <c r="AD1157" t="s">
        <v>16298</v>
      </c>
      <c r="AE1157">
        <v>20</v>
      </c>
      <c r="AF1157" t="s">
        <v>2908</v>
      </c>
      <c r="AG1157" t="s">
        <v>1754</v>
      </c>
      <c r="AH1157">
        <v>24</v>
      </c>
      <c r="AI1157">
        <v>1</v>
      </c>
      <c r="AJ1157">
        <v>0</v>
      </c>
      <c r="AK1157">
        <v>16.21</v>
      </c>
      <c r="AN1157" t="s">
        <v>2926</v>
      </c>
      <c r="AO1157">
        <v>1968</v>
      </c>
      <c r="AU1157">
        <v>82.8</v>
      </c>
      <c r="AV1157" t="s">
        <v>328</v>
      </c>
      <c r="AW1157" t="s">
        <v>18655</v>
      </c>
    </row>
    <row r="1158" spans="1:50">
      <c r="A1158" s="1" t="s">
        <v>127</v>
      </c>
      <c r="B1158" t="s">
        <v>163</v>
      </c>
      <c r="C1158" t="s">
        <v>4368</v>
      </c>
      <c r="D1158" t="s">
        <v>326</v>
      </c>
      <c r="F1158" t="s">
        <v>6997</v>
      </c>
      <c r="G1158" t="s">
        <v>843</v>
      </c>
      <c r="H1158" t="s">
        <v>9623</v>
      </c>
      <c r="I1158" t="s">
        <v>1490</v>
      </c>
      <c r="J1158" t="s">
        <v>1644</v>
      </c>
      <c r="K1158">
        <v>11212</v>
      </c>
      <c r="L1158" t="s">
        <v>1670</v>
      </c>
      <c r="M1158" t="s">
        <v>1670</v>
      </c>
      <c r="O1158" t="s">
        <v>1946</v>
      </c>
      <c r="P1158" t="s">
        <v>1964</v>
      </c>
      <c r="R1158" t="s">
        <v>50</v>
      </c>
      <c r="S1158" t="s">
        <v>1670</v>
      </c>
      <c r="U1158" t="s">
        <v>1972</v>
      </c>
      <c r="W1158" t="s">
        <v>326</v>
      </c>
      <c r="X1158">
        <v>8730</v>
      </c>
      <c r="Y1158" t="s">
        <v>2009</v>
      </c>
      <c r="Z1158" t="s">
        <v>2019</v>
      </c>
      <c r="AB1158" t="s">
        <v>13866</v>
      </c>
      <c r="AC1158" t="s">
        <v>15119</v>
      </c>
      <c r="AD1158" t="s">
        <v>16299</v>
      </c>
      <c r="AE1158">
        <v>10</v>
      </c>
      <c r="AF1158" t="s">
        <v>2902</v>
      </c>
      <c r="AG1158" t="s">
        <v>2920</v>
      </c>
      <c r="AH1158">
        <v>1</v>
      </c>
      <c r="AI1158">
        <v>1</v>
      </c>
      <c r="AJ1158">
        <v>0</v>
      </c>
      <c r="AK1158">
        <v>16.24</v>
      </c>
      <c r="AN1158" t="s">
        <v>2926</v>
      </c>
      <c r="AO1158">
        <v>2028</v>
      </c>
      <c r="AU1158" t="s">
        <v>13051</v>
      </c>
      <c r="AW1158" t="s">
        <v>3059</v>
      </c>
    </row>
    <row r="1159" spans="1:50">
      <c r="A1159" s="1" t="s">
        <v>127</v>
      </c>
      <c r="B1159" t="s">
        <v>163</v>
      </c>
      <c r="C1159" t="s">
        <v>4369</v>
      </c>
      <c r="D1159" t="s">
        <v>314</v>
      </c>
      <c r="F1159" t="s">
        <v>6997</v>
      </c>
      <c r="G1159" t="s">
        <v>843</v>
      </c>
      <c r="H1159" t="s">
        <v>9623</v>
      </c>
      <c r="I1159" t="s">
        <v>1490</v>
      </c>
      <c r="J1159" t="s">
        <v>1644</v>
      </c>
      <c r="K1159">
        <v>11212</v>
      </c>
      <c r="L1159" t="s">
        <v>1670</v>
      </c>
      <c r="M1159" t="s">
        <v>1670</v>
      </c>
      <c r="N1159" t="s">
        <v>12130</v>
      </c>
      <c r="O1159" t="s">
        <v>1936</v>
      </c>
      <c r="P1159" t="s">
        <v>1960</v>
      </c>
      <c r="R1159" t="s">
        <v>50</v>
      </c>
      <c r="S1159" t="s">
        <v>1671</v>
      </c>
      <c r="U1159" t="s">
        <v>1972</v>
      </c>
      <c r="V1159" t="s">
        <v>1984</v>
      </c>
      <c r="W1159" t="s">
        <v>6160</v>
      </c>
      <c r="X1159">
        <v>873</v>
      </c>
      <c r="Y1159" t="s">
        <v>2009</v>
      </c>
      <c r="Z1159" t="s">
        <v>2019</v>
      </c>
      <c r="AB1159" t="s">
        <v>13866</v>
      </c>
      <c r="AC1159" t="s">
        <v>15120</v>
      </c>
      <c r="AD1159" t="s">
        <v>16299</v>
      </c>
      <c r="AE1159">
        <v>10</v>
      </c>
      <c r="AF1159" t="s">
        <v>2902</v>
      </c>
      <c r="AG1159" t="s">
        <v>2920</v>
      </c>
      <c r="AH1159">
        <v>1</v>
      </c>
      <c r="AI1159">
        <v>1</v>
      </c>
      <c r="AJ1159">
        <v>0</v>
      </c>
      <c r="AK1159">
        <v>16.71</v>
      </c>
      <c r="AN1159" t="s">
        <v>2926</v>
      </c>
      <c r="AO1159">
        <v>2028</v>
      </c>
      <c r="AP1159" t="s">
        <v>2968</v>
      </c>
      <c r="AQ1159" t="s">
        <v>2979</v>
      </c>
      <c r="AR1159" t="s">
        <v>2017</v>
      </c>
      <c r="AS1159" t="s">
        <v>2992</v>
      </c>
      <c r="AU1159">
        <v>45.95</v>
      </c>
      <c r="AV1159" t="s">
        <v>405</v>
      </c>
      <c r="AW1159" t="s">
        <v>3060</v>
      </c>
    </row>
    <row r="1160" spans="1:50">
      <c r="A1160" s="1" t="s">
        <v>115</v>
      </c>
      <c r="B1160" t="s">
        <v>164</v>
      </c>
      <c r="C1160" t="s">
        <v>4370</v>
      </c>
      <c r="D1160" t="s">
        <v>360</v>
      </c>
      <c r="E1160" t="s">
        <v>359</v>
      </c>
      <c r="F1160" t="s">
        <v>7322</v>
      </c>
      <c r="G1160" t="s">
        <v>8422</v>
      </c>
      <c r="H1160" t="s">
        <v>9700</v>
      </c>
      <c r="I1160" t="s">
        <v>11179</v>
      </c>
      <c r="J1160" t="s">
        <v>1641</v>
      </c>
      <c r="K1160">
        <v>10452</v>
      </c>
      <c r="L1160" t="s">
        <v>1670</v>
      </c>
      <c r="M1160" t="s">
        <v>1670</v>
      </c>
      <c r="O1160" t="s">
        <v>1939</v>
      </c>
      <c r="P1160" t="s">
        <v>1958</v>
      </c>
      <c r="Q1160" t="s">
        <v>1965</v>
      </c>
      <c r="R1160" t="s">
        <v>50</v>
      </c>
      <c r="S1160" t="s">
        <v>1670</v>
      </c>
      <c r="U1160" t="s">
        <v>1972</v>
      </c>
      <c r="W1160" t="s">
        <v>359</v>
      </c>
      <c r="X1160">
        <v>79</v>
      </c>
      <c r="Y1160" t="s">
        <v>2006</v>
      </c>
      <c r="Z1160" t="s">
        <v>2015</v>
      </c>
      <c r="AA1160" t="s">
        <v>2029</v>
      </c>
      <c r="AB1160" t="s">
        <v>13867</v>
      </c>
      <c r="AD1160" t="s">
        <v>16300</v>
      </c>
      <c r="AE1160">
        <v>149</v>
      </c>
      <c r="AF1160" t="s">
        <v>2902</v>
      </c>
      <c r="AG1160" t="s">
        <v>2915</v>
      </c>
      <c r="AH1160">
        <v>17</v>
      </c>
      <c r="AI1160">
        <v>2</v>
      </c>
      <c r="AJ1160">
        <v>0</v>
      </c>
      <c r="AK1160">
        <v>17.02</v>
      </c>
      <c r="AN1160" t="s">
        <v>2927</v>
      </c>
      <c r="AO1160">
        <v>2802</v>
      </c>
      <c r="AU1160">
        <v>0.2</v>
      </c>
      <c r="AV1160" t="s">
        <v>271</v>
      </c>
      <c r="AW1160" t="s">
        <v>3054</v>
      </c>
    </row>
    <row r="1161" spans="1:50">
      <c r="A1161" s="1" t="s">
        <v>107</v>
      </c>
      <c r="B1161" t="s">
        <v>163</v>
      </c>
      <c r="C1161" t="s">
        <v>4371</v>
      </c>
      <c r="D1161" t="s">
        <v>339</v>
      </c>
      <c r="F1161" t="s">
        <v>7323</v>
      </c>
      <c r="G1161" t="s">
        <v>8433</v>
      </c>
      <c r="H1161" t="s">
        <v>9379</v>
      </c>
      <c r="I1161" t="s">
        <v>10972</v>
      </c>
      <c r="J1161" t="s">
        <v>1644</v>
      </c>
      <c r="K1161">
        <v>11208</v>
      </c>
      <c r="L1161" t="s">
        <v>1670</v>
      </c>
      <c r="M1161" t="s">
        <v>1670</v>
      </c>
      <c r="N1161" t="s">
        <v>12131</v>
      </c>
      <c r="O1161" t="s">
        <v>1936</v>
      </c>
      <c r="P1161" t="s">
        <v>1960</v>
      </c>
      <c r="R1161" t="s">
        <v>50</v>
      </c>
      <c r="S1161" t="s">
        <v>1671</v>
      </c>
      <c r="U1161" t="s">
        <v>1972</v>
      </c>
      <c r="V1161" t="s">
        <v>1983</v>
      </c>
      <c r="W1161" t="s">
        <v>295</v>
      </c>
      <c r="X1161">
        <v>150</v>
      </c>
      <c r="Y1161" t="s">
        <v>2009</v>
      </c>
      <c r="Z1161" t="s">
        <v>2014</v>
      </c>
      <c r="AB1161" t="s">
        <v>13868</v>
      </c>
      <c r="AC1161" t="s">
        <v>15121</v>
      </c>
      <c r="AD1161" t="s">
        <v>16301</v>
      </c>
      <c r="AE1161">
        <v>6</v>
      </c>
      <c r="AF1161" t="s">
        <v>2902</v>
      </c>
      <c r="AG1161" t="s">
        <v>1754</v>
      </c>
      <c r="AH1161">
        <v>5</v>
      </c>
      <c r="AI1161">
        <v>1</v>
      </c>
      <c r="AJ1161">
        <v>0</v>
      </c>
      <c r="AK1161">
        <v>17.07</v>
      </c>
      <c r="AN1161" t="s">
        <v>2926</v>
      </c>
      <c r="AO1161">
        <v>2132</v>
      </c>
      <c r="AU1161">
        <v>13.9</v>
      </c>
      <c r="AV1161" t="s">
        <v>393</v>
      </c>
      <c r="AW1161" t="s">
        <v>3049</v>
      </c>
      <c r="AX1161" t="s">
        <v>18685</v>
      </c>
    </row>
    <row r="1162" spans="1:50">
      <c r="A1162" s="1" t="s">
        <v>58</v>
      </c>
      <c r="B1162" t="s">
        <v>164</v>
      </c>
      <c r="C1162" t="s">
        <v>4372</v>
      </c>
      <c r="D1162" t="s">
        <v>290</v>
      </c>
      <c r="E1162" t="s">
        <v>334</v>
      </c>
      <c r="F1162" t="s">
        <v>7324</v>
      </c>
      <c r="G1162" t="s">
        <v>1000</v>
      </c>
      <c r="H1162" t="s">
        <v>9862</v>
      </c>
      <c r="J1162" t="s">
        <v>1641</v>
      </c>
      <c r="K1162">
        <v>10452</v>
      </c>
      <c r="L1162" t="s">
        <v>1670</v>
      </c>
      <c r="M1162" t="s">
        <v>1672</v>
      </c>
      <c r="O1162" t="s">
        <v>1675</v>
      </c>
      <c r="P1162" t="s">
        <v>1958</v>
      </c>
      <c r="Q1162" t="s">
        <v>1965</v>
      </c>
      <c r="R1162" t="s">
        <v>50</v>
      </c>
      <c r="U1162" t="s">
        <v>1972</v>
      </c>
      <c r="W1162" t="s">
        <v>1994</v>
      </c>
      <c r="X1162">
        <v>705.35</v>
      </c>
      <c r="Y1162" t="s">
        <v>2006</v>
      </c>
      <c r="Z1162" t="s">
        <v>2016</v>
      </c>
      <c r="AA1162" t="s">
        <v>2029</v>
      </c>
      <c r="AB1162" t="s">
        <v>13869</v>
      </c>
      <c r="AE1162">
        <v>55</v>
      </c>
      <c r="AG1162" t="s">
        <v>2017</v>
      </c>
      <c r="AH1162">
        <v>28</v>
      </c>
      <c r="AI1162">
        <v>1</v>
      </c>
      <c r="AJ1162">
        <v>0</v>
      </c>
      <c r="AK1162">
        <v>17.29</v>
      </c>
      <c r="AN1162" t="s">
        <v>2926</v>
      </c>
      <c r="AO1162">
        <v>2160</v>
      </c>
      <c r="AU1162">
        <v>1</v>
      </c>
      <c r="AV1162" t="s">
        <v>206</v>
      </c>
      <c r="AW1162" t="s">
        <v>3045</v>
      </c>
      <c r="AX1162" t="s">
        <v>18685</v>
      </c>
    </row>
    <row r="1163" spans="1:50">
      <c r="A1163" s="1" t="s">
        <v>107</v>
      </c>
      <c r="B1163" t="s">
        <v>163</v>
      </c>
      <c r="C1163" t="s">
        <v>4373</v>
      </c>
      <c r="D1163" t="s">
        <v>167</v>
      </c>
      <c r="F1163" t="s">
        <v>7325</v>
      </c>
      <c r="G1163" t="s">
        <v>890</v>
      </c>
      <c r="H1163" t="s">
        <v>9863</v>
      </c>
      <c r="I1163" t="s">
        <v>1590</v>
      </c>
      <c r="J1163" t="s">
        <v>1644</v>
      </c>
      <c r="K1163">
        <v>11212</v>
      </c>
      <c r="L1163" t="s">
        <v>1670</v>
      </c>
      <c r="M1163" t="s">
        <v>1670</v>
      </c>
      <c r="N1163" t="s">
        <v>12132</v>
      </c>
      <c r="P1163" t="s">
        <v>1963</v>
      </c>
      <c r="R1163" t="s">
        <v>50</v>
      </c>
      <c r="U1163" t="s">
        <v>1974</v>
      </c>
      <c r="W1163" t="s">
        <v>167</v>
      </c>
      <c r="X1163">
        <v>2100</v>
      </c>
      <c r="Y1163" t="s">
        <v>2009</v>
      </c>
      <c r="Z1163" t="s">
        <v>2014</v>
      </c>
      <c r="AB1163" t="s">
        <v>13870</v>
      </c>
      <c r="AC1163" t="s">
        <v>15122</v>
      </c>
      <c r="AD1163" t="s">
        <v>16302</v>
      </c>
      <c r="AE1163">
        <v>6</v>
      </c>
      <c r="AG1163" t="s">
        <v>2915</v>
      </c>
      <c r="AH1163" t="s">
        <v>13051</v>
      </c>
      <c r="AI1163">
        <v>1</v>
      </c>
      <c r="AJ1163">
        <v>0</v>
      </c>
      <c r="AK1163">
        <v>17.45</v>
      </c>
      <c r="AN1163" t="s">
        <v>2926</v>
      </c>
      <c r="AO1163">
        <v>2119</v>
      </c>
      <c r="AU1163">
        <v>0.1</v>
      </c>
      <c r="AV1163" t="s">
        <v>167</v>
      </c>
      <c r="AW1163" t="s">
        <v>3074</v>
      </c>
    </row>
    <row r="1164" spans="1:50">
      <c r="A1164" s="1" t="s">
        <v>107</v>
      </c>
      <c r="B1164" t="s">
        <v>163</v>
      </c>
      <c r="C1164" t="s">
        <v>4374</v>
      </c>
      <c r="D1164" t="s">
        <v>167</v>
      </c>
      <c r="F1164" t="s">
        <v>7325</v>
      </c>
      <c r="G1164" t="s">
        <v>890</v>
      </c>
      <c r="H1164" t="s">
        <v>9863</v>
      </c>
      <c r="I1164" t="s">
        <v>1590</v>
      </c>
      <c r="J1164" t="s">
        <v>1644</v>
      </c>
      <c r="K1164">
        <v>11212</v>
      </c>
      <c r="L1164" t="s">
        <v>1670</v>
      </c>
      <c r="M1164" t="s">
        <v>1670</v>
      </c>
      <c r="N1164" t="s">
        <v>12132</v>
      </c>
      <c r="O1164" t="s">
        <v>1936</v>
      </c>
      <c r="P1164" t="s">
        <v>1960</v>
      </c>
      <c r="R1164" t="s">
        <v>50</v>
      </c>
      <c r="U1164" t="s">
        <v>1972</v>
      </c>
      <c r="V1164" t="s">
        <v>1984</v>
      </c>
      <c r="W1164" t="s">
        <v>320</v>
      </c>
      <c r="X1164">
        <v>2100</v>
      </c>
      <c r="Y1164" t="s">
        <v>2009</v>
      </c>
      <c r="Z1164" t="s">
        <v>2014</v>
      </c>
      <c r="AB1164" t="s">
        <v>13870</v>
      </c>
      <c r="AC1164" t="s">
        <v>15122</v>
      </c>
      <c r="AD1164" t="s">
        <v>16302</v>
      </c>
      <c r="AE1164">
        <v>6</v>
      </c>
      <c r="AF1164" t="s">
        <v>2909</v>
      </c>
      <c r="AG1164" t="s">
        <v>2915</v>
      </c>
      <c r="AH1164" t="s">
        <v>13051</v>
      </c>
      <c r="AI1164">
        <v>1</v>
      </c>
      <c r="AJ1164">
        <v>0</v>
      </c>
      <c r="AK1164">
        <v>17.45</v>
      </c>
      <c r="AN1164" t="s">
        <v>2926</v>
      </c>
      <c r="AO1164">
        <v>2119</v>
      </c>
      <c r="AU1164">
        <v>7.3</v>
      </c>
      <c r="AV1164" t="s">
        <v>296</v>
      </c>
      <c r="AW1164" t="s">
        <v>3074</v>
      </c>
    </row>
    <row r="1165" spans="1:50">
      <c r="A1165" s="1" t="s">
        <v>107</v>
      </c>
      <c r="B1165" t="s">
        <v>163</v>
      </c>
      <c r="C1165" t="s">
        <v>4375</v>
      </c>
      <c r="D1165" t="s">
        <v>395</v>
      </c>
      <c r="F1165" t="s">
        <v>7131</v>
      </c>
      <c r="G1165" t="s">
        <v>8434</v>
      </c>
      <c r="H1165" t="s">
        <v>9864</v>
      </c>
      <c r="I1165">
        <v>2</v>
      </c>
      <c r="J1165" t="s">
        <v>1644</v>
      </c>
      <c r="K1165">
        <v>11233</v>
      </c>
      <c r="L1165" t="s">
        <v>1670</v>
      </c>
      <c r="M1165" t="s">
        <v>1670</v>
      </c>
      <c r="N1165" t="s">
        <v>12133</v>
      </c>
      <c r="O1165" t="s">
        <v>1940</v>
      </c>
      <c r="P1165" t="s">
        <v>1960</v>
      </c>
      <c r="R1165" t="s">
        <v>50</v>
      </c>
      <c r="S1165" t="s">
        <v>1671</v>
      </c>
      <c r="U1165" t="s">
        <v>1972</v>
      </c>
      <c r="V1165" t="s">
        <v>1984</v>
      </c>
      <c r="W1165" t="s">
        <v>266</v>
      </c>
      <c r="X1165">
        <v>1187</v>
      </c>
      <c r="Y1165" t="s">
        <v>2009</v>
      </c>
      <c r="Z1165" t="s">
        <v>2013</v>
      </c>
      <c r="AB1165" t="s">
        <v>13871</v>
      </c>
      <c r="AC1165">
        <v>805135</v>
      </c>
      <c r="AD1165" t="s">
        <v>16303</v>
      </c>
      <c r="AE1165">
        <v>6</v>
      </c>
      <c r="AF1165" t="s">
        <v>2904</v>
      </c>
      <c r="AG1165" t="s">
        <v>2916</v>
      </c>
      <c r="AH1165">
        <v>3</v>
      </c>
      <c r="AI1165">
        <v>1</v>
      </c>
      <c r="AJ1165">
        <v>0</v>
      </c>
      <c r="AK1165">
        <v>17.56</v>
      </c>
      <c r="AN1165" t="s">
        <v>2926</v>
      </c>
      <c r="AO1165">
        <v>2132</v>
      </c>
      <c r="AP1165" t="s">
        <v>18255</v>
      </c>
      <c r="AU1165">
        <v>24.7</v>
      </c>
      <c r="AV1165" t="s">
        <v>289</v>
      </c>
      <c r="AW1165" t="s">
        <v>3060</v>
      </c>
    </row>
    <row r="1166" spans="1:50">
      <c r="A1166" s="1" t="s">
        <v>105</v>
      </c>
      <c r="B1166" t="s">
        <v>164</v>
      </c>
      <c r="C1166" t="s">
        <v>4376</v>
      </c>
      <c r="D1166" t="s">
        <v>258</v>
      </c>
      <c r="E1166" t="s">
        <v>295</v>
      </c>
      <c r="F1166" t="s">
        <v>7326</v>
      </c>
      <c r="G1166" t="s">
        <v>8435</v>
      </c>
      <c r="H1166" t="s">
        <v>9865</v>
      </c>
      <c r="I1166" t="s">
        <v>11076</v>
      </c>
      <c r="J1166" t="s">
        <v>1641</v>
      </c>
      <c r="K1166">
        <v>10456</v>
      </c>
      <c r="L1166" t="s">
        <v>1670</v>
      </c>
      <c r="M1166" t="s">
        <v>1670</v>
      </c>
      <c r="N1166" t="s">
        <v>12134</v>
      </c>
      <c r="O1166" t="s">
        <v>1940</v>
      </c>
      <c r="P1166" t="s">
        <v>1958</v>
      </c>
      <c r="Q1166" t="s">
        <v>1965</v>
      </c>
      <c r="R1166" t="s">
        <v>50</v>
      </c>
      <c r="S1166" t="s">
        <v>1671</v>
      </c>
      <c r="U1166" t="s">
        <v>1972</v>
      </c>
      <c r="V1166" t="s">
        <v>1984</v>
      </c>
      <c r="W1166" t="s">
        <v>258</v>
      </c>
      <c r="X1166" t="s">
        <v>13051</v>
      </c>
      <c r="Y1166" t="s">
        <v>2006</v>
      </c>
      <c r="AA1166" t="s">
        <v>2029</v>
      </c>
      <c r="AB1166" t="s">
        <v>13872</v>
      </c>
      <c r="AD1166" t="s">
        <v>16304</v>
      </c>
      <c r="AE1166" t="s">
        <v>13051</v>
      </c>
      <c r="AF1166" t="s">
        <v>2904</v>
      </c>
      <c r="AG1166" t="s">
        <v>1754</v>
      </c>
      <c r="AH1166">
        <v>3</v>
      </c>
      <c r="AI1166">
        <v>1</v>
      </c>
      <c r="AJ1166">
        <v>0</v>
      </c>
      <c r="AK1166">
        <v>17.68</v>
      </c>
      <c r="AN1166" t="s">
        <v>2927</v>
      </c>
      <c r="AO1166">
        <v>2208</v>
      </c>
      <c r="AU1166">
        <v>0.1</v>
      </c>
      <c r="AV1166" t="s">
        <v>258</v>
      </c>
      <c r="AW1166" t="s">
        <v>105</v>
      </c>
    </row>
    <row r="1167" spans="1:50">
      <c r="A1167" s="1" t="s">
        <v>3182</v>
      </c>
      <c r="B1167" t="s">
        <v>164</v>
      </c>
      <c r="C1167" t="s">
        <v>4377</v>
      </c>
      <c r="D1167" t="s">
        <v>194</v>
      </c>
      <c r="E1167" t="s">
        <v>188</v>
      </c>
      <c r="F1167" t="s">
        <v>7327</v>
      </c>
      <c r="G1167" t="s">
        <v>8026</v>
      </c>
      <c r="H1167" t="s">
        <v>9866</v>
      </c>
      <c r="I1167" t="s">
        <v>11037</v>
      </c>
      <c r="J1167" t="s">
        <v>1641</v>
      </c>
      <c r="K1167">
        <v>10459</v>
      </c>
      <c r="L1167" t="s">
        <v>1670</v>
      </c>
      <c r="M1167" t="s">
        <v>1670</v>
      </c>
      <c r="N1167" t="s">
        <v>12135</v>
      </c>
      <c r="O1167" t="s">
        <v>1940</v>
      </c>
      <c r="P1167" t="s">
        <v>1960</v>
      </c>
      <c r="Q1167" t="s">
        <v>13024</v>
      </c>
      <c r="R1167" t="s">
        <v>50</v>
      </c>
      <c r="S1167" t="s">
        <v>1671</v>
      </c>
      <c r="U1167" t="s">
        <v>1972</v>
      </c>
      <c r="V1167" t="s">
        <v>1984</v>
      </c>
      <c r="W1167" t="s">
        <v>194</v>
      </c>
      <c r="X1167">
        <v>1200</v>
      </c>
      <c r="Y1167" t="s">
        <v>2006</v>
      </c>
      <c r="Z1167" t="s">
        <v>2014</v>
      </c>
      <c r="AA1167" t="s">
        <v>2032</v>
      </c>
      <c r="AB1167" t="s">
        <v>13873</v>
      </c>
      <c r="AC1167" t="s">
        <v>15123</v>
      </c>
      <c r="AD1167" t="s">
        <v>16305</v>
      </c>
      <c r="AE1167">
        <v>92</v>
      </c>
      <c r="AF1167" t="s">
        <v>2909</v>
      </c>
      <c r="AG1167" t="s">
        <v>2915</v>
      </c>
      <c r="AH1167">
        <v>10</v>
      </c>
      <c r="AI1167">
        <v>1</v>
      </c>
      <c r="AJ1167">
        <v>0</v>
      </c>
      <c r="AK1167">
        <v>17.79</v>
      </c>
      <c r="AN1167" t="s">
        <v>2927</v>
      </c>
      <c r="AO1167">
        <v>2160</v>
      </c>
      <c r="AP1167" t="s">
        <v>18058</v>
      </c>
      <c r="AQ1167" t="s">
        <v>2977</v>
      </c>
      <c r="AR1167" t="s">
        <v>2983</v>
      </c>
      <c r="AS1167" t="s">
        <v>2992</v>
      </c>
      <c r="AT1167" t="s">
        <v>3027</v>
      </c>
      <c r="AU1167">
        <v>39.8</v>
      </c>
      <c r="AV1167" t="s">
        <v>188</v>
      </c>
      <c r="AW1167" t="s">
        <v>3054</v>
      </c>
    </row>
    <row r="1168" spans="1:50">
      <c r="A1168" s="1" t="s">
        <v>105</v>
      </c>
      <c r="B1168" t="s">
        <v>163</v>
      </c>
      <c r="C1168" t="s">
        <v>4378</v>
      </c>
      <c r="D1168" t="s">
        <v>267</v>
      </c>
      <c r="F1168" t="s">
        <v>7328</v>
      </c>
      <c r="G1168" t="s">
        <v>6782</v>
      </c>
      <c r="H1168" t="s">
        <v>1312</v>
      </c>
      <c r="I1168" t="s">
        <v>1589</v>
      </c>
      <c r="J1168" t="s">
        <v>1641</v>
      </c>
      <c r="K1168">
        <v>10459</v>
      </c>
      <c r="L1168" t="s">
        <v>1670</v>
      </c>
      <c r="M1168" t="s">
        <v>1670</v>
      </c>
      <c r="O1168" t="s">
        <v>1939</v>
      </c>
      <c r="P1168" t="s">
        <v>1960</v>
      </c>
      <c r="R1168" t="s">
        <v>50</v>
      </c>
      <c r="S1168" t="s">
        <v>1670</v>
      </c>
      <c r="U1168" t="s">
        <v>1972</v>
      </c>
      <c r="W1168" t="s">
        <v>302</v>
      </c>
      <c r="X1168">
        <v>1000</v>
      </c>
      <c r="Y1168" t="s">
        <v>2006</v>
      </c>
      <c r="Z1168" t="s">
        <v>2015</v>
      </c>
      <c r="AB1168" t="s">
        <v>13874</v>
      </c>
      <c r="AD1168" t="s">
        <v>16306</v>
      </c>
      <c r="AE1168">
        <v>48</v>
      </c>
      <c r="AF1168" t="s">
        <v>2909</v>
      </c>
      <c r="AG1168" t="s">
        <v>2922</v>
      </c>
      <c r="AH1168">
        <v>15</v>
      </c>
      <c r="AI1168">
        <v>1</v>
      </c>
      <c r="AJ1168">
        <v>0</v>
      </c>
      <c r="AK1168">
        <v>17.79</v>
      </c>
      <c r="AN1168" t="s">
        <v>2926</v>
      </c>
      <c r="AO1168">
        <v>2160</v>
      </c>
      <c r="AU1168">
        <v>0.2</v>
      </c>
      <c r="AV1168" t="s">
        <v>332</v>
      </c>
      <c r="AW1168" t="s">
        <v>3047</v>
      </c>
    </row>
    <row r="1169" spans="1:50">
      <c r="A1169" s="1" t="s">
        <v>53</v>
      </c>
      <c r="B1169" t="s">
        <v>164</v>
      </c>
      <c r="C1169" t="s">
        <v>4379</v>
      </c>
      <c r="D1169" t="s">
        <v>192</v>
      </c>
      <c r="E1169" t="s">
        <v>176</v>
      </c>
      <c r="F1169" t="s">
        <v>7329</v>
      </c>
      <c r="G1169" t="s">
        <v>892</v>
      </c>
      <c r="H1169" t="s">
        <v>9867</v>
      </c>
      <c r="I1169" t="s">
        <v>1513</v>
      </c>
      <c r="J1169" t="s">
        <v>11745</v>
      </c>
      <c r="K1169">
        <v>11419</v>
      </c>
      <c r="L1169" t="s">
        <v>1670</v>
      </c>
      <c r="M1169" t="s">
        <v>1670</v>
      </c>
      <c r="N1169" t="s">
        <v>12136</v>
      </c>
      <c r="O1169" t="s">
        <v>1940</v>
      </c>
      <c r="P1169" t="s">
        <v>1958</v>
      </c>
      <c r="Q1169" t="s">
        <v>1965</v>
      </c>
      <c r="R1169" t="s">
        <v>50</v>
      </c>
      <c r="S1169" t="s">
        <v>1671</v>
      </c>
      <c r="U1169" t="s">
        <v>1972</v>
      </c>
      <c r="V1169" t="s">
        <v>1985</v>
      </c>
      <c r="W1169" t="s">
        <v>192</v>
      </c>
      <c r="X1169">
        <v>1400</v>
      </c>
      <c r="Y1169" t="s">
        <v>2007</v>
      </c>
      <c r="Z1169" t="s">
        <v>2014</v>
      </c>
      <c r="AA1169" t="s">
        <v>2029</v>
      </c>
      <c r="AB1169" t="s">
        <v>13177</v>
      </c>
      <c r="AC1169" t="s">
        <v>15124</v>
      </c>
      <c r="AD1169" t="s">
        <v>16307</v>
      </c>
      <c r="AE1169">
        <v>2</v>
      </c>
      <c r="AF1169" t="s">
        <v>2903</v>
      </c>
      <c r="AG1169" t="s">
        <v>1754</v>
      </c>
      <c r="AH1169">
        <v>3</v>
      </c>
      <c r="AI1169">
        <v>2</v>
      </c>
      <c r="AJ1169">
        <v>0</v>
      </c>
      <c r="AK1169">
        <v>18.06</v>
      </c>
      <c r="AN1169" t="s">
        <v>2926</v>
      </c>
      <c r="AO1169">
        <v>2973</v>
      </c>
      <c r="AU1169">
        <v>2.7</v>
      </c>
      <c r="AV1169" t="s">
        <v>176</v>
      </c>
      <c r="AW1169" t="s">
        <v>53</v>
      </c>
    </row>
    <row r="1170" spans="1:50">
      <c r="A1170" s="1" t="s">
        <v>97</v>
      </c>
      <c r="B1170" t="s">
        <v>163</v>
      </c>
      <c r="C1170" t="s">
        <v>4380</v>
      </c>
      <c r="D1170" t="s">
        <v>305</v>
      </c>
      <c r="F1170" t="s">
        <v>7089</v>
      </c>
      <c r="G1170" t="s">
        <v>8436</v>
      </c>
      <c r="H1170" t="s">
        <v>1244</v>
      </c>
      <c r="I1170">
        <v>44</v>
      </c>
      <c r="J1170" t="s">
        <v>1643</v>
      </c>
      <c r="K1170">
        <v>10034</v>
      </c>
      <c r="L1170" t="s">
        <v>1670</v>
      </c>
      <c r="M1170" t="s">
        <v>1670</v>
      </c>
      <c r="N1170" t="s">
        <v>12137</v>
      </c>
      <c r="O1170" t="s">
        <v>1936</v>
      </c>
      <c r="P1170" t="s">
        <v>1960</v>
      </c>
      <c r="R1170" t="s">
        <v>50</v>
      </c>
      <c r="S1170" t="s">
        <v>1671</v>
      </c>
      <c r="U1170" t="s">
        <v>1972</v>
      </c>
      <c r="W1170" t="s">
        <v>167</v>
      </c>
      <c r="X1170">
        <v>1047.13</v>
      </c>
      <c r="Y1170" t="s">
        <v>2008</v>
      </c>
      <c r="Z1170" t="s">
        <v>2013</v>
      </c>
      <c r="AB1170" t="s">
        <v>13875</v>
      </c>
      <c r="AD1170" t="s">
        <v>16308</v>
      </c>
      <c r="AE1170">
        <v>25</v>
      </c>
      <c r="AF1170" t="s">
        <v>2902</v>
      </c>
      <c r="AG1170" t="s">
        <v>1754</v>
      </c>
      <c r="AH1170">
        <v>18</v>
      </c>
      <c r="AI1170">
        <v>1</v>
      </c>
      <c r="AJ1170">
        <v>0</v>
      </c>
      <c r="AK1170">
        <v>18.09</v>
      </c>
      <c r="AN1170" t="s">
        <v>2927</v>
      </c>
      <c r="AO1170">
        <v>2196</v>
      </c>
      <c r="AU1170">
        <v>32.98</v>
      </c>
      <c r="AV1170" t="s">
        <v>397</v>
      </c>
      <c r="AW1170" t="s">
        <v>3078</v>
      </c>
      <c r="AX1170" t="s">
        <v>18685</v>
      </c>
    </row>
    <row r="1171" spans="1:50">
      <c r="A1171" s="1" t="s">
        <v>120</v>
      </c>
      <c r="B1171" t="s">
        <v>163</v>
      </c>
      <c r="C1171" t="s">
        <v>4381</v>
      </c>
      <c r="D1171" t="s">
        <v>288</v>
      </c>
      <c r="F1171" t="s">
        <v>7330</v>
      </c>
      <c r="G1171" t="s">
        <v>8437</v>
      </c>
      <c r="H1171" t="s">
        <v>9868</v>
      </c>
      <c r="I1171" t="s">
        <v>1509</v>
      </c>
      <c r="J1171" t="s">
        <v>1644</v>
      </c>
      <c r="K1171">
        <v>11233</v>
      </c>
      <c r="L1171" t="s">
        <v>1670</v>
      </c>
      <c r="M1171" t="s">
        <v>1670</v>
      </c>
      <c r="N1171" t="s">
        <v>12138</v>
      </c>
      <c r="O1171" t="s">
        <v>1950</v>
      </c>
      <c r="P1171" t="s">
        <v>1961</v>
      </c>
      <c r="R1171" t="s">
        <v>50</v>
      </c>
      <c r="S1171" t="s">
        <v>1671</v>
      </c>
      <c r="U1171" t="s">
        <v>1974</v>
      </c>
      <c r="V1171" t="s">
        <v>1987</v>
      </c>
      <c r="W1171" t="s">
        <v>205</v>
      </c>
      <c r="X1171">
        <v>1515</v>
      </c>
      <c r="Y1171" t="s">
        <v>2009</v>
      </c>
      <c r="Z1171" t="s">
        <v>2014</v>
      </c>
      <c r="AA1171" t="s">
        <v>13062</v>
      </c>
      <c r="AB1171" t="s">
        <v>2466</v>
      </c>
      <c r="AC1171" t="s">
        <v>15125</v>
      </c>
      <c r="AD1171" t="s">
        <v>16309</v>
      </c>
      <c r="AE1171">
        <v>6</v>
      </c>
      <c r="AF1171" t="s">
        <v>2902</v>
      </c>
      <c r="AG1171" t="s">
        <v>2920</v>
      </c>
      <c r="AH1171">
        <v>5</v>
      </c>
      <c r="AI1171">
        <v>1</v>
      </c>
      <c r="AJ1171">
        <v>0</v>
      </c>
      <c r="AK1171">
        <v>18.2</v>
      </c>
      <c r="AN1171" t="s">
        <v>2926</v>
      </c>
      <c r="AO1171">
        <v>2210</v>
      </c>
      <c r="AU1171">
        <v>7.25</v>
      </c>
      <c r="AV1171" t="s">
        <v>3034</v>
      </c>
      <c r="AW1171" t="s">
        <v>3059</v>
      </c>
    </row>
    <row r="1172" spans="1:50">
      <c r="A1172" s="1" t="s">
        <v>88</v>
      </c>
      <c r="B1172" t="s">
        <v>163</v>
      </c>
      <c r="C1172" t="s">
        <v>4382</v>
      </c>
      <c r="D1172" t="s">
        <v>335</v>
      </c>
      <c r="F1172" t="s">
        <v>7330</v>
      </c>
      <c r="G1172" t="s">
        <v>8437</v>
      </c>
      <c r="H1172" t="s">
        <v>9868</v>
      </c>
      <c r="I1172" t="s">
        <v>1509</v>
      </c>
      <c r="J1172" t="s">
        <v>1644</v>
      </c>
      <c r="K1172">
        <v>11233</v>
      </c>
      <c r="L1172" t="s">
        <v>1670</v>
      </c>
      <c r="M1172" t="s">
        <v>1670</v>
      </c>
      <c r="N1172" t="s">
        <v>12138</v>
      </c>
      <c r="O1172" t="s">
        <v>1936</v>
      </c>
      <c r="P1172" t="s">
        <v>1960</v>
      </c>
      <c r="R1172" t="s">
        <v>50</v>
      </c>
      <c r="S1172" t="s">
        <v>1671</v>
      </c>
      <c r="U1172" t="s">
        <v>1972</v>
      </c>
      <c r="V1172" t="s">
        <v>1984</v>
      </c>
      <c r="W1172" t="s">
        <v>335</v>
      </c>
      <c r="X1172">
        <v>1515</v>
      </c>
      <c r="Y1172" t="s">
        <v>2009</v>
      </c>
      <c r="Z1172" t="s">
        <v>2014</v>
      </c>
      <c r="AB1172" t="s">
        <v>2466</v>
      </c>
      <c r="AC1172" t="s">
        <v>15125</v>
      </c>
      <c r="AD1172" t="s">
        <v>16309</v>
      </c>
      <c r="AE1172">
        <v>6</v>
      </c>
      <c r="AF1172" t="s">
        <v>2902</v>
      </c>
      <c r="AG1172" t="s">
        <v>2920</v>
      </c>
      <c r="AH1172">
        <v>5</v>
      </c>
      <c r="AI1172">
        <v>1</v>
      </c>
      <c r="AJ1172">
        <v>0</v>
      </c>
      <c r="AK1172">
        <v>18.2</v>
      </c>
      <c r="AN1172" t="s">
        <v>2926</v>
      </c>
      <c r="AO1172">
        <v>2210</v>
      </c>
      <c r="AP1172" t="s">
        <v>18069</v>
      </c>
      <c r="AU1172">
        <v>38.25</v>
      </c>
      <c r="AV1172" t="s">
        <v>397</v>
      </c>
      <c r="AW1172" t="s">
        <v>3060</v>
      </c>
    </row>
    <row r="1173" spans="1:50">
      <c r="A1173" s="1" t="s">
        <v>62</v>
      </c>
      <c r="B1173" t="s">
        <v>163</v>
      </c>
      <c r="C1173" t="s">
        <v>4383</v>
      </c>
      <c r="D1173" t="s">
        <v>196</v>
      </c>
      <c r="F1173" t="s">
        <v>7331</v>
      </c>
      <c r="G1173" t="s">
        <v>886</v>
      </c>
      <c r="H1173" t="s">
        <v>9576</v>
      </c>
      <c r="I1173" t="s">
        <v>1484</v>
      </c>
      <c r="J1173" t="s">
        <v>1644</v>
      </c>
      <c r="K1173">
        <v>11226</v>
      </c>
      <c r="L1173" t="s">
        <v>1670</v>
      </c>
      <c r="M1173" t="s">
        <v>1670</v>
      </c>
      <c r="O1173" t="s">
        <v>1939</v>
      </c>
      <c r="P1173" t="s">
        <v>1960</v>
      </c>
      <c r="R1173" t="s">
        <v>50</v>
      </c>
      <c r="S1173" t="s">
        <v>1670</v>
      </c>
      <c r="U1173" t="s">
        <v>1972</v>
      </c>
      <c r="W1173" t="s">
        <v>394</v>
      </c>
      <c r="X1173">
        <v>1200</v>
      </c>
      <c r="Y1173" t="s">
        <v>2009</v>
      </c>
      <c r="Z1173" t="s">
        <v>2020</v>
      </c>
      <c r="AB1173" t="s">
        <v>13876</v>
      </c>
      <c r="AE1173">
        <v>6</v>
      </c>
      <c r="AG1173" t="s">
        <v>2017</v>
      </c>
      <c r="AH1173">
        <v>13</v>
      </c>
      <c r="AI1173">
        <v>1</v>
      </c>
      <c r="AJ1173">
        <v>0</v>
      </c>
      <c r="AK1173">
        <v>18.39</v>
      </c>
      <c r="AN1173" t="s">
        <v>2926</v>
      </c>
      <c r="AO1173">
        <v>2232</v>
      </c>
      <c r="AU1173">
        <v>0.9</v>
      </c>
      <c r="AV1173" t="s">
        <v>196</v>
      </c>
      <c r="AW1173" t="s">
        <v>3074</v>
      </c>
    </row>
    <row r="1174" spans="1:50">
      <c r="A1174" s="1" t="s">
        <v>3183</v>
      </c>
      <c r="B1174" t="s">
        <v>164</v>
      </c>
      <c r="C1174" t="s">
        <v>4384</v>
      </c>
      <c r="D1174" t="s">
        <v>204</v>
      </c>
      <c r="E1174" t="s">
        <v>403</v>
      </c>
      <c r="F1174" t="s">
        <v>737</v>
      </c>
      <c r="G1174" t="s">
        <v>818</v>
      </c>
      <c r="H1174" t="s">
        <v>9869</v>
      </c>
      <c r="I1174" t="s">
        <v>1575</v>
      </c>
      <c r="J1174" t="s">
        <v>1641</v>
      </c>
      <c r="K1174">
        <v>10457</v>
      </c>
      <c r="L1174" t="s">
        <v>1670</v>
      </c>
      <c r="M1174" t="s">
        <v>1670</v>
      </c>
      <c r="O1174" t="s">
        <v>1956</v>
      </c>
      <c r="P1174" t="s">
        <v>1958</v>
      </c>
      <c r="Q1174" t="s">
        <v>1965</v>
      </c>
      <c r="R1174" t="s">
        <v>50</v>
      </c>
      <c r="S1174" t="s">
        <v>1671</v>
      </c>
      <c r="U1174" t="s">
        <v>13033</v>
      </c>
      <c r="W1174" t="s">
        <v>204</v>
      </c>
      <c r="X1174">
        <v>889</v>
      </c>
      <c r="Y1174" t="s">
        <v>2006</v>
      </c>
      <c r="Z1174" t="s">
        <v>2013</v>
      </c>
      <c r="AA1174" t="s">
        <v>2029</v>
      </c>
      <c r="AB1174" t="s">
        <v>13877</v>
      </c>
      <c r="AD1174" t="s">
        <v>16310</v>
      </c>
      <c r="AE1174">
        <v>47</v>
      </c>
      <c r="AF1174" t="s">
        <v>2902</v>
      </c>
      <c r="AG1174" t="s">
        <v>1754</v>
      </c>
      <c r="AH1174">
        <v>23</v>
      </c>
      <c r="AI1174">
        <v>2</v>
      </c>
      <c r="AJ1174">
        <v>0</v>
      </c>
      <c r="AK1174">
        <v>18.8</v>
      </c>
      <c r="AN1174" t="s">
        <v>2926</v>
      </c>
      <c r="AO1174">
        <v>3094</v>
      </c>
      <c r="AP1174" t="s">
        <v>18256</v>
      </c>
      <c r="AU1174">
        <v>0.3</v>
      </c>
      <c r="AV1174" t="s">
        <v>307</v>
      </c>
      <c r="AW1174" t="s">
        <v>3183</v>
      </c>
    </row>
    <row r="1175" spans="1:50">
      <c r="A1175" s="1" t="s">
        <v>151</v>
      </c>
      <c r="B1175" t="s">
        <v>164</v>
      </c>
      <c r="C1175" t="s">
        <v>4385</v>
      </c>
      <c r="D1175" t="s">
        <v>364</v>
      </c>
      <c r="E1175" t="s">
        <v>346</v>
      </c>
      <c r="F1175" t="s">
        <v>7332</v>
      </c>
      <c r="G1175" t="s">
        <v>8438</v>
      </c>
      <c r="H1175" t="s">
        <v>9870</v>
      </c>
      <c r="I1175" t="s">
        <v>11180</v>
      </c>
      <c r="J1175" t="s">
        <v>1668</v>
      </c>
      <c r="K1175">
        <v>11355</v>
      </c>
      <c r="L1175" t="s">
        <v>1670</v>
      </c>
      <c r="M1175" t="s">
        <v>1672</v>
      </c>
      <c r="N1175" t="s">
        <v>12139</v>
      </c>
      <c r="O1175" t="s">
        <v>1940</v>
      </c>
      <c r="P1175" t="s">
        <v>1958</v>
      </c>
      <c r="Q1175" t="s">
        <v>1965</v>
      </c>
      <c r="R1175" t="s">
        <v>50</v>
      </c>
      <c r="S1175" t="s">
        <v>1671</v>
      </c>
      <c r="U1175" t="s">
        <v>1972</v>
      </c>
      <c r="V1175" t="s">
        <v>1984</v>
      </c>
      <c r="W1175" t="s">
        <v>364</v>
      </c>
      <c r="X1175">
        <v>1257.22</v>
      </c>
      <c r="Y1175" t="s">
        <v>2007</v>
      </c>
      <c r="Z1175" t="s">
        <v>2013</v>
      </c>
      <c r="AA1175" t="s">
        <v>2029</v>
      </c>
      <c r="AB1175" t="s">
        <v>13878</v>
      </c>
      <c r="AD1175" t="s">
        <v>16311</v>
      </c>
      <c r="AE1175">
        <v>144</v>
      </c>
      <c r="AF1175" t="s">
        <v>2904</v>
      </c>
      <c r="AG1175" t="s">
        <v>1754</v>
      </c>
      <c r="AH1175">
        <v>11</v>
      </c>
      <c r="AI1175">
        <v>1</v>
      </c>
      <c r="AJ1175">
        <v>0</v>
      </c>
      <c r="AK1175">
        <v>19.05</v>
      </c>
      <c r="AN1175" t="s">
        <v>18043</v>
      </c>
      <c r="AO1175">
        <v>2379</v>
      </c>
      <c r="AU1175">
        <v>2.05</v>
      </c>
      <c r="AV1175" t="s">
        <v>268</v>
      </c>
      <c r="AW1175" t="s">
        <v>3044</v>
      </c>
      <c r="AX1175" t="s">
        <v>18685</v>
      </c>
    </row>
    <row r="1176" spans="1:50">
      <c r="A1176" s="1" t="s">
        <v>99</v>
      </c>
      <c r="B1176" t="s">
        <v>164</v>
      </c>
      <c r="C1176" t="s">
        <v>4386</v>
      </c>
      <c r="D1176" t="s">
        <v>235</v>
      </c>
      <c r="E1176" t="s">
        <v>405</v>
      </c>
      <c r="F1176" t="s">
        <v>7333</v>
      </c>
      <c r="G1176" t="s">
        <v>6912</v>
      </c>
      <c r="H1176" t="s">
        <v>9871</v>
      </c>
      <c r="I1176" t="s">
        <v>1551</v>
      </c>
      <c r="J1176" t="s">
        <v>1668</v>
      </c>
      <c r="K1176">
        <v>11354</v>
      </c>
      <c r="L1176" t="s">
        <v>1670</v>
      </c>
      <c r="M1176" t="s">
        <v>1670</v>
      </c>
      <c r="N1176" t="s">
        <v>12140</v>
      </c>
      <c r="O1176" t="s">
        <v>1936</v>
      </c>
      <c r="P1176" t="s">
        <v>1960</v>
      </c>
      <c r="Q1176" t="s">
        <v>1969</v>
      </c>
      <c r="R1176" t="s">
        <v>50</v>
      </c>
      <c r="S1176" t="s">
        <v>1671</v>
      </c>
      <c r="U1176" t="s">
        <v>1972</v>
      </c>
      <c r="V1176" t="s">
        <v>1985</v>
      </c>
      <c r="W1176" t="s">
        <v>235</v>
      </c>
      <c r="X1176">
        <v>1700</v>
      </c>
      <c r="Y1176" t="s">
        <v>2007</v>
      </c>
      <c r="Z1176" t="s">
        <v>2015</v>
      </c>
      <c r="AA1176" t="s">
        <v>2033</v>
      </c>
      <c r="AB1176" t="s">
        <v>13555</v>
      </c>
      <c r="AC1176" t="s">
        <v>15126</v>
      </c>
      <c r="AD1176" t="s">
        <v>16312</v>
      </c>
      <c r="AE1176">
        <v>42</v>
      </c>
      <c r="AF1176" t="s">
        <v>2903</v>
      </c>
      <c r="AG1176" t="s">
        <v>1754</v>
      </c>
      <c r="AH1176">
        <v>6</v>
      </c>
      <c r="AI1176">
        <v>1</v>
      </c>
      <c r="AJ1176">
        <v>0</v>
      </c>
      <c r="AK1176">
        <v>19.05</v>
      </c>
      <c r="AN1176" t="s">
        <v>18035</v>
      </c>
      <c r="AO1176">
        <v>2379</v>
      </c>
      <c r="AQ1176" t="s">
        <v>18424</v>
      </c>
      <c r="AR1176" t="s">
        <v>18453</v>
      </c>
      <c r="AS1176" t="s">
        <v>2993</v>
      </c>
      <c r="AT1176" t="s">
        <v>18534</v>
      </c>
      <c r="AU1176">
        <v>14.8</v>
      </c>
      <c r="AV1176" t="s">
        <v>405</v>
      </c>
      <c r="AW1176" t="s">
        <v>99</v>
      </c>
      <c r="AX1176" t="s">
        <v>18685</v>
      </c>
    </row>
    <row r="1177" spans="1:50">
      <c r="A1177" s="1" t="s">
        <v>73</v>
      </c>
      <c r="B1177" t="s">
        <v>163</v>
      </c>
      <c r="C1177" t="s">
        <v>4387</v>
      </c>
      <c r="D1177" t="s">
        <v>322</v>
      </c>
      <c r="F1177" t="s">
        <v>7334</v>
      </c>
      <c r="G1177" t="s">
        <v>7252</v>
      </c>
      <c r="H1177" t="s">
        <v>9872</v>
      </c>
      <c r="J1177" t="s">
        <v>1668</v>
      </c>
      <c r="K1177">
        <v>11355</v>
      </c>
      <c r="L1177" t="s">
        <v>1670</v>
      </c>
      <c r="M1177" t="s">
        <v>1670</v>
      </c>
      <c r="N1177" t="s">
        <v>12141</v>
      </c>
      <c r="O1177" t="s">
        <v>1940</v>
      </c>
      <c r="P1177" t="s">
        <v>1960</v>
      </c>
      <c r="R1177" t="s">
        <v>50</v>
      </c>
      <c r="S1177" t="s">
        <v>1671</v>
      </c>
      <c r="U1177" t="s">
        <v>1972</v>
      </c>
      <c r="W1177" t="s">
        <v>322</v>
      </c>
      <c r="X1177" t="s">
        <v>13051</v>
      </c>
      <c r="Y1177" t="s">
        <v>2007</v>
      </c>
      <c r="Z1177" t="s">
        <v>2014</v>
      </c>
      <c r="AB1177" t="s">
        <v>13879</v>
      </c>
      <c r="AC1177" t="s">
        <v>15127</v>
      </c>
      <c r="AD1177" t="s">
        <v>16313</v>
      </c>
      <c r="AE1177" t="s">
        <v>13051</v>
      </c>
      <c r="AF1177" t="s">
        <v>18015</v>
      </c>
      <c r="AG1177" t="s">
        <v>1754</v>
      </c>
      <c r="AH1177">
        <v>1</v>
      </c>
      <c r="AI1177">
        <v>1</v>
      </c>
      <c r="AJ1177">
        <v>0</v>
      </c>
      <c r="AK1177">
        <v>19.05</v>
      </c>
      <c r="AN1177" t="s">
        <v>2926</v>
      </c>
      <c r="AO1177">
        <v>2379</v>
      </c>
      <c r="AU1177">
        <v>8.699999999999999</v>
      </c>
      <c r="AV1177" t="s">
        <v>346</v>
      </c>
      <c r="AW1177" t="s">
        <v>3044</v>
      </c>
    </row>
    <row r="1178" spans="1:50">
      <c r="A1178" s="1" t="s">
        <v>105</v>
      </c>
      <c r="B1178" t="s">
        <v>164</v>
      </c>
      <c r="C1178" t="s">
        <v>4388</v>
      </c>
      <c r="D1178" t="s">
        <v>198</v>
      </c>
      <c r="E1178" t="s">
        <v>405</v>
      </c>
      <c r="F1178" t="s">
        <v>6916</v>
      </c>
      <c r="G1178" t="s">
        <v>810</v>
      </c>
      <c r="H1178" t="s">
        <v>9873</v>
      </c>
      <c r="I1178" t="s">
        <v>1534</v>
      </c>
      <c r="J1178" t="s">
        <v>1641</v>
      </c>
      <c r="K1178">
        <v>10457</v>
      </c>
      <c r="L1178" t="s">
        <v>1670</v>
      </c>
      <c r="M1178" t="s">
        <v>1670</v>
      </c>
      <c r="N1178" t="s">
        <v>1691</v>
      </c>
      <c r="O1178" t="s">
        <v>1941</v>
      </c>
      <c r="P1178" t="s">
        <v>1958</v>
      </c>
      <c r="Q1178" t="s">
        <v>1965</v>
      </c>
      <c r="R1178" t="s">
        <v>50</v>
      </c>
      <c r="S1178" t="s">
        <v>1671</v>
      </c>
      <c r="U1178" t="s">
        <v>1972</v>
      </c>
      <c r="V1178" t="s">
        <v>1984</v>
      </c>
      <c r="W1178" t="s">
        <v>198</v>
      </c>
      <c r="X1178">
        <v>1332.5</v>
      </c>
      <c r="Y1178" t="s">
        <v>2006</v>
      </c>
      <c r="Z1178" t="s">
        <v>2016</v>
      </c>
      <c r="AA1178" t="s">
        <v>2029</v>
      </c>
      <c r="AB1178" t="s">
        <v>13105</v>
      </c>
      <c r="AD1178" t="s">
        <v>16314</v>
      </c>
      <c r="AE1178" t="s">
        <v>13051</v>
      </c>
      <c r="AF1178" t="s">
        <v>2902</v>
      </c>
      <c r="AG1178" t="s">
        <v>1754</v>
      </c>
      <c r="AH1178">
        <v>7</v>
      </c>
      <c r="AI1178">
        <v>1</v>
      </c>
      <c r="AJ1178">
        <v>0</v>
      </c>
      <c r="AK1178">
        <v>19.22</v>
      </c>
      <c r="AN1178" t="s">
        <v>2927</v>
      </c>
      <c r="AO1178">
        <v>2400</v>
      </c>
      <c r="AU1178">
        <v>2</v>
      </c>
      <c r="AV1178" t="s">
        <v>405</v>
      </c>
      <c r="AW1178" t="s">
        <v>105</v>
      </c>
      <c r="AX1178" t="s">
        <v>18685</v>
      </c>
    </row>
    <row r="1179" spans="1:50">
      <c r="A1179" s="1" t="s">
        <v>101</v>
      </c>
      <c r="B1179" t="s">
        <v>163</v>
      </c>
      <c r="C1179" t="s">
        <v>4389</v>
      </c>
      <c r="D1179" t="s">
        <v>295</v>
      </c>
      <c r="F1179" t="s">
        <v>7335</v>
      </c>
      <c r="G1179" t="s">
        <v>6804</v>
      </c>
      <c r="H1179" t="s">
        <v>9874</v>
      </c>
      <c r="I1179" t="s">
        <v>1484</v>
      </c>
      <c r="J1179" t="s">
        <v>1643</v>
      </c>
      <c r="K1179">
        <v>10029</v>
      </c>
      <c r="L1179" t="s">
        <v>1670</v>
      </c>
      <c r="M1179" t="s">
        <v>1670</v>
      </c>
      <c r="O1179" t="s">
        <v>1944</v>
      </c>
      <c r="P1179" t="s">
        <v>1962</v>
      </c>
      <c r="R1179" t="s">
        <v>50</v>
      </c>
      <c r="S1179" t="s">
        <v>1671</v>
      </c>
      <c r="U1179" t="s">
        <v>1976</v>
      </c>
      <c r="V1179" t="s">
        <v>1984</v>
      </c>
      <c r="W1179" t="s">
        <v>295</v>
      </c>
      <c r="X1179">
        <v>981</v>
      </c>
      <c r="Y1179" t="s">
        <v>2008</v>
      </c>
      <c r="Z1179" t="s">
        <v>2020</v>
      </c>
      <c r="AB1179" t="s">
        <v>13880</v>
      </c>
      <c r="AD1179" t="s">
        <v>16315</v>
      </c>
      <c r="AE1179">
        <v>30</v>
      </c>
      <c r="AF1179" t="s">
        <v>2902</v>
      </c>
      <c r="AH1179">
        <v>19</v>
      </c>
      <c r="AI1179">
        <v>1</v>
      </c>
      <c r="AJ1179">
        <v>0</v>
      </c>
      <c r="AK1179">
        <v>19.22</v>
      </c>
      <c r="AN1179" t="s">
        <v>2926</v>
      </c>
      <c r="AO1179">
        <v>2400</v>
      </c>
      <c r="AU1179" t="s">
        <v>13051</v>
      </c>
      <c r="AW1179" t="s">
        <v>3051</v>
      </c>
      <c r="AX1179" t="s">
        <v>18685</v>
      </c>
    </row>
    <row r="1180" spans="1:50">
      <c r="A1180" s="1" t="s">
        <v>52</v>
      </c>
      <c r="B1180" t="s">
        <v>164</v>
      </c>
      <c r="C1180" t="s">
        <v>4390</v>
      </c>
      <c r="D1180" t="s">
        <v>178</v>
      </c>
      <c r="E1180" t="s">
        <v>195</v>
      </c>
      <c r="F1180" t="s">
        <v>7306</v>
      </c>
      <c r="G1180" t="s">
        <v>8423</v>
      </c>
      <c r="H1180" t="s">
        <v>9846</v>
      </c>
      <c r="I1180" t="s">
        <v>1562</v>
      </c>
      <c r="J1180" t="s">
        <v>1641</v>
      </c>
      <c r="K1180">
        <v>10456</v>
      </c>
      <c r="L1180" t="s">
        <v>1670</v>
      </c>
      <c r="M1180" t="s">
        <v>1670</v>
      </c>
      <c r="N1180" t="s">
        <v>12142</v>
      </c>
      <c r="O1180" t="s">
        <v>1936</v>
      </c>
      <c r="P1180" t="s">
        <v>1960</v>
      </c>
      <c r="Q1180" t="s">
        <v>1969</v>
      </c>
      <c r="R1180" t="s">
        <v>50</v>
      </c>
      <c r="S1180" t="s">
        <v>1671</v>
      </c>
      <c r="U1180" t="s">
        <v>1972</v>
      </c>
      <c r="V1180" t="s">
        <v>1984</v>
      </c>
      <c r="W1180" t="s">
        <v>178</v>
      </c>
      <c r="X1180">
        <v>1159.32</v>
      </c>
      <c r="Y1180" t="s">
        <v>2006</v>
      </c>
      <c r="Z1180" t="s">
        <v>2020</v>
      </c>
      <c r="AA1180" t="s">
        <v>2032</v>
      </c>
      <c r="AB1180" t="s">
        <v>13848</v>
      </c>
      <c r="AC1180" t="s">
        <v>15113</v>
      </c>
      <c r="AD1180" t="s">
        <v>16279</v>
      </c>
      <c r="AE1180">
        <v>100</v>
      </c>
      <c r="AF1180" t="s">
        <v>2902</v>
      </c>
      <c r="AG1180" t="s">
        <v>2918</v>
      </c>
      <c r="AH1180">
        <v>8</v>
      </c>
      <c r="AI1180">
        <v>1</v>
      </c>
      <c r="AJ1180">
        <v>0</v>
      </c>
      <c r="AK1180">
        <v>19.39</v>
      </c>
      <c r="AN1180" t="s">
        <v>2927</v>
      </c>
      <c r="AO1180">
        <v>2353.52</v>
      </c>
      <c r="AQ1180" t="s">
        <v>2979</v>
      </c>
      <c r="AR1180" t="s">
        <v>18463</v>
      </c>
      <c r="AS1180" t="s">
        <v>2992</v>
      </c>
      <c r="AT1180" t="s">
        <v>18535</v>
      </c>
      <c r="AU1180">
        <v>24.2</v>
      </c>
      <c r="AV1180" t="s">
        <v>195</v>
      </c>
      <c r="AW1180" t="s">
        <v>3046</v>
      </c>
    </row>
    <row r="1181" spans="1:50">
      <c r="A1181" s="1" t="s">
        <v>162</v>
      </c>
      <c r="B1181" t="s">
        <v>163</v>
      </c>
      <c r="C1181" t="s">
        <v>4391</v>
      </c>
      <c r="D1181" t="s">
        <v>220</v>
      </c>
      <c r="F1181" t="s">
        <v>535</v>
      </c>
      <c r="G1181" t="s">
        <v>8439</v>
      </c>
      <c r="H1181" t="s">
        <v>9875</v>
      </c>
      <c r="I1181" t="s">
        <v>11181</v>
      </c>
      <c r="J1181" t="s">
        <v>1660</v>
      </c>
      <c r="K1181">
        <v>11377</v>
      </c>
      <c r="L1181" t="s">
        <v>1670</v>
      </c>
      <c r="M1181" t="s">
        <v>1670</v>
      </c>
      <c r="N1181" t="s">
        <v>12143</v>
      </c>
      <c r="O1181" t="s">
        <v>1937</v>
      </c>
      <c r="P1181" t="s">
        <v>1959</v>
      </c>
      <c r="R1181" t="s">
        <v>50</v>
      </c>
      <c r="S1181" t="s">
        <v>1671</v>
      </c>
      <c r="U1181" t="s">
        <v>1972</v>
      </c>
      <c r="V1181" t="s">
        <v>1985</v>
      </c>
      <c r="W1181" t="s">
        <v>220</v>
      </c>
      <c r="X1181">
        <v>1104.78</v>
      </c>
      <c r="Y1181" t="s">
        <v>2007</v>
      </c>
      <c r="Z1181" t="s">
        <v>2014</v>
      </c>
      <c r="AB1181" t="s">
        <v>13881</v>
      </c>
      <c r="AD1181" t="s">
        <v>16316</v>
      </c>
      <c r="AE1181">
        <v>65</v>
      </c>
      <c r="AF1181" t="s">
        <v>2902</v>
      </c>
      <c r="AG1181" t="s">
        <v>1754</v>
      </c>
      <c r="AH1181">
        <v>24</v>
      </c>
      <c r="AI1181">
        <v>3</v>
      </c>
      <c r="AJ1181">
        <v>0</v>
      </c>
      <c r="AK1181">
        <v>19.52</v>
      </c>
      <c r="AN1181" t="s">
        <v>2926</v>
      </c>
      <c r="AO1181">
        <v>4164</v>
      </c>
      <c r="AU1181">
        <v>1.5</v>
      </c>
      <c r="AV1181" t="s">
        <v>1999</v>
      </c>
      <c r="AW1181" t="s">
        <v>53</v>
      </c>
    </row>
    <row r="1182" spans="1:50">
      <c r="A1182" s="1" t="s">
        <v>153</v>
      </c>
      <c r="B1182" t="s">
        <v>164</v>
      </c>
      <c r="C1182" t="s">
        <v>4392</v>
      </c>
      <c r="D1182" t="s">
        <v>343</v>
      </c>
      <c r="E1182" t="s">
        <v>309</v>
      </c>
      <c r="F1182" t="s">
        <v>6914</v>
      </c>
      <c r="G1182" t="s">
        <v>8440</v>
      </c>
      <c r="H1182" t="s">
        <v>9876</v>
      </c>
      <c r="I1182" t="s">
        <v>11182</v>
      </c>
      <c r="J1182" t="s">
        <v>1641</v>
      </c>
      <c r="K1182">
        <v>10457</v>
      </c>
      <c r="L1182" t="s">
        <v>1670</v>
      </c>
      <c r="M1182" t="s">
        <v>1670</v>
      </c>
      <c r="O1182" t="s">
        <v>1675</v>
      </c>
      <c r="P1182" t="s">
        <v>1959</v>
      </c>
      <c r="Q1182" t="s">
        <v>1965</v>
      </c>
      <c r="R1182" t="s">
        <v>50</v>
      </c>
      <c r="S1182" t="s">
        <v>1671</v>
      </c>
      <c r="U1182" t="s">
        <v>1972</v>
      </c>
      <c r="W1182" t="s">
        <v>298</v>
      </c>
      <c r="X1182" t="s">
        <v>13051</v>
      </c>
      <c r="Y1182" t="s">
        <v>2006</v>
      </c>
      <c r="Z1182" t="s">
        <v>2015</v>
      </c>
      <c r="AA1182" t="s">
        <v>2029</v>
      </c>
      <c r="AB1182" t="s">
        <v>13882</v>
      </c>
      <c r="AC1182">
        <v>114505539</v>
      </c>
      <c r="AD1182" t="s">
        <v>16317</v>
      </c>
      <c r="AE1182">
        <v>32</v>
      </c>
      <c r="AF1182" t="s">
        <v>2902</v>
      </c>
      <c r="AG1182" t="s">
        <v>2017</v>
      </c>
      <c r="AH1182">
        <v>1</v>
      </c>
      <c r="AI1182">
        <v>1</v>
      </c>
      <c r="AJ1182">
        <v>0</v>
      </c>
      <c r="AK1182">
        <v>19.7</v>
      </c>
      <c r="AN1182" t="s">
        <v>2926</v>
      </c>
      <c r="AO1182">
        <v>2392</v>
      </c>
      <c r="AU1182">
        <v>1.4</v>
      </c>
      <c r="AV1182" t="s">
        <v>298</v>
      </c>
      <c r="AW1182" t="s">
        <v>3052</v>
      </c>
    </row>
    <row r="1183" spans="1:50">
      <c r="A1183" s="1" t="s">
        <v>103</v>
      </c>
      <c r="B1183" t="s">
        <v>164</v>
      </c>
      <c r="C1183" t="s">
        <v>4393</v>
      </c>
      <c r="D1183" t="s">
        <v>207</v>
      </c>
      <c r="E1183" t="s">
        <v>306</v>
      </c>
      <c r="F1183" t="s">
        <v>7149</v>
      </c>
      <c r="G1183" t="s">
        <v>8441</v>
      </c>
      <c r="H1183" t="s">
        <v>9877</v>
      </c>
      <c r="I1183" t="s">
        <v>1539</v>
      </c>
      <c r="J1183" t="s">
        <v>1644</v>
      </c>
      <c r="K1183">
        <v>11212</v>
      </c>
      <c r="L1183" t="s">
        <v>1670</v>
      </c>
      <c r="M1183" t="s">
        <v>1670</v>
      </c>
      <c r="N1183" t="s">
        <v>12144</v>
      </c>
      <c r="O1183" t="s">
        <v>1940</v>
      </c>
      <c r="P1183" t="s">
        <v>1958</v>
      </c>
      <c r="Q1183" t="s">
        <v>1965</v>
      </c>
      <c r="R1183" t="s">
        <v>50</v>
      </c>
      <c r="U1183" t="s">
        <v>1972</v>
      </c>
      <c r="W1183" t="s">
        <v>207</v>
      </c>
      <c r="X1183">
        <v>200</v>
      </c>
      <c r="Y1183" t="s">
        <v>2009</v>
      </c>
      <c r="Z1183" t="s">
        <v>2014</v>
      </c>
      <c r="AA1183" t="s">
        <v>2029</v>
      </c>
      <c r="AB1183" t="s">
        <v>13883</v>
      </c>
      <c r="AD1183" t="s">
        <v>16318</v>
      </c>
      <c r="AE1183">
        <v>4</v>
      </c>
      <c r="AH1183">
        <v>5</v>
      </c>
      <c r="AI1183">
        <v>1</v>
      </c>
      <c r="AJ1183">
        <v>0</v>
      </c>
      <c r="AK1183">
        <v>19.77</v>
      </c>
      <c r="AN1183" t="s">
        <v>2926</v>
      </c>
      <c r="AO1183">
        <v>2400</v>
      </c>
      <c r="AU1183">
        <v>3.3</v>
      </c>
      <c r="AV1183" t="s">
        <v>344</v>
      </c>
      <c r="AW1183" t="s">
        <v>3074</v>
      </c>
    </row>
    <row r="1184" spans="1:50">
      <c r="A1184" s="1" t="s">
        <v>64</v>
      </c>
      <c r="B1184" t="s">
        <v>164</v>
      </c>
      <c r="C1184" t="s">
        <v>4394</v>
      </c>
      <c r="D1184" t="s">
        <v>383</v>
      </c>
      <c r="E1184" t="s">
        <v>236</v>
      </c>
      <c r="F1184" t="s">
        <v>7336</v>
      </c>
      <c r="G1184" t="s">
        <v>8442</v>
      </c>
      <c r="H1184" t="s">
        <v>9878</v>
      </c>
      <c r="I1184" t="s">
        <v>1570</v>
      </c>
      <c r="J1184" t="s">
        <v>1643</v>
      </c>
      <c r="K1184">
        <v>10002</v>
      </c>
      <c r="L1184" t="s">
        <v>1670</v>
      </c>
      <c r="M1184" t="s">
        <v>1670</v>
      </c>
      <c r="O1184" t="s">
        <v>1675</v>
      </c>
      <c r="P1184" t="s">
        <v>1958</v>
      </c>
      <c r="Q1184" t="s">
        <v>1965</v>
      </c>
      <c r="R1184" t="s">
        <v>50</v>
      </c>
      <c r="S1184" t="s">
        <v>1671</v>
      </c>
      <c r="U1184" t="s">
        <v>1972</v>
      </c>
      <c r="W1184" t="s">
        <v>383</v>
      </c>
      <c r="X1184">
        <v>756</v>
      </c>
      <c r="Y1184" t="s">
        <v>2008</v>
      </c>
      <c r="Z1184" t="s">
        <v>2013</v>
      </c>
      <c r="AA1184" t="s">
        <v>2029</v>
      </c>
      <c r="AB1184" t="s">
        <v>13884</v>
      </c>
      <c r="AC1184" t="s">
        <v>15128</v>
      </c>
      <c r="AD1184" t="s">
        <v>16319</v>
      </c>
      <c r="AE1184">
        <v>20</v>
      </c>
      <c r="AF1184" t="s">
        <v>2908</v>
      </c>
      <c r="AG1184" t="s">
        <v>1754</v>
      </c>
      <c r="AH1184">
        <v>8</v>
      </c>
      <c r="AI1184">
        <v>1</v>
      </c>
      <c r="AJ1184">
        <v>0</v>
      </c>
      <c r="AK1184">
        <v>19.77</v>
      </c>
      <c r="AN1184" t="s">
        <v>2926</v>
      </c>
      <c r="AO1184">
        <v>2400</v>
      </c>
      <c r="AU1184">
        <v>1.8</v>
      </c>
      <c r="AV1184" t="s">
        <v>236</v>
      </c>
      <c r="AW1184" t="s">
        <v>3042</v>
      </c>
    </row>
    <row r="1185" spans="1:50">
      <c r="A1185" s="1" t="s">
        <v>101</v>
      </c>
      <c r="B1185" t="s">
        <v>163</v>
      </c>
      <c r="C1185" t="s">
        <v>4395</v>
      </c>
      <c r="D1185" t="s">
        <v>287</v>
      </c>
      <c r="F1185" t="s">
        <v>7335</v>
      </c>
      <c r="G1185" t="s">
        <v>6804</v>
      </c>
      <c r="H1185" t="s">
        <v>9874</v>
      </c>
      <c r="I1185" t="s">
        <v>1484</v>
      </c>
      <c r="J1185" t="s">
        <v>1643</v>
      </c>
      <c r="K1185">
        <v>10029</v>
      </c>
      <c r="L1185" t="s">
        <v>1670</v>
      </c>
      <c r="M1185" t="s">
        <v>1670</v>
      </c>
      <c r="N1185" t="s">
        <v>12145</v>
      </c>
      <c r="O1185" t="s">
        <v>1936</v>
      </c>
      <c r="P1185" t="s">
        <v>1960</v>
      </c>
      <c r="R1185" t="s">
        <v>50</v>
      </c>
      <c r="S1185" t="s">
        <v>1671</v>
      </c>
      <c r="U1185" t="s">
        <v>1972</v>
      </c>
      <c r="V1185" t="s">
        <v>1984</v>
      </c>
      <c r="W1185" t="s">
        <v>305</v>
      </c>
      <c r="X1185">
        <v>981</v>
      </c>
      <c r="Y1185" t="s">
        <v>2008</v>
      </c>
      <c r="Z1185" t="s">
        <v>2024</v>
      </c>
      <c r="AB1185" t="s">
        <v>13880</v>
      </c>
      <c r="AD1185" t="s">
        <v>16315</v>
      </c>
      <c r="AE1185">
        <v>30</v>
      </c>
      <c r="AF1185" t="s">
        <v>2902</v>
      </c>
      <c r="AG1185" t="s">
        <v>1754</v>
      </c>
      <c r="AH1185">
        <v>19</v>
      </c>
      <c r="AI1185">
        <v>1</v>
      </c>
      <c r="AJ1185">
        <v>0</v>
      </c>
      <c r="AK1185">
        <v>19.77</v>
      </c>
      <c r="AN1185" t="s">
        <v>2926</v>
      </c>
      <c r="AO1185">
        <v>2400</v>
      </c>
      <c r="AP1185" t="s">
        <v>18257</v>
      </c>
      <c r="AU1185">
        <v>25.05</v>
      </c>
      <c r="AV1185" t="s">
        <v>399</v>
      </c>
      <c r="AW1185" t="s">
        <v>18658</v>
      </c>
    </row>
    <row r="1186" spans="1:50">
      <c r="A1186" s="1" t="s">
        <v>53</v>
      </c>
      <c r="B1186" t="s">
        <v>164</v>
      </c>
      <c r="C1186" t="s">
        <v>4396</v>
      </c>
      <c r="D1186" t="s">
        <v>1993</v>
      </c>
      <c r="E1186" t="s">
        <v>230</v>
      </c>
      <c r="F1186" t="s">
        <v>535</v>
      </c>
      <c r="G1186" t="s">
        <v>8439</v>
      </c>
      <c r="H1186" t="s">
        <v>9875</v>
      </c>
      <c r="I1186" t="s">
        <v>11181</v>
      </c>
      <c r="J1186" t="s">
        <v>1660</v>
      </c>
      <c r="K1186">
        <v>11377</v>
      </c>
      <c r="L1186" t="s">
        <v>1670</v>
      </c>
      <c r="M1186" t="s">
        <v>1670</v>
      </c>
      <c r="N1186" t="s">
        <v>12143</v>
      </c>
      <c r="O1186" t="s">
        <v>1936</v>
      </c>
      <c r="P1186" t="s">
        <v>1960</v>
      </c>
      <c r="Q1186" t="s">
        <v>1969</v>
      </c>
      <c r="R1186" t="s">
        <v>50</v>
      </c>
      <c r="S1186" t="s">
        <v>1671</v>
      </c>
      <c r="U1186" t="s">
        <v>1972</v>
      </c>
      <c r="V1186" t="s">
        <v>1985</v>
      </c>
      <c r="W1186" t="s">
        <v>1993</v>
      </c>
      <c r="X1186">
        <v>1104.78</v>
      </c>
      <c r="Y1186" t="s">
        <v>2007</v>
      </c>
      <c r="Z1186" t="s">
        <v>2014</v>
      </c>
      <c r="AA1186" t="s">
        <v>2032</v>
      </c>
      <c r="AB1186" t="s">
        <v>13881</v>
      </c>
      <c r="AC1186" t="s">
        <v>15077</v>
      </c>
      <c r="AD1186" t="s">
        <v>16316</v>
      </c>
      <c r="AE1186">
        <v>65</v>
      </c>
      <c r="AF1186" t="s">
        <v>2902</v>
      </c>
      <c r="AG1186" t="s">
        <v>1754</v>
      </c>
      <c r="AH1186">
        <v>24</v>
      </c>
      <c r="AI1186">
        <v>3</v>
      </c>
      <c r="AJ1186">
        <v>0</v>
      </c>
      <c r="AK1186">
        <v>20.04</v>
      </c>
      <c r="AN1186" t="s">
        <v>2926</v>
      </c>
      <c r="AO1186">
        <v>4164</v>
      </c>
      <c r="AQ1186" t="s">
        <v>2979</v>
      </c>
      <c r="AR1186" t="s">
        <v>2982</v>
      </c>
      <c r="AS1186" t="s">
        <v>2992</v>
      </c>
      <c r="AT1186" t="s">
        <v>18536</v>
      </c>
      <c r="AU1186">
        <v>26.95</v>
      </c>
      <c r="AV1186" t="s">
        <v>275</v>
      </c>
      <c r="AW1186" t="s">
        <v>85</v>
      </c>
      <c r="AX1186" t="s">
        <v>18685</v>
      </c>
    </row>
    <row r="1187" spans="1:50">
      <c r="A1187" s="1" t="s">
        <v>101</v>
      </c>
      <c r="B1187" t="s">
        <v>163</v>
      </c>
      <c r="C1187" t="s">
        <v>4397</v>
      </c>
      <c r="D1187" t="s">
        <v>187</v>
      </c>
      <c r="F1187" t="s">
        <v>7337</v>
      </c>
      <c r="G1187" t="s">
        <v>8443</v>
      </c>
      <c r="H1187" t="s">
        <v>9879</v>
      </c>
      <c r="I1187" t="s">
        <v>1562</v>
      </c>
      <c r="J1187" t="s">
        <v>1643</v>
      </c>
      <c r="K1187">
        <v>10031</v>
      </c>
      <c r="L1187" t="s">
        <v>1670</v>
      </c>
      <c r="M1187" t="s">
        <v>1670</v>
      </c>
      <c r="N1187" t="s">
        <v>12146</v>
      </c>
      <c r="O1187" t="s">
        <v>1939</v>
      </c>
      <c r="P1187" t="s">
        <v>1960</v>
      </c>
      <c r="R1187" t="s">
        <v>50</v>
      </c>
      <c r="S1187" t="s">
        <v>1670</v>
      </c>
      <c r="U1187" t="s">
        <v>1972</v>
      </c>
      <c r="V1187" t="s">
        <v>1984</v>
      </c>
      <c r="W1187" t="s">
        <v>342</v>
      </c>
      <c r="X1187">
        <v>2697</v>
      </c>
      <c r="Y1187" t="s">
        <v>2008</v>
      </c>
      <c r="Z1187" t="s">
        <v>2016</v>
      </c>
      <c r="AB1187" t="s">
        <v>13885</v>
      </c>
      <c r="AD1187" t="s">
        <v>16320</v>
      </c>
      <c r="AE1187">
        <v>44</v>
      </c>
      <c r="AF1187" t="s">
        <v>2902</v>
      </c>
      <c r="AG1187" t="s">
        <v>2915</v>
      </c>
      <c r="AH1187">
        <v>10</v>
      </c>
      <c r="AI1187">
        <v>2</v>
      </c>
      <c r="AJ1187">
        <v>0</v>
      </c>
      <c r="AK1187">
        <v>20.33</v>
      </c>
      <c r="AN1187" t="s">
        <v>2926</v>
      </c>
      <c r="AO1187">
        <v>3346.2</v>
      </c>
      <c r="AU1187">
        <v>2</v>
      </c>
      <c r="AV1187" t="s">
        <v>268</v>
      </c>
      <c r="AW1187" t="s">
        <v>3051</v>
      </c>
    </row>
    <row r="1188" spans="1:50">
      <c r="A1188" s="1" t="s">
        <v>63</v>
      </c>
      <c r="B1188" t="s">
        <v>163</v>
      </c>
      <c r="C1188" t="s">
        <v>4398</v>
      </c>
      <c r="D1188" t="s">
        <v>171</v>
      </c>
      <c r="F1188" t="s">
        <v>1085</v>
      </c>
      <c r="G1188" t="s">
        <v>8444</v>
      </c>
      <c r="H1188" t="s">
        <v>9880</v>
      </c>
      <c r="I1188" t="s">
        <v>1477</v>
      </c>
      <c r="J1188" t="s">
        <v>1641</v>
      </c>
      <c r="K1188">
        <v>10451</v>
      </c>
      <c r="L1188" t="s">
        <v>1670</v>
      </c>
      <c r="M1188" t="s">
        <v>1672</v>
      </c>
      <c r="O1188" t="s">
        <v>1936</v>
      </c>
      <c r="P1188" t="s">
        <v>1958</v>
      </c>
      <c r="R1188" t="s">
        <v>50</v>
      </c>
      <c r="S1188" t="s">
        <v>1671</v>
      </c>
      <c r="U1188" t="s">
        <v>1972</v>
      </c>
      <c r="V1188" t="s">
        <v>1983</v>
      </c>
      <c r="W1188" t="s">
        <v>1991</v>
      </c>
      <c r="X1188">
        <v>975</v>
      </c>
      <c r="Y1188" t="s">
        <v>2006</v>
      </c>
      <c r="Z1188" t="s">
        <v>2015</v>
      </c>
      <c r="AB1188" t="s">
        <v>13886</v>
      </c>
      <c r="AD1188" t="s">
        <v>16321</v>
      </c>
      <c r="AE1188">
        <v>84</v>
      </c>
      <c r="AF1188" t="s">
        <v>2908</v>
      </c>
      <c r="AG1188" t="s">
        <v>2919</v>
      </c>
      <c r="AH1188">
        <v>7</v>
      </c>
      <c r="AI1188">
        <v>2</v>
      </c>
      <c r="AJ1188">
        <v>0</v>
      </c>
      <c r="AK1188">
        <v>20.44</v>
      </c>
      <c r="AO1188">
        <v>3456</v>
      </c>
      <c r="AU1188" t="s">
        <v>13051</v>
      </c>
      <c r="AW1188" t="s">
        <v>3046</v>
      </c>
      <c r="AX1188" t="s">
        <v>18685</v>
      </c>
    </row>
    <row r="1189" spans="1:50">
      <c r="A1189" s="1" t="s">
        <v>97</v>
      </c>
      <c r="B1189" t="s">
        <v>163</v>
      </c>
      <c r="C1189" t="s">
        <v>4399</v>
      </c>
      <c r="D1189" t="s">
        <v>208</v>
      </c>
      <c r="F1189" t="s">
        <v>670</v>
      </c>
      <c r="G1189" t="s">
        <v>8445</v>
      </c>
      <c r="H1189" t="s">
        <v>9881</v>
      </c>
      <c r="I1189">
        <v>65</v>
      </c>
      <c r="J1189" t="s">
        <v>1643</v>
      </c>
      <c r="K1189">
        <v>10040</v>
      </c>
      <c r="L1189" t="s">
        <v>1670</v>
      </c>
      <c r="M1189" t="s">
        <v>1670</v>
      </c>
      <c r="P1189" t="s">
        <v>1958</v>
      </c>
      <c r="R1189" t="s">
        <v>50</v>
      </c>
      <c r="S1189" t="s">
        <v>1671</v>
      </c>
      <c r="U1189" t="s">
        <v>1972</v>
      </c>
      <c r="W1189" t="s">
        <v>208</v>
      </c>
      <c r="X1189">
        <v>167</v>
      </c>
      <c r="Y1189" t="s">
        <v>2008</v>
      </c>
      <c r="Z1189" t="s">
        <v>2013</v>
      </c>
      <c r="AB1189" t="s">
        <v>13887</v>
      </c>
      <c r="AD1189" t="s">
        <v>16322</v>
      </c>
      <c r="AE1189">
        <v>42</v>
      </c>
      <c r="AF1189" t="s">
        <v>2902</v>
      </c>
      <c r="AG1189" t="s">
        <v>1754</v>
      </c>
      <c r="AH1189">
        <v>40</v>
      </c>
      <c r="AI1189">
        <v>1</v>
      </c>
      <c r="AJ1189">
        <v>0</v>
      </c>
      <c r="AK1189">
        <v>20.85</v>
      </c>
      <c r="AN1189" t="s">
        <v>2926</v>
      </c>
      <c r="AO1189">
        <v>2604</v>
      </c>
      <c r="AU1189">
        <v>2.1</v>
      </c>
      <c r="AV1189" t="s">
        <v>405</v>
      </c>
      <c r="AW1189" t="s">
        <v>3042</v>
      </c>
      <c r="AX1189" t="s">
        <v>18685</v>
      </c>
    </row>
    <row r="1190" spans="1:50">
      <c r="A1190" s="1" t="s">
        <v>107</v>
      </c>
      <c r="B1190" t="s">
        <v>164</v>
      </c>
      <c r="C1190" t="s">
        <v>4400</v>
      </c>
      <c r="D1190" t="s">
        <v>288</v>
      </c>
      <c r="E1190" t="s">
        <v>170</v>
      </c>
      <c r="F1190" t="s">
        <v>7218</v>
      </c>
      <c r="G1190" t="s">
        <v>843</v>
      </c>
      <c r="H1190" t="s">
        <v>9728</v>
      </c>
      <c r="I1190" t="s">
        <v>1602</v>
      </c>
      <c r="J1190" t="s">
        <v>1644</v>
      </c>
      <c r="K1190">
        <v>11207</v>
      </c>
      <c r="L1190" t="s">
        <v>1670</v>
      </c>
      <c r="M1190" t="s">
        <v>1670</v>
      </c>
      <c r="N1190" t="s">
        <v>12036</v>
      </c>
      <c r="O1190" t="s">
        <v>1950</v>
      </c>
      <c r="P1190" t="s">
        <v>1961</v>
      </c>
      <c r="Q1190" t="s">
        <v>1967</v>
      </c>
      <c r="R1190" t="s">
        <v>50</v>
      </c>
      <c r="U1190" t="s">
        <v>1972</v>
      </c>
      <c r="V1190" t="s">
        <v>1987</v>
      </c>
      <c r="W1190" t="s">
        <v>187</v>
      </c>
      <c r="X1190">
        <v>1136.48</v>
      </c>
      <c r="Y1190" t="s">
        <v>2009</v>
      </c>
      <c r="Z1190" t="s">
        <v>2017</v>
      </c>
      <c r="AA1190" t="s">
        <v>2030</v>
      </c>
      <c r="AB1190" t="s">
        <v>13702</v>
      </c>
      <c r="AC1190" t="s">
        <v>15093</v>
      </c>
      <c r="AD1190" t="s">
        <v>16174</v>
      </c>
      <c r="AE1190">
        <v>542</v>
      </c>
      <c r="AF1190" t="s">
        <v>2902</v>
      </c>
      <c r="AG1190" t="s">
        <v>1754</v>
      </c>
      <c r="AH1190">
        <v>34</v>
      </c>
      <c r="AI1190">
        <v>2</v>
      </c>
      <c r="AJ1190">
        <v>0</v>
      </c>
      <c r="AK1190">
        <v>21.14</v>
      </c>
      <c r="AN1190" t="s">
        <v>2926</v>
      </c>
      <c r="AO1190">
        <v>3480</v>
      </c>
      <c r="AP1190" t="s">
        <v>18258</v>
      </c>
      <c r="AU1190">
        <v>2.25</v>
      </c>
      <c r="AV1190" t="s">
        <v>170</v>
      </c>
      <c r="AW1190" t="s">
        <v>3060</v>
      </c>
      <c r="AX1190" t="s">
        <v>18685</v>
      </c>
    </row>
    <row r="1191" spans="1:50">
      <c r="A1191" s="1" t="s">
        <v>107</v>
      </c>
      <c r="B1191" t="s">
        <v>163</v>
      </c>
      <c r="C1191" t="s">
        <v>4401</v>
      </c>
      <c r="D1191" t="s">
        <v>2005</v>
      </c>
      <c r="F1191" t="s">
        <v>7218</v>
      </c>
      <c r="G1191" t="s">
        <v>843</v>
      </c>
      <c r="H1191" t="s">
        <v>9728</v>
      </c>
      <c r="I1191" t="s">
        <v>1602</v>
      </c>
      <c r="J1191" t="s">
        <v>1644</v>
      </c>
      <c r="K1191">
        <v>11207</v>
      </c>
      <c r="L1191" t="s">
        <v>1670</v>
      </c>
      <c r="M1191" t="s">
        <v>1670</v>
      </c>
      <c r="N1191" t="s">
        <v>12147</v>
      </c>
      <c r="O1191" t="s">
        <v>1936</v>
      </c>
      <c r="P1191" t="s">
        <v>1960</v>
      </c>
      <c r="R1191" t="s">
        <v>50</v>
      </c>
      <c r="S1191" t="s">
        <v>1671</v>
      </c>
      <c r="U1191" t="s">
        <v>1972</v>
      </c>
      <c r="V1191" t="s">
        <v>1984</v>
      </c>
      <c r="W1191" t="s">
        <v>261</v>
      </c>
      <c r="X1191">
        <v>1136.48</v>
      </c>
      <c r="Y1191" t="s">
        <v>2009</v>
      </c>
      <c r="Z1191" t="s">
        <v>2017</v>
      </c>
      <c r="AB1191" t="s">
        <v>13702</v>
      </c>
      <c r="AC1191" t="s">
        <v>15093</v>
      </c>
      <c r="AD1191" t="s">
        <v>16174</v>
      </c>
      <c r="AE1191">
        <v>542</v>
      </c>
      <c r="AF1191" t="s">
        <v>2902</v>
      </c>
      <c r="AG1191" t="s">
        <v>1754</v>
      </c>
      <c r="AH1191">
        <v>34</v>
      </c>
      <c r="AI1191">
        <v>2</v>
      </c>
      <c r="AJ1191">
        <v>0</v>
      </c>
      <c r="AK1191">
        <v>21.14</v>
      </c>
      <c r="AN1191" t="s">
        <v>2926</v>
      </c>
      <c r="AO1191">
        <v>3480</v>
      </c>
      <c r="AU1191">
        <v>7.5</v>
      </c>
      <c r="AV1191" t="s">
        <v>330</v>
      </c>
      <c r="AW1191" t="s">
        <v>3060</v>
      </c>
    </row>
    <row r="1192" spans="1:50">
      <c r="A1192" s="1" t="s">
        <v>52</v>
      </c>
      <c r="B1192" t="s">
        <v>164</v>
      </c>
      <c r="C1192" t="s">
        <v>4402</v>
      </c>
      <c r="D1192" t="s">
        <v>278</v>
      </c>
      <c r="E1192" t="s">
        <v>304</v>
      </c>
      <c r="F1192" t="s">
        <v>578</v>
      </c>
      <c r="G1192" t="s">
        <v>8446</v>
      </c>
      <c r="H1192" t="s">
        <v>9882</v>
      </c>
      <c r="I1192" t="s">
        <v>1519</v>
      </c>
      <c r="J1192" t="s">
        <v>1641</v>
      </c>
      <c r="K1192">
        <v>10459</v>
      </c>
      <c r="L1192" t="s">
        <v>1670</v>
      </c>
      <c r="M1192" t="s">
        <v>1670</v>
      </c>
      <c r="N1192" t="s">
        <v>12148</v>
      </c>
      <c r="O1192" t="s">
        <v>1936</v>
      </c>
      <c r="P1192" t="s">
        <v>1960</v>
      </c>
      <c r="Q1192" t="s">
        <v>1969</v>
      </c>
      <c r="R1192" t="s">
        <v>50</v>
      </c>
      <c r="U1192" t="s">
        <v>1972</v>
      </c>
      <c r="V1192" t="s">
        <v>1985</v>
      </c>
      <c r="W1192" t="s">
        <v>278</v>
      </c>
      <c r="X1192">
        <v>1244</v>
      </c>
      <c r="Y1192" t="s">
        <v>2006</v>
      </c>
      <c r="Z1192" t="s">
        <v>2017</v>
      </c>
      <c r="AA1192" t="s">
        <v>2032</v>
      </c>
      <c r="AB1192" t="s">
        <v>13888</v>
      </c>
      <c r="AC1192" t="s">
        <v>15129</v>
      </c>
      <c r="AD1192" t="s">
        <v>16323</v>
      </c>
      <c r="AE1192">
        <v>64</v>
      </c>
      <c r="AF1192" t="s">
        <v>2902</v>
      </c>
      <c r="AG1192" t="s">
        <v>2915</v>
      </c>
      <c r="AH1192">
        <v>10</v>
      </c>
      <c r="AI1192">
        <v>2</v>
      </c>
      <c r="AJ1192">
        <v>0</v>
      </c>
      <c r="AK1192">
        <v>21.22</v>
      </c>
      <c r="AN1192" t="s">
        <v>2926</v>
      </c>
      <c r="AO1192">
        <v>3492</v>
      </c>
      <c r="AP1192" t="s">
        <v>18259</v>
      </c>
      <c r="AR1192" t="s">
        <v>18464</v>
      </c>
      <c r="AS1192" t="s">
        <v>2992</v>
      </c>
      <c r="AT1192" t="s">
        <v>18537</v>
      </c>
      <c r="AU1192">
        <v>6</v>
      </c>
      <c r="AV1192" t="s">
        <v>407</v>
      </c>
      <c r="AW1192" t="s">
        <v>3078</v>
      </c>
    </row>
    <row r="1193" spans="1:50">
      <c r="A1193" s="1" t="s">
        <v>91</v>
      </c>
      <c r="B1193" t="s">
        <v>163</v>
      </c>
      <c r="C1193" t="s">
        <v>4403</v>
      </c>
      <c r="D1193" t="s">
        <v>209</v>
      </c>
      <c r="F1193" t="s">
        <v>6837</v>
      </c>
      <c r="G1193" t="s">
        <v>8447</v>
      </c>
      <c r="H1193" t="s">
        <v>9883</v>
      </c>
      <c r="I1193" t="s">
        <v>1489</v>
      </c>
      <c r="J1193" t="s">
        <v>1643</v>
      </c>
      <c r="K1193">
        <v>10032</v>
      </c>
      <c r="L1193" t="s">
        <v>1670</v>
      </c>
      <c r="M1193" t="s">
        <v>1670</v>
      </c>
      <c r="O1193" t="s">
        <v>1936</v>
      </c>
      <c r="P1193" t="s">
        <v>1960</v>
      </c>
      <c r="R1193" t="s">
        <v>50</v>
      </c>
      <c r="S1193" t="s">
        <v>1671</v>
      </c>
      <c r="U1193" t="s">
        <v>1972</v>
      </c>
      <c r="W1193" t="s">
        <v>209</v>
      </c>
      <c r="X1193">
        <v>1258.6</v>
      </c>
      <c r="Y1193" t="s">
        <v>2008</v>
      </c>
      <c r="Z1193" t="s">
        <v>2014</v>
      </c>
      <c r="AB1193" t="s">
        <v>13889</v>
      </c>
      <c r="AD1193" t="s">
        <v>16324</v>
      </c>
      <c r="AE1193" t="s">
        <v>13051</v>
      </c>
      <c r="AF1193" t="s">
        <v>2902</v>
      </c>
      <c r="AG1193" t="s">
        <v>1754</v>
      </c>
      <c r="AH1193">
        <v>39</v>
      </c>
      <c r="AI1193">
        <v>1</v>
      </c>
      <c r="AJ1193">
        <v>0</v>
      </c>
      <c r="AK1193">
        <v>21.25</v>
      </c>
      <c r="AN1193" t="s">
        <v>2926</v>
      </c>
      <c r="AO1193">
        <v>2580</v>
      </c>
      <c r="AU1193">
        <v>53.4</v>
      </c>
      <c r="AV1193" t="s">
        <v>3030</v>
      </c>
      <c r="AW1193" t="s">
        <v>3042</v>
      </c>
    </row>
    <row r="1194" spans="1:50">
      <c r="A1194" s="1" t="s">
        <v>62</v>
      </c>
      <c r="B1194" t="s">
        <v>163</v>
      </c>
      <c r="C1194" t="s">
        <v>4404</v>
      </c>
      <c r="D1194" t="s">
        <v>6135</v>
      </c>
      <c r="F1194" t="s">
        <v>427</v>
      </c>
      <c r="G1194" t="s">
        <v>8448</v>
      </c>
      <c r="H1194" t="s">
        <v>9451</v>
      </c>
      <c r="I1194" t="s">
        <v>11183</v>
      </c>
      <c r="J1194" t="s">
        <v>1644</v>
      </c>
      <c r="K1194">
        <v>11225</v>
      </c>
      <c r="L1194" t="s">
        <v>1671</v>
      </c>
      <c r="M1194" t="s">
        <v>1672</v>
      </c>
      <c r="O1194" t="s">
        <v>1939</v>
      </c>
      <c r="P1194" t="s">
        <v>1960</v>
      </c>
      <c r="R1194" t="s">
        <v>50</v>
      </c>
      <c r="S1194" t="s">
        <v>1670</v>
      </c>
      <c r="T1194" t="s">
        <v>13026</v>
      </c>
      <c r="U1194" t="s">
        <v>1972</v>
      </c>
      <c r="W1194" t="s">
        <v>13036</v>
      </c>
      <c r="X1194">
        <v>1078</v>
      </c>
      <c r="Y1194" t="s">
        <v>2009</v>
      </c>
      <c r="Z1194" t="s">
        <v>2015</v>
      </c>
      <c r="AB1194" t="s">
        <v>13890</v>
      </c>
      <c r="AD1194" t="s">
        <v>16325</v>
      </c>
      <c r="AE1194">
        <v>42</v>
      </c>
      <c r="AF1194" t="s">
        <v>2902</v>
      </c>
      <c r="AH1194">
        <v>21</v>
      </c>
      <c r="AI1194">
        <v>2</v>
      </c>
      <c r="AJ1194">
        <v>0</v>
      </c>
      <c r="AK1194">
        <v>21.5</v>
      </c>
      <c r="AN1194" t="s">
        <v>2927</v>
      </c>
      <c r="AO1194">
        <v>3492</v>
      </c>
      <c r="AU1194">
        <v>0.7</v>
      </c>
      <c r="AV1194" t="s">
        <v>6213</v>
      </c>
      <c r="AW1194" t="s">
        <v>3079</v>
      </c>
    </row>
    <row r="1195" spans="1:50">
      <c r="A1195" s="1" t="s">
        <v>156</v>
      </c>
      <c r="B1195" t="s">
        <v>164</v>
      </c>
      <c r="C1195" t="s">
        <v>4405</v>
      </c>
      <c r="D1195" t="s">
        <v>305</v>
      </c>
      <c r="E1195" t="s">
        <v>242</v>
      </c>
      <c r="F1195" t="s">
        <v>6956</v>
      </c>
      <c r="G1195" t="s">
        <v>8449</v>
      </c>
      <c r="H1195" t="s">
        <v>9884</v>
      </c>
      <c r="J1195" t="s">
        <v>1644</v>
      </c>
      <c r="K1195">
        <v>11233</v>
      </c>
      <c r="L1195" t="s">
        <v>1670</v>
      </c>
      <c r="M1195" t="s">
        <v>1670</v>
      </c>
      <c r="N1195" t="s">
        <v>12149</v>
      </c>
      <c r="O1195" t="s">
        <v>1940</v>
      </c>
      <c r="P1195" t="s">
        <v>1958</v>
      </c>
      <c r="Q1195" t="s">
        <v>1965</v>
      </c>
      <c r="R1195" t="s">
        <v>50</v>
      </c>
      <c r="S1195" t="s">
        <v>1671</v>
      </c>
      <c r="U1195" t="s">
        <v>1972</v>
      </c>
      <c r="W1195" t="s">
        <v>207</v>
      </c>
      <c r="X1195" t="s">
        <v>13051</v>
      </c>
      <c r="Y1195" t="s">
        <v>2009</v>
      </c>
      <c r="Z1195" t="s">
        <v>2018</v>
      </c>
      <c r="AA1195" t="s">
        <v>2034</v>
      </c>
      <c r="AB1195" t="s">
        <v>13891</v>
      </c>
      <c r="AD1195" t="s">
        <v>16326</v>
      </c>
      <c r="AE1195">
        <v>3</v>
      </c>
      <c r="AG1195" t="s">
        <v>1754</v>
      </c>
      <c r="AH1195">
        <v>5</v>
      </c>
      <c r="AI1195">
        <v>1</v>
      </c>
      <c r="AJ1195">
        <v>0</v>
      </c>
      <c r="AK1195">
        <v>21.75</v>
      </c>
      <c r="AN1195" t="s">
        <v>2926</v>
      </c>
      <c r="AO1195">
        <v>2640</v>
      </c>
      <c r="AR1195" t="s">
        <v>2017</v>
      </c>
      <c r="AS1195" t="s">
        <v>2993</v>
      </c>
      <c r="AT1195" t="s">
        <v>18538</v>
      </c>
      <c r="AU1195">
        <v>1.9</v>
      </c>
      <c r="AV1195" t="s">
        <v>194</v>
      </c>
      <c r="AW1195" t="s">
        <v>3074</v>
      </c>
    </row>
    <row r="1196" spans="1:50">
      <c r="A1196" s="1" t="s">
        <v>111</v>
      </c>
      <c r="B1196" t="s">
        <v>163</v>
      </c>
      <c r="C1196" t="s">
        <v>4406</v>
      </c>
      <c r="D1196" t="s">
        <v>2001</v>
      </c>
      <c r="F1196" t="s">
        <v>7338</v>
      </c>
      <c r="G1196" t="s">
        <v>8450</v>
      </c>
      <c r="H1196" t="s">
        <v>9885</v>
      </c>
      <c r="I1196" t="s">
        <v>1539</v>
      </c>
      <c r="J1196" t="s">
        <v>1641</v>
      </c>
      <c r="K1196">
        <v>10453</v>
      </c>
      <c r="L1196" t="s">
        <v>1670</v>
      </c>
      <c r="M1196" t="s">
        <v>1670</v>
      </c>
      <c r="N1196" t="s">
        <v>12150</v>
      </c>
      <c r="P1196" t="s">
        <v>1959</v>
      </c>
      <c r="R1196" t="s">
        <v>51</v>
      </c>
      <c r="S1196" t="s">
        <v>1671</v>
      </c>
      <c r="U1196" t="s">
        <v>1972</v>
      </c>
      <c r="W1196" t="s">
        <v>1991</v>
      </c>
      <c r="X1196">
        <v>1537</v>
      </c>
      <c r="Y1196" t="s">
        <v>2006</v>
      </c>
      <c r="Z1196" t="s">
        <v>2012</v>
      </c>
      <c r="AB1196" t="s">
        <v>13892</v>
      </c>
      <c r="AD1196" t="s">
        <v>16327</v>
      </c>
      <c r="AE1196" t="s">
        <v>13051</v>
      </c>
      <c r="AF1196" t="s">
        <v>2902</v>
      </c>
      <c r="AG1196" t="s">
        <v>2915</v>
      </c>
      <c r="AH1196">
        <v>2</v>
      </c>
      <c r="AI1196">
        <v>2</v>
      </c>
      <c r="AJ1196">
        <v>0</v>
      </c>
      <c r="AK1196">
        <v>21.79</v>
      </c>
      <c r="AL1196" t="s">
        <v>2923</v>
      </c>
      <c r="AM1196" t="s">
        <v>2924</v>
      </c>
      <c r="AN1196" t="s">
        <v>2927</v>
      </c>
      <c r="AO1196">
        <v>3684</v>
      </c>
      <c r="AP1196" t="s">
        <v>18158</v>
      </c>
      <c r="AU1196">
        <v>14.05</v>
      </c>
      <c r="AV1196" t="s">
        <v>3030</v>
      </c>
      <c r="AW1196" t="s">
        <v>3047</v>
      </c>
    </row>
    <row r="1197" spans="1:50">
      <c r="A1197" s="1" t="s">
        <v>93</v>
      </c>
      <c r="B1197" t="s">
        <v>163</v>
      </c>
      <c r="C1197" t="s">
        <v>4407</v>
      </c>
      <c r="D1197" t="s">
        <v>409</v>
      </c>
      <c r="F1197" t="s">
        <v>7339</v>
      </c>
      <c r="G1197" t="s">
        <v>8451</v>
      </c>
      <c r="H1197" t="s">
        <v>9886</v>
      </c>
      <c r="J1197" t="s">
        <v>1647</v>
      </c>
      <c r="K1197">
        <v>11436</v>
      </c>
      <c r="L1197" t="s">
        <v>1670</v>
      </c>
      <c r="M1197" t="s">
        <v>1672</v>
      </c>
      <c r="N1197" t="s">
        <v>12151</v>
      </c>
      <c r="O1197" t="s">
        <v>1940</v>
      </c>
      <c r="P1197" t="s">
        <v>1963</v>
      </c>
      <c r="R1197" t="s">
        <v>50</v>
      </c>
      <c r="U1197" t="s">
        <v>1972</v>
      </c>
      <c r="W1197" t="s">
        <v>409</v>
      </c>
      <c r="X1197">
        <v>900</v>
      </c>
      <c r="Y1197" t="s">
        <v>2007</v>
      </c>
      <c r="Z1197" t="s">
        <v>2014</v>
      </c>
      <c r="AB1197" t="s">
        <v>13893</v>
      </c>
      <c r="AD1197" t="s">
        <v>16328</v>
      </c>
      <c r="AE1197" t="s">
        <v>13051</v>
      </c>
      <c r="AH1197">
        <v>1</v>
      </c>
      <c r="AI1197">
        <v>1</v>
      </c>
      <c r="AJ1197">
        <v>0</v>
      </c>
      <c r="AK1197">
        <v>22.1</v>
      </c>
      <c r="AN1197" t="s">
        <v>2926</v>
      </c>
      <c r="AO1197">
        <v>2760</v>
      </c>
      <c r="AU1197">
        <v>1.3</v>
      </c>
      <c r="AV1197" t="s">
        <v>400</v>
      </c>
      <c r="AW1197" t="s">
        <v>3073</v>
      </c>
    </row>
    <row r="1198" spans="1:50">
      <c r="A1198" s="1" t="s">
        <v>99</v>
      </c>
      <c r="B1198" t="s">
        <v>164</v>
      </c>
      <c r="C1198" t="s">
        <v>4408</v>
      </c>
      <c r="D1198" t="s">
        <v>320</v>
      </c>
      <c r="E1198" t="s">
        <v>208</v>
      </c>
      <c r="F1198" t="s">
        <v>7340</v>
      </c>
      <c r="G1198" t="s">
        <v>8452</v>
      </c>
      <c r="H1198" t="s">
        <v>9887</v>
      </c>
      <c r="I1198" t="s">
        <v>1628</v>
      </c>
      <c r="J1198" t="s">
        <v>1668</v>
      </c>
      <c r="K1198">
        <v>11355</v>
      </c>
      <c r="L1198" t="s">
        <v>1670</v>
      </c>
      <c r="M1198" t="s">
        <v>1670</v>
      </c>
      <c r="N1198" t="s">
        <v>1691</v>
      </c>
      <c r="O1198" t="s">
        <v>1675</v>
      </c>
      <c r="P1198" t="s">
        <v>1962</v>
      </c>
      <c r="Q1198" t="s">
        <v>1968</v>
      </c>
      <c r="R1198" t="s">
        <v>50</v>
      </c>
      <c r="S1198" t="s">
        <v>1671</v>
      </c>
      <c r="U1198" t="s">
        <v>1972</v>
      </c>
      <c r="V1198" t="s">
        <v>1984</v>
      </c>
      <c r="W1198" t="s">
        <v>320</v>
      </c>
      <c r="X1198">
        <v>1675</v>
      </c>
      <c r="Y1198" t="s">
        <v>2007</v>
      </c>
      <c r="Z1198" t="s">
        <v>2028</v>
      </c>
      <c r="AA1198" t="s">
        <v>2029</v>
      </c>
      <c r="AB1198" t="s">
        <v>13894</v>
      </c>
      <c r="AC1198" t="s">
        <v>15130</v>
      </c>
      <c r="AD1198" t="s">
        <v>16329</v>
      </c>
      <c r="AE1198">
        <v>150</v>
      </c>
      <c r="AF1198" t="s">
        <v>2903</v>
      </c>
      <c r="AG1198" t="s">
        <v>1754</v>
      </c>
      <c r="AH1198">
        <v>12</v>
      </c>
      <c r="AI1198">
        <v>1</v>
      </c>
      <c r="AJ1198">
        <v>0</v>
      </c>
      <c r="AK1198">
        <v>22.38</v>
      </c>
      <c r="AN1198" t="s">
        <v>2933</v>
      </c>
      <c r="AO1198">
        <v>2795</v>
      </c>
      <c r="AU1198">
        <v>2.68</v>
      </c>
      <c r="AV1198" t="s">
        <v>210</v>
      </c>
      <c r="AW1198" t="s">
        <v>99</v>
      </c>
    </row>
    <row r="1199" spans="1:50">
      <c r="A1199" s="1" t="s">
        <v>101</v>
      </c>
      <c r="B1199" t="s">
        <v>163</v>
      </c>
      <c r="C1199" t="s">
        <v>4409</v>
      </c>
      <c r="D1199" t="s">
        <v>335</v>
      </c>
      <c r="F1199" t="s">
        <v>7110</v>
      </c>
      <c r="G1199" t="s">
        <v>8453</v>
      </c>
      <c r="H1199" t="s">
        <v>9879</v>
      </c>
      <c r="I1199" t="s">
        <v>10967</v>
      </c>
      <c r="J1199" t="s">
        <v>1643</v>
      </c>
      <c r="K1199">
        <v>10031</v>
      </c>
      <c r="L1199" t="s">
        <v>1670</v>
      </c>
      <c r="M1199" t="s">
        <v>1670</v>
      </c>
      <c r="N1199" t="s">
        <v>12152</v>
      </c>
      <c r="O1199" t="s">
        <v>1939</v>
      </c>
      <c r="P1199" t="s">
        <v>1960</v>
      </c>
      <c r="R1199" t="s">
        <v>50</v>
      </c>
      <c r="S1199" t="s">
        <v>1670</v>
      </c>
      <c r="U1199" t="s">
        <v>1972</v>
      </c>
      <c r="V1199" t="s">
        <v>1984</v>
      </c>
      <c r="W1199" t="s">
        <v>311</v>
      </c>
      <c r="X1199">
        <v>457</v>
      </c>
      <c r="Y1199" t="s">
        <v>2008</v>
      </c>
      <c r="Z1199" t="s">
        <v>2016</v>
      </c>
      <c r="AB1199" t="s">
        <v>13895</v>
      </c>
      <c r="AD1199" t="s">
        <v>16330</v>
      </c>
      <c r="AE1199">
        <v>44</v>
      </c>
      <c r="AF1199" t="s">
        <v>2902</v>
      </c>
      <c r="AG1199" t="s">
        <v>2915</v>
      </c>
      <c r="AH1199">
        <v>14</v>
      </c>
      <c r="AI1199">
        <v>2</v>
      </c>
      <c r="AJ1199">
        <v>0</v>
      </c>
      <c r="AK1199">
        <v>22.38</v>
      </c>
      <c r="AN1199" t="s">
        <v>2926</v>
      </c>
      <c r="AO1199">
        <v>3684</v>
      </c>
      <c r="AU1199">
        <v>0.25</v>
      </c>
      <c r="AV1199" t="s">
        <v>178</v>
      </c>
      <c r="AW1199" t="s">
        <v>3051</v>
      </c>
    </row>
    <row r="1200" spans="1:50">
      <c r="A1200" s="1" t="s">
        <v>96</v>
      </c>
      <c r="B1200" t="s">
        <v>163</v>
      </c>
      <c r="C1200" t="s">
        <v>4410</v>
      </c>
      <c r="D1200" t="s">
        <v>208</v>
      </c>
      <c r="F1200" t="s">
        <v>7341</v>
      </c>
      <c r="G1200" t="s">
        <v>8454</v>
      </c>
      <c r="H1200" t="s">
        <v>9888</v>
      </c>
      <c r="I1200" t="s">
        <v>11184</v>
      </c>
      <c r="J1200" t="s">
        <v>1644</v>
      </c>
      <c r="K1200">
        <v>11226</v>
      </c>
      <c r="L1200" t="s">
        <v>1670</v>
      </c>
      <c r="M1200" t="s">
        <v>1672</v>
      </c>
      <c r="O1200" t="s">
        <v>1675</v>
      </c>
      <c r="P1200" t="s">
        <v>1959</v>
      </c>
      <c r="R1200" t="s">
        <v>50</v>
      </c>
      <c r="S1200" t="s">
        <v>1671</v>
      </c>
      <c r="U1200" t="s">
        <v>1972</v>
      </c>
      <c r="W1200" t="s">
        <v>191</v>
      </c>
      <c r="X1200">
        <v>1158.36</v>
      </c>
      <c r="Y1200" t="s">
        <v>2009</v>
      </c>
      <c r="AB1200" t="s">
        <v>13896</v>
      </c>
      <c r="AD1200" t="s">
        <v>16331</v>
      </c>
      <c r="AE1200">
        <v>80</v>
      </c>
      <c r="AF1200" t="s">
        <v>2902</v>
      </c>
      <c r="AH1200">
        <v>25</v>
      </c>
      <c r="AI1200">
        <v>3</v>
      </c>
      <c r="AJ1200">
        <v>0</v>
      </c>
      <c r="AK1200">
        <v>22.62</v>
      </c>
      <c r="AO1200">
        <v>4824</v>
      </c>
      <c r="AU1200">
        <v>24</v>
      </c>
      <c r="AV1200" t="s">
        <v>289</v>
      </c>
      <c r="AW1200" t="s">
        <v>3196</v>
      </c>
      <c r="AX1200" t="s">
        <v>18685</v>
      </c>
    </row>
    <row r="1201" spans="1:50">
      <c r="A1201" s="1" t="s">
        <v>52</v>
      </c>
      <c r="B1201" t="s">
        <v>164</v>
      </c>
      <c r="C1201" t="s">
        <v>4411</v>
      </c>
      <c r="D1201" t="s">
        <v>187</v>
      </c>
      <c r="E1201" t="s">
        <v>383</v>
      </c>
      <c r="F1201" t="s">
        <v>7342</v>
      </c>
      <c r="G1201" t="s">
        <v>8455</v>
      </c>
      <c r="H1201" t="s">
        <v>1136</v>
      </c>
      <c r="I1201" t="s">
        <v>1519</v>
      </c>
      <c r="J1201" t="s">
        <v>1641</v>
      </c>
      <c r="K1201">
        <v>10457</v>
      </c>
      <c r="L1201" t="s">
        <v>1670</v>
      </c>
      <c r="M1201" t="s">
        <v>1670</v>
      </c>
      <c r="O1201" t="s">
        <v>1939</v>
      </c>
      <c r="P1201" t="s">
        <v>1958</v>
      </c>
      <c r="Q1201" t="s">
        <v>1965</v>
      </c>
      <c r="R1201" t="s">
        <v>50</v>
      </c>
      <c r="S1201" t="s">
        <v>1670</v>
      </c>
      <c r="U1201" t="s">
        <v>1972</v>
      </c>
      <c r="W1201" t="s">
        <v>359</v>
      </c>
      <c r="X1201">
        <v>1158</v>
      </c>
      <c r="Y1201" t="s">
        <v>2006</v>
      </c>
      <c r="Z1201" t="s">
        <v>2015</v>
      </c>
      <c r="AA1201" t="s">
        <v>2029</v>
      </c>
      <c r="AB1201" t="s">
        <v>13870</v>
      </c>
      <c r="AD1201" t="s">
        <v>16332</v>
      </c>
      <c r="AE1201">
        <v>47</v>
      </c>
      <c r="AF1201" t="s">
        <v>2902</v>
      </c>
      <c r="AG1201" t="s">
        <v>1754</v>
      </c>
      <c r="AH1201">
        <v>9</v>
      </c>
      <c r="AI1201">
        <v>1</v>
      </c>
      <c r="AJ1201">
        <v>0</v>
      </c>
      <c r="AK1201">
        <v>22.92</v>
      </c>
      <c r="AN1201" t="s">
        <v>2926</v>
      </c>
      <c r="AO1201">
        <v>2782</v>
      </c>
      <c r="AU1201">
        <v>0.5</v>
      </c>
      <c r="AV1201" t="s">
        <v>6186</v>
      </c>
      <c r="AW1201" t="s">
        <v>3046</v>
      </c>
    </row>
    <row r="1202" spans="1:50">
      <c r="A1202" s="1" t="s">
        <v>52</v>
      </c>
      <c r="B1202" t="s">
        <v>163</v>
      </c>
      <c r="C1202" t="s">
        <v>4412</v>
      </c>
      <c r="D1202" t="s">
        <v>187</v>
      </c>
      <c r="F1202" t="s">
        <v>7342</v>
      </c>
      <c r="G1202" t="s">
        <v>8455</v>
      </c>
      <c r="H1202" t="s">
        <v>1136</v>
      </c>
      <c r="I1202" t="s">
        <v>1519</v>
      </c>
      <c r="J1202" t="s">
        <v>1641</v>
      </c>
      <c r="K1202">
        <v>10457</v>
      </c>
      <c r="L1202" t="s">
        <v>1670</v>
      </c>
      <c r="M1202" t="s">
        <v>1670</v>
      </c>
      <c r="N1202" t="s">
        <v>1695</v>
      </c>
      <c r="O1202" t="s">
        <v>1938</v>
      </c>
      <c r="P1202" t="s">
        <v>1961</v>
      </c>
      <c r="R1202" t="s">
        <v>50</v>
      </c>
      <c r="S1202" t="s">
        <v>1670</v>
      </c>
      <c r="U1202" t="s">
        <v>1972</v>
      </c>
      <c r="W1202" t="s">
        <v>359</v>
      </c>
      <c r="X1202">
        <v>1158</v>
      </c>
      <c r="Y1202" t="s">
        <v>2006</v>
      </c>
      <c r="Z1202" t="s">
        <v>2015</v>
      </c>
      <c r="AB1202" t="s">
        <v>13870</v>
      </c>
      <c r="AD1202" t="s">
        <v>16332</v>
      </c>
      <c r="AE1202">
        <v>47</v>
      </c>
      <c r="AF1202" t="s">
        <v>2902</v>
      </c>
      <c r="AG1202" t="s">
        <v>1754</v>
      </c>
      <c r="AH1202">
        <v>9</v>
      </c>
      <c r="AI1202">
        <v>1</v>
      </c>
      <c r="AJ1202">
        <v>0</v>
      </c>
      <c r="AK1202">
        <v>22.92</v>
      </c>
      <c r="AN1202" t="s">
        <v>2926</v>
      </c>
      <c r="AO1202">
        <v>2782</v>
      </c>
      <c r="AU1202">
        <v>0.5</v>
      </c>
      <c r="AV1202" t="s">
        <v>6191</v>
      </c>
      <c r="AW1202" t="s">
        <v>3046</v>
      </c>
    </row>
    <row r="1203" spans="1:50">
      <c r="A1203" s="1" t="s">
        <v>91</v>
      </c>
      <c r="B1203" t="s">
        <v>164</v>
      </c>
      <c r="C1203" t="s">
        <v>4413</v>
      </c>
      <c r="D1203" t="s">
        <v>342</v>
      </c>
      <c r="E1203" t="s">
        <v>328</v>
      </c>
      <c r="F1203" t="s">
        <v>7343</v>
      </c>
      <c r="G1203" t="s">
        <v>8456</v>
      </c>
      <c r="H1203" t="s">
        <v>9889</v>
      </c>
      <c r="I1203" t="s">
        <v>1550</v>
      </c>
      <c r="J1203" t="s">
        <v>1643</v>
      </c>
      <c r="K1203">
        <v>10033</v>
      </c>
      <c r="L1203" t="s">
        <v>1670</v>
      </c>
      <c r="M1203" t="s">
        <v>1670</v>
      </c>
      <c r="P1203" t="s">
        <v>1958</v>
      </c>
      <c r="Q1203" t="s">
        <v>1965</v>
      </c>
      <c r="R1203" t="s">
        <v>51</v>
      </c>
      <c r="S1203" t="s">
        <v>1671</v>
      </c>
      <c r="U1203" t="s">
        <v>1972</v>
      </c>
      <c r="W1203" t="s">
        <v>342</v>
      </c>
      <c r="X1203" t="s">
        <v>13051</v>
      </c>
      <c r="Y1203" t="s">
        <v>2008</v>
      </c>
      <c r="Z1203" t="s">
        <v>2012</v>
      </c>
      <c r="AA1203" t="s">
        <v>2029</v>
      </c>
      <c r="AB1203" t="s">
        <v>13897</v>
      </c>
      <c r="AD1203" t="s">
        <v>16333</v>
      </c>
      <c r="AE1203" t="s">
        <v>13051</v>
      </c>
      <c r="AF1203" t="s">
        <v>2902</v>
      </c>
      <c r="AG1203" t="s">
        <v>1754</v>
      </c>
      <c r="AH1203">
        <v>1</v>
      </c>
      <c r="AI1203">
        <v>1</v>
      </c>
      <c r="AJ1203">
        <v>0</v>
      </c>
      <c r="AK1203">
        <v>23.77</v>
      </c>
      <c r="AL1203" t="s">
        <v>2923</v>
      </c>
      <c r="AM1203" t="s">
        <v>2924</v>
      </c>
      <c r="AN1203" t="s">
        <v>2926</v>
      </c>
      <c r="AO1203">
        <v>2886</v>
      </c>
      <c r="AU1203">
        <v>4.8</v>
      </c>
      <c r="AV1203" t="s">
        <v>395</v>
      </c>
      <c r="AW1203" t="s">
        <v>3042</v>
      </c>
      <c r="AX1203" t="s">
        <v>18685</v>
      </c>
    </row>
    <row r="1204" spans="1:50">
      <c r="A1204" s="1" t="s">
        <v>93</v>
      </c>
      <c r="B1204" t="s">
        <v>163</v>
      </c>
      <c r="C1204" t="s">
        <v>4414</v>
      </c>
      <c r="D1204" t="s">
        <v>185</v>
      </c>
      <c r="F1204" t="s">
        <v>720</v>
      </c>
      <c r="G1204" t="s">
        <v>8457</v>
      </c>
      <c r="H1204" t="s">
        <v>9890</v>
      </c>
      <c r="I1204" t="s">
        <v>1520</v>
      </c>
      <c r="J1204" t="s">
        <v>1645</v>
      </c>
      <c r="K1204">
        <v>11691</v>
      </c>
      <c r="L1204" t="s">
        <v>1670</v>
      </c>
      <c r="M1204" t="s">
        <v>1670</v>
      </c>
      <c r="N1204" t="s">
        <v>12153</v>
      </c>
      <c r="O1204" t="s">
        <v>1940</v>
      </c>
      <c r="P1204" t="s">
        <v>1960</v>
      </c>
      <c r="R1204" t="s">
        <v>50</v>
      </c>
      <c r="S1204" t="s">
        <v>1671</v>
      </c>
      <c r="U1204" t="s">
        <v>1972</v>
      </c>
      <c r="V1204" t="s">
        <v>1984</v>
      </c>
      <c r="W1204" t="s">
        <v>185</v>
      </c>
      <c r="X1204">
        <v>380</v>
      </c>
      <c r="Y1204" t="s">
        <v>2007</v>
      </c>
      <c r="Z1204" t="s">
        <v>2020</v>
      </c>
      <c r="AB1204" t="s">
        <v>13898</v>
      </c>
      <c r="AC1204" t="s">
        <v>15131</v>
      </c>
      <c r="AD1204" t="s">
        <v>16334</v>
      </c>
      <c r="AE1204">
        <v>231</v>
      </c>
      <c r="AF1204" t="s">
        <v>2906</v>
      </c>
      <c r="AG1204" t="s">
        <v>1754</v>
      </c>
      <c r="AH1204">
        <v>19</v>
      </c>
      <c r="AI1204">
        <v>3</v>
      </c>
      <c r="AJ1204">
        <v>0</v>
      </c>
      <c r="AK1204">
        <v>23.77</v>
      </c>
      <c r="AN1204" t="s">
        <v>2926</v>
      </c>
      <c r="AO1204">
        <v>4940</v>
      </c>
      <c r="AU1204">
        <v>17.76</v>
      </c>
      <c r="AV1204" t="s">
        <v>1994</v>
      </c>
      <c r="AW1204" t="s">
        <v>3044</v>
      </c>
    </row>
    <row r="1205" spans="1:50">
      <c r="A1205" s="1" t="s">
        <v>53</v>
      </c>
      <c r="B1205" t="s">
        <v>163</v>
      </c>
      <c r="C1205" t="s">
        <v>4415</v>
      </c>
      <c r="D1205" t="s">
        <v>3031</v>
      </c>
      <c r="F1205" t="s">
        <v>7344</v>
      </c>
      <c r="G1205" t="s">
        <v>8458</v>
      </c>
      <c r="H1205" t="s">
        <v>9891</v>
      </c>
      <c r="I1205" t="s">
        <v>11185</v>
      </c>
      <c r="J1205" t="s">
        <v>1645</v>
      </c>
      <c r="K1205">
        <v>11691</v>
      </c>
      <c r="L1205" t="s">
        <v>1670</v>
      </c>
      <c r="M1205" t="s">
        <v>1672</v>
      </c>
      <c r="N1205" t="s">
        <v>12154</v>
      </c>
      <c r="O1205" t="s">
        <v>1940</v>
      </c>
      <c r="P1205" t="s">
        <v>1962</v>
      </c>
      <c r="R1205" t="s">
        <v>50</v>
      </c>
      <c r="S1205" t="s">
        <v>1671</v>
      </c>
      <c r="U1205" t="s">
        <v>1972</v>
      </c>
      <c r="V1205" t="s">
        <v>1984</v>
      </c>
      <c r="W1205" t="s">
        <v>291</v>
      </c>
      <c r="X1205" t="s">
        <v>13051</v>
      </c>
      <c r="Y1205" t="s">
        <v>2007</v>
      </c>
      <c r="Z1205" t="s">
        <v>2011</v>
      </c>
      <c r="AB1205" t="s">
        <v>13899</v>
      </c>
      <c r="AD1205" t="s">
        <v>16335</v>
      </c>
      <c r="AE1205">
        <v>3</v>
      </c>
      <c r="AF1205" t="s">
        <v>2903</v>
      </c>
      <c r="AG1205" t="s">
        <v>1754</v>
      </c>
      <c r="AH1205">
        <v>4</v>
      </c>
      <c r="AI1205">
        <v>1</v>
      </c>
      <c r="AJ1205">
        <v>0</v>
      </c>
      <c r="AK1205">
        <v>24.02</v>
      </c>
      <c r="AN1205" t="s">
        <v>2926</v>
      </c>
      <c r="AO1205">
        <v>3000</v>
      </c>
      <c r="AR1205" t="s">
        <v>2017</v>
      </c>
      <c r="AS1205" t="s">
        <v>18484</v>
      </c>
      <c r="AT1205" t="s">
        <v>18539</v>
      </c>
      <c r="AU1205">
        <v>6</v>
      </c>
      <c r="AV1205" t="s">
        <v>272</v>
      </c>
      <c r="AW1205" t="s">
        <v>3058</v>
      </c>
      <c r="AX1205" t="s">
        <v>18685</v>
      </c>
    </row>
    <row r="1206" spans="1:50">
      <c r="A1206" s="1" t="s">
        <v>123</v>
      </c>
      <c r="B1206" t="s">
        <v>164</v>
      </c>
      <c r="C1206" t="s">
        <v>4416</v>
      </c>
      <c r="D1206" t="s">
        <v>323</v>
      </c>
      <c r="E1206" t="s">
        <v>359</v>
      </c>
      <c r="F1206" t="s">
        <v>6796</v>
      </c>
      <c r="G1206" t="s">
        <v>7918</v>
      </c>
      <c r="H1206" t="s">
        <v>9892</v>
      </c>
      <c r="I1206" t="s">
        <v>1525</v>
      </c>
      <c r="J1206" t="s">
        <v>1641</v>
      </c>
      <c r="K1206">
        <v>10452</v>
      </c>
      <c r="L1206" t="s">
        <v>1670</v>
      </c>
      <c r="M1206" t="s">
        <v>1670</v>
      </c>
      <c r="N1206" t="s">
        <v>12155</v>
      </c>
      <c r="O1206" t="s">
        <v>1939</v>
      </c>
      <c r="P1206" t="s">
        <v>1960</v>
      </c>
      <c r="Q1206" t="s">
        <v>1969</v>
      </c>
      <c r="R1206" t="s">
        <v>50</v>
      </c>
      <c r="S1206" t="s">
        <v>1671</v>
      </c>
      <c r="U1206" t="s">
        <v>1972</v>
      </c>
      <c r="W1206" t="s">
        <v>1992</v>
      </c>
      <c r="X1206">
        <v>530</v>
      </c>
      <c r="Y1206" t="s">
        <v>2006</v>
      </c>
      <c r="Z1206" t="s">
        <v>2020</v>
      </c>
      <c r="AA1206" t="s">
        <v>2031</v>
      </c>
      <c r="AB1206" t="s">
        <v>13900</v>
      </c>
      <c r="AC1206" t="s">
        <v>15132</v>
      </c>
      <c r="AD1206" t="s">
        <v>16336</v>
      </c>
      <c r="AE1206">
        <v>291</v>
      </c>
      <c r="AF1206" t="s">
        <v>2909</v>
      </c>
      <c r="AG1206" t="s">
        <v>2915</v>
      </c>
      <c r="AH1206">
        <v>13</v>
      </c>
      <c r="AI1206">
        <v>1</v>
      </c>
      <c r="AJ1206">
        <v>0</v>
      </c>
      <c r="AK1206">
        <v>24.71</v>
      </c>
      <c r="AN1206" t="s">
        <v>2926</v>
      </c>
      <c r="AO1206">
        <v>3000</v>
      </c>
      <c r="AQ1206" t="s">
        <v>2976</v>
      </c>
      <c r="AR1206" t="s">
        <v>18453</v>
      </c>
      <c r="AS1206" t="s">
        <v>2992</v>
      </c>
      <c r="AT1206" t="s">
        <v>18540</v>
      </c>
      <c r="AU1206">
        <v>14.1</v>
      </c>
      <c r="AV1206" t="s">
        <v>343</v>
      </c>
      <c r="AW1206" t="s">
        <v>76</v>
      </c>
    </row>
    <row r="1207" spans="1:50">
      <c r="A1207" s="1" t="s">
        <v>142</v>
      </c>
      <c r="B1207" t="s">
        <v>164</v>
      </c>
      <c r="C1207" t="s">
        <v>4417</v>
      </c>
      <c r="D1207" t="s">
        <v>170</v>
      </c>
      <c r="E1207" t="s">
        <v>326</v>
      </c>
      <c r="F1207" t="s">
        <v>1085</v>
      </c>
      <c r="G1207" t="s">
        <v>8070</v>
      </c>
      <c r="H1207" t="s">
        <v>9893</v>
      </c>
      <c r="I1207" t="s">
        <v>11101</v>
      </c>
      <c r="J1207" t="s">
        <v>1641</v>
      </c>
      <c r="K1207">
        <v>10452</v>
      </c>
      <c r="L1207" t="s">
        <v>1670</v>
      </c>
      <c r="M1207" t="s">
        <v>1672</v>
      </c>
      <c r="N1207" t="s">
        <v>12156</v>
      </c>
      <c r="O1207" t="s">
        <v>1940</v>
      </c>
      <c r="P1207" t="s">
        <v>1958</v>
      </c>
      <c r="Q1207" t="s">
        <v>1965</v>
      </c>
      <c r="R1207" t="s">
        <v>50</v>
      </c>
      <c r="S1207" t="s">
        <v>1671</v>
      </c>
      <c r="U1207" t="s">
        <v>1972</v>
      </c>
      <c r="V1207" t="s">
        <v>1984</v>
      </c>
      <c r="W1207" t="s">
        <v>1991</v>
      </c>
      <c r="X1207">
        <v>606.48</v>
      </c>
      <c r="Y1207" t="s">
        <v>2006</v>
      </c>
      <c r="Z1207" t="s">
        <v>2017</v>
      </c>
      <c r="AA1207" t="s">
        <v>2029</v>
      </c>
      <c r="AB1207" t="s">
        <v>13901</v>
      </c>
      <c r="AD1207" t="s">
        <v>16337</v>
      </c>
      <c r="AE1207">
        <v>25</v>
      </c>
      <c r="AF1207" t="s">
        <v>2902</v>
      </c>
      <c r="AG1207" t="s">
        <v>1754</v>
      </c>
      <c r="AH1207">
        <v>32</v>
      </c>
      <c r="AI1207">
        <v>2</v>
      </c>
      <c r="AJ1207">
        <v>0</v>
      </c>
      <c r="AK1207">
        <v>24.84</v>
      </c>
      <c r="AN1207" t="s">
        <v>2927</v>
      </c>
      <c r="AO1207">
        <v>4200</v>
      </c>
      <c r="AU1207">
        <v>8.26</v>
      </c>
      <c r="AV1207" t="s">
        <v>326</v>
      </c>
      <c r="AW1207" t="s">
        <v>3068</v>
      </c>
      <c r="AX1207" t="s">
        <v>18685</v>
      </c>
    </row>
    <row r="1208" spans="1:50">
      <c r="A1208" s="1" t="s">
        <v>119</v>
      </c>
      <c r="B1208" t="s">
        <v>164</v>
      </c>
      <c r="C1208" t="s">
        <v>4418</v>
      </c>
      <c r="D1208" t="s">
        <v>351</v>
      </c>
      <c r="E1208" t="s">
        <v>229</v>
      </c>
      <c r="F1208" t="s">
        <v>743</v>
      </c>
      <c r="G1208" t="s">
        <v>8459</v>
      </c>
      <c r="H1208" t="s">
        <v>9894</v>
      </c>
      <c r="I1208">
        <v>1</v>
      </c>
      <c r="J1208" t="s">
        <v>1644</v>
      </c>
      <c r="K1208">
        <v>11233</v>
      </c>
      <c r="L1208" t="s">
        <v>1670</v>
      </c>
      <c r="M1208" t="s">
        <v>1670</v>
      </c>
      <c r="N1208" t="s">
        <v>12157</v>
      </c>
      <c r="O1208" t="s">
        <v>1936</v>
      </c>
      <c r="P1208" t="s">
        <v>1958</v>
      </c>
      <c r="Q1208" t="s">
        <v>1965</v>
      </c>
      <c r="R1208" t="s">
        <v>50</v>
      </c>
      <c r="U1208" t="s">
        <v>1972</v>
      </c>
      <c r="W1208" t="s">
        <v>351</v>
      </c>
      <c r="X1208" t="s">
        <v>13051</v>
      </c>
      <c r="Y1208" t="s">
        <v>2009</v>
      </c>
      <c r="Z1208" t="s">
        <v>2017</v>
      </c>
      <c r="AA1208" t="s">
        <v>2029</v>
      </c>
      <c r="AB1208" t="s">
        <v>13902</v>
      </c>
      <c r="AD1208" t="s">
        <v>16338</v>
      </c>
      <c r="AE1208">
        <v>5</v>
      </c>
      <c r="AG1208" t="s">
        <v>2921</v>
      </c>
      <c r="AH1208">
        <v>3</v>
      </c>
      <c r="AI1208">
        <v>1</v>
      </c>
      <c r="AJ1208">
        <v>0</v>
      </c>
      <c r="AK1208">
        <v>25.8</v>
      </c>
      <c r="AN1208" t="s">
        <v>2926</v>
      </c>
      <c r="AO1208">
        <v>3132</v>
      </c>
      <c r="AU1208">
        <v>0.9</v>
      </c>
      <c r="AV1208" t="s">
        <v>351</v>
      </c>
      <c r="AW1208" t="s">
        <v>3069</v>
      </c>
    </row>
    <row r="1209" spans="1:50">
      <c r="A1209" s="1" t="s">
        <v>69</v>
      </c>
      <c r="B1209" t="s">
        <v>164</v>
      </c>
      <c r="C1209" t="s">
        <v>4419</v>
      </c>
      <c r="D1209" t="s">
        <v>308</v>
      </c>
      <c r="E1209" t="s">
        <v>385</v>
      </c>
      <c r="F1209" t="s">
        <v>530</v>
      </c>
      <c r="G1209" t="s">
        <v>8419</v>
      </c>
      <c r="H1209" t="s">
        <v>9529</v>
      </c>
      <c r="I1209" t="s">
        <v>1575</v>
      </c>
      <c r="J1209" t="s">
        <v>1644</v>
      </c>
      <c r="K1209">
        <v>11225</v>
      </c>
      <c r="L1209" t="s">
        <v>1670</v>
      </c>
      <c r="M1209" t="s">
        <v>1670</v>
      </c>
      <c r="O1209" t="s">
        <v>1937</v>
      </c>
      <c r="P1209" t="s">
        <v>1959</v>
      </c>
      <c r="Q1209" t="s">
        <v>1968</v>
      </c>
      <c r="R1209" t="s">
        <v>50</v>
      </c>
      <c r="U1209" t="s">
        <v>1972</v>
      </c>
      <c r="W1209" t="s">
        <v>308</v>
      </c>
      <c r="X1209">
        <v>1108.02</v>
      </c>
      <c r="Y1209" t="s">
        <v>2009</v>
      </c>
      <c r="Z1209" t="s">
        <v>2015</v>
      </c>
      <c r="AA1209" t="s">
        <v>2032</v>
      </c>
      <c r="AB1209" t="s">
        <v>13843</v>
      </c>
      <c r="AC1209" t="s">
        <v>15111</v>
      </c>
      <c r="AD1209" t="s">
        <v>16275</v>
      </c>
      <c r="AE1209">
        <v>14</v>
      </c>
      <c r="AF1209" t="s">
        <v>2902</v>
      </c>
      <c r="AH1209">
        <v>13</v>
      </c>
      <c r="AI1209">
        <v>1</v>
      </c>
      <c r="AJ1209">
        <v>0</v>
      </c>
      <c r="AK1209">
        <v>26.02</v>
      </c>
      <c r="AN1209" t="s">
        <v>2926</v>
      </c>
      <c r="AO1209">
        <v>3159.36</v>
      </c>
      <c r="AU1209">
        <v>3.6</v>
      </c>
      <c r="AV1209" t="s">
        <v>1995</v>
      </c>
      <c r="AW1209" t="s">
        <v>69</v>
      </c>
    </row>
    <row r="1210" spans="1:50">
      <c r="A1210" s="1" t="s">
        <v>65</v>
      </c>
      <c r="B1210" t="s">
        <v>163</v>
      </c>
      <c r="C1210" t="s">
        <v>4420</v>
      </c>
      <c r="D1210" t="s">
        <v>308</v>
      </c>
      <c r="F1210" t="s">
        <v>530</v>
      </c>
      <c r="G1210" t="s">
        <v>8419</v>
      </c>
      <c r="H1210" t="s">
        <v>9529</v>
      </c>
      <c r="I1210" t="s">
        <v>1575</v>
      </c>
      <c r="J1210" t="s">
        <v>1644</v>
      </c>
      <c r="K1210">
        <v>11225</v>
      </c>
      <c r="L1210" t="s">
        <v>1670</v>
      </c>
      <c r="M1210" t="s">
        <v>1670</v>
      </c>
      <c r="O1210" t="s">
        <v>1938</v>
      </c>
      <c r="P1210" t="s">
        <v>1961</v>
      </c>
      <c r="R1210" t="s">
        <v>50</v>
      </c>
      <c r="S1210" t="s">
        <v>1670</v>
      </c>
      <c r="U1210" t="s">
        <v>1972</v>
      </c>
      <c r="W1210" t="s">
        <v>308</v>
      </c>
      <c r="X1210">
        <v>1108.02</v>
      </c>
      <c r="Y1210" t="s">
        <v>2009</v>
      </c>
      <c r="Z1210" t="s">
        <v>2015</v>
      </c>
      <c r="AB1210" t="s">
        <v>13843</v>
      </c>
      <c r="AC1210" t="s">
        <v>15111</v>
      </c>
      <c r="AD1210" t="s">
        <v>16275</v>
      </c>
      <c r="AE1210">
        <v>14</v>
      </c>
      <c r="AF1210" t="s">
        <v>2902</v>
      </c>
      <c r="AG1210" t="s">
        <v>2915</v>
      </c>
      <c r="AH1210">
        <v>13</v>
      </c>
      <c r="AI1210">
        <v>1</v>
      </c>
      <c r="AJ1210">
        <v>0</v>
      </c>
      <c r="AK1210">
        <v>26.02</v>
      </c>
      <c r="AN1210" t="s">
        <v>2926</v>
      </c>
      <c r="AO1210">
        <v>3159.36</v>
      </c>
      <c r="AU1210">
        <v>11.2</v>
      </c>
      <c r="AV1210" t="s">
        <v>271</v>
      </c>
      <c r="AW1210" t="s">
        <v>69</v>
      </c>
    </row>
    <row r="1211" spans="1:50">
      <c r="A1211" s="1" t="s">
        <v>126</v>
      </c>
      <c r="B1211" t="s">
        <v>163</v>
      </c>
      <c r="C1211" t="s">
        <v>4421</v>
      </c>
      <c r="D1211" t="s">
        <v>245</v>
      </c>
      <c r="F1211" t="s">
        <v>7345</v>
      </c>
      <c r="G1211" t="s">
        <v>787</v>
      </c>
      <c r="H1211" t="s">
        <v>9627</v>
      </c>
      <c r="I1211" t="s">
        <v>11186</v>
      </c>
      <c r="J1211" t="s">
        <v>1641</v>
      </c>
      <c r="K1211">
        <v>10451</v>
      </c>
      <c r="L1211" t="s">
        <v>1670</v>
      </c>
      <c r="M1211" t="s">
        <v>1670</v>
      </c>
      <c r="N1211" t="s">
        <v>11981</v>
      </c>
      <c r="O1211" t="s">
        <v>1939</v>
      </c>
      <c r="P1211" t="s">
        <v>1960</v>
      </c>
      <c r="R1211" t="s">
        <v>50</v>
      </c>
      <c r="S1211" t="s">
        <v>1670</v>
      </c>
      <c r="U1211" t="s">
        <v>1972</v>
      </c>
      <c r="W1211" t="s">
        <v>359</v>
      </c>
      <c r="X1211">
        <v>1995.51</v>
      </c>
      <c r="Y1211" t="s">
        <v>2006</v>
      </c>
      <c r="Z1211" t="s">
        <v>2015</v>
      </c>
      <c r="AB1211" t="s">
        <v>13784</v>
      </c>
      <c r="AC1211" t="s">
        <v>15133</v>
      </c>
      <c r="AE1211">
        <v>100</v>
      </c>
      <c r="AF1211" t="s">
        <v>2902</v>
      </c>
      <c r="AG1211" t="s">
        <v>2915</v>
      </c>
      <c r="AH1211">
        <v>17</v>
      </c>
      <c r="AI1211">
        <v>5</v>
      </c>
      <c r="AJ1211">
        <v>0</v>
      </c>
      <c r="AK1211">
        <v>26.51</v>
      </c>
      <c r="AN1211" t="s">
        <v>2927</v>
      </c>
      <c r="AO1211">
        <v>7800</v>
      </c>
      <c r="AU1211" t="s">
        <v>13051</v>
      </c>
      <c r="AW1211" t="s">
        <v>3047</v>
      </c>
    </row>
    <row r="1212" spans="1:50">
      <c r="A1212" s="1" t="s">
        <v>3145</v>
      </c>
      <c r="B1212" t="s">
        <v>164</v>
      </c>
      <c r="C1212" t="s">
        <v>4422</v>
      </c>
      <c r="D1212" t="s">
        <v>6146</v>
      </c>
      <c r="E1212" t="s">
        <v>243</v>
      </c>
      <c r="F1212" t="s">
        <v>675</v>
      </c>
      <c r="G1212" t="s">
        <v>914</v>
      </c>
      <c r="H1212" t="s">
        <v>9895</v>
      </c>
      <c r="I1212" t="s">
        <v>1477</v>
      </c>
      <c r="J1212" t="s">
        <v>1643</v>
      </c>
      <c r="K1212">
        <v>10027</v>
      </c>
      <c r="L1212" t="s">
        <v>1670</v>
      </c>
      <c r="M1212" t="s">
        <v>1670</v>
      </c>
      <c r="O1212" t="s">
        <v>1675</v>
      </c>
      <c r="P1212" t="s">
        <v>1958</v>
      </c>
      <c r="Q1212" t="s">
        <v>1965</v>
      </c>
      <c r="R1212" t="s">
        <v>50</v>
      </c>
      <c r="T1212" t="s">
        <v>13030</v>
      </c>
      <c r="U1212" t="s">
        <v>1972</v>
      </c>
      <c r="W1212" t="s">
        <v>352</v>
      </c>
      <c r="X1212">
        <v>1124</v>
      </c>
      <c r="Y1212" t="s">
        <v>2008</v>
      </c>
      <c r="Z1212" t="s">
        <v>2020</v>
      </c>
      <c r="AA1212" t="s">
        <v>2029</v>
      </c>
      <c r="AB1212" t="s">
        <v>13903</v>
      </c>
      <c r="AD1212" t="s">
        <v>16339</v>
      </c>
      <c r="AE1212">
        <v>36</v>
      </c>
      <c r="AG1212" t="s">
        <v>2922</v>
      </c>
      <c r="AH1212" t="s">
        <v>13051</v>
      </c>
      <c r="AI1212">
        <v>4</v>
      </c>
      <c r="AJ1212">
        <v>0</v>
      </c>
      <c r="AK1212">
        <v>26.77</v>
      </c>
      <c r="AN1212" t="s">
        <v>2926</v>
      </c>
      <c r="AO1212">
        <v>6720</v>
      </c>
      <c r="AU1212">
        <v>0.25</v>
      </c>
      <c r="AV1212" t="s">
        <v>232</v>
      </c>
      <c r="AW1212" t="s">
        <v>3075</v>
      </c>
    </row>
    <row r="1213" spans="1:50">
      <c r="A1213" s="1" t="s">
        <v>141</v>
      </c>
      <c r="B1213" t="s">
        <v>164</v>
      </c>
      <c r="C1213" t="s">
        <v>4423</v>
      </c>
      <c r="D1213" t="s">
        <v>201</v>
      </c>
      <c r="E1213" t="s">
        <v>270</v>
      </c>
      <c r="F1213" t="s">
        <v>419</v>
      </c>
      <c r="G1213" t="s">
        <v>8460</v>
      </c>
      <c r="H1213" t="s">
        <v>9896</v>
      </c>
      <c r="I1213" t="s">
        <v>1475</v>
      </c>
      <c r="J1213" t="s">
        <v>1645</v>
      </c>
      <c r="K1213">
        <v>11691</v>
      </c>
      <c r="L1213" t="s">
        <v>1670</v>
      </c>
      <c r="M1213" t="s">
        <v>1670</v>
      </c>
      <c r="N1213" t="s">
        <v>12158</v>
      </c>
      <c r="O1213" t="s">
        <v>1936</v>
      </c>
      <c r="P1213" t="s">
        <v>1958</v>
      </c>
      <c r="Q1213" t="s">
        <v>1965</v>
      </c>
      <c r="R1213" t="s">
        <v>50</v>
      </c>
      <c r="S1213" t="s">
        <v>1671</v>
      </c>
      <c r="U1213" t="s">
        <v>1972</v>
      </c>
      <c r="V1213" t="s">
        <v>1985</v>
      </c>
      <c r="W1213" t="s">
        <v>201</v>
      </c>
      <c r="X1213">
        <v>974</v>
      </c>
      <c r="Y1213" t="s">
        <v>2007</v>
      </c>
      <c r="Z1213" t="s">
        <v>2014</v>
      </c>
      <c r="AA1213" t="s">
        <v>2029</v>
      </c>
      <c r="AB1213" t="s">
        <v>13904</v>
      </c>
      <c r="AC1213" t="s">
        <v>15134</v>
      </c>
      <c r="AD1213" t="s">
        <v>16340</v>
      </c>
      <c r="AE1213">
        <v>270</v>
      </c>
      <c r="AF1213" t="s">
        <v>2912</v>
      </c>
      <c r="AG1213" t="s">
        <v>2915</v>
      </c>
      <c r="AH1213">
        <v>4</v>
      </c>
      <c r="AI1213">
        <v>1</v>
      </c>
      <c r="AJ1213">
        <v>0</v>
      </c>
      <c r="AK1213">
        <v>27.2</v>
      </c>
      <c r="AM1213" t="s">
        <v>2925</v>
      </c>
      <c r="AN1213" t="s">
        <v>2928</v>
      </c>
      <c r="AO1213">
        <v>3302.4</v>
      </c>
      <c r="AU1213">
        <v>2.3</v>
      </c>
      <c r="AV1213" t="s">
        <v>184</v>
      </c>
      <c r="AW1213" t="s">
        <v>3044</v>
      </c>
    </row>
    <row r="1214" spans="1:50">
      <c r="A1214" s="1" t="s">
        <v>88</v>
      </c>
      <c r="B1214" t="s">
        <v>164</v>
      </c>
      <c r="C1214" t="s">
        <v>4424</v>
      </c>
      <c r="D1214" t="s">
        <v>228</v>
      </c>
      <c r="E1214" t="s">
        <v>268</v>
      </c>
      <c r="F1214" t="s">
        <v>6857</v>
      </c>
      <c r="G1214" t="s">
        <v>909</v>
      </c>
      <c r="H1214" t="s">
        <v>9897</v>
      </c>
      <c r="I1214" t="s">
        <v>1562</v>
      </c>
      <c r="J1214" t="s">
        <v>1644</v>
      </c>
      <c r="K1214">
        <v>11208</v>
      </c>
      <c r="L1214" t="s">
        <v>1670</v>
      </c>
      <c r="M1214" t="s">
        <v>1670</v>
      </c>
      <c r="N1214" t="s">
        <v>12159</v>
      </c>
      <c r="O1214" t="s">
        <v>1940</v>
      </c>
      <c r="P1214" t="s">
        <v>1960</v>
      </c>
      <c r="Q1214" t="s">
        <v>1969</v>
      </c>
      <c r="R1214" t="s">
        <v>50</v>
      </c>
      <c r="U1214" t="s">
        <v>1972</v>
      </c>
      <c r="W1214" t="s">
        <v>408</v>
      </c>
      <c r="X1214">
        <v>1650</v>
      </c>
      <c r="Y1214" t="s">
        <v>2009</v>
      </c>
      <c r="Z1214" t="s">
        <v>2019</v>
      </c>
      <c r="AA1214" t="s">
        <v>2033</v>
      </c>
      <c r="AB1214" t="s">
        <v>13905</v>
      </c>
      <c r="AC1214" t="s">
        <v>15135</v>
      </c>
      <c r="AD1214" t="s">
        <v>16341</v>
      </c>
      <c r="AE1214">
        <v>4</v>
      </c>
      <c r="AG1214" t="s">
        <v>2921</v>
      </c>
      <c r="AH1214">
        <v>6</v>
      </c>
      <c r="AI1214">
        <v>1</v>
      </c>
      <c r="AJ1214">
        <v>0</v>
      </c>
      <c r="AK1214">
        <v>27.28</v>
      </c>
      <c r="AN1214" t="s">
        <v>2926</v>
      </c>
      <c r="AO1214">
        <v>3312</v>
      </c>
      <c r="AU1214">
        <v>47.35</v>
      </c>
      <c r="AV1214" t="s">
        <v>390</v>
      </c>
      <c r="AW1214" t="s">
        <v>3058</v>
      </c>
    </row>
    <row r="1215" spans="1:50">
      <c r="A1215" s="1" t="s">
        <v>102</v>
      </c>
      <c r="B1215" t="s">
        <v>164</v>
      </c>
      <c r="C1215" t="s">
        <v>4425</v>
      </c>
      <c r="D1215" t="s">
        <v>247</v>
      </c>
      <c r="E1215" t="s">
        <v>331</v>
      </c>
      <c r="F1215" t="s">
        <v>7346</v>
      </c>
      <c r="G1215" t="s">
        <v>7634</v>
      </c>
      <c r="H1215" t="s">
        <v>9898</v>
      </c>
      <c r="I1215" t="s">
        <v>1489</v>
      </c>
      <c r="J1215" t="s">
        <v>1643</v>
      </c>
      <c r="K1215">
        <v>10029</v>
      </c>
      <c r="L1215" t="s">
        <v>1670</v>
      </c>
      <c r="M1215" t="s">
        <v>1670</v>
      </c>
      <c r="O1215" t="s">
        <v>1675</v>
      </c>
      <c r="P1215" t="s">
        <v>1958</v>
      </c>
      <c r="Q1215" t="s">
        <v>1965</v>
      </c>
      <c r="R1215" t="s">
        <v>50</v>
      </c>
      <c r="S1215" t="s">
        <v>1671</v>
      </c>
      <c r="U1215" t="s">
        <v>1972</v>
      </c>
      <c r="V1215" t="s">
        <v>1984</v>
      </c>
      <c r="W1215" t="s">
        <v>247</v>
      </c>
      <c r="X1215">
        <v>1650</v>
      </c>
      <c r="Y1215" t="s">
        <v>2008</v>
      </c>
      <c r="Z1215" t="s">
        <v>2013</v>
      </c>
      <c r="AA1215" t="s">
        <v>2029</v>
      </c>
      <c r="AB1215" t="s">
        <v>13906</v>
      </c>
      <c r="AD1215" t="s">
        <v>16342</v>
      </c>
      <c r="AE1215">
        <v>48</v>
      </c>
      <c r="AF1215" t="s">
        <v>2902</v>
      </c>
      <c r="AG1215" t="s">
        <v>1754</v>
      </c>
      <c r="AH1215">
        <v>-1</v>
      </c>
      <c r="AI1215">
        <v>1</v>
      </c>
      <c r="AJ1215">
        <v>0</v>
      </c>
      <c r="AK1215">
        <v>27.84</v>
      </c>
      <c r="AN1215" t="s">
        <v>2926</v>
      </c>
      <c r="AO1215">
        <v>3380</v>
      </c>
      <c r="AU1215">
        <v>0.75</v>
      </c>
      <c r="AV1215" t="s">
        <v>335</v>
      </c>
      <c r="AW1215" t="s">
        <v>3051</v>
      </c>
      <c r="AX1215" t="s">
        <v>18685</v>
      </c>
    </row>
    <row r="1216" spans="1:50">
      <c r="A1216" s="1" t="s">
        <v>103</v>
      </c>
      <c r="B1216" t="s">
        <v>164</v>
      </c>
      <c r="C1216" t="s">
        <v>4426</v>
      </c>
      <c r="D1216" t="s">
        <v>262</v>
      </c>
      <c r="E1216" t="s">
        <v>270</v>
      </c>
      <c r="F1216" t="s">
        <v>6812</v>
      </c>
      <c r="G1216" t="s">
        <v>8461</v>
      </c>
      <c r="H1216" t="s">
        <v>9899</v>
      </c>
      <c r="I1216" t="s">
        <v>1510</v>
      </c>
      <c r="J1216" t="s">
        <v>1644</v>
      </c>
      <c r="K1216">
        <v>11233</v>
      </c>
      <c r="L1216" t="s">
        <v>1670</v>
      </c>
      <c r="M1216" t="s">
        <v>1670</v>
      </c>
      <c r="N1216" t="s">
        <v>12160</v>
      </c>
      <c r="O1216" t="s">
        <v>1936</v>
      </c>
      <c r="P1216" t="s">
        <v>1958</v>
      </c>
      <c r="Q1216" t="s">
        <v>1965</v>
      </c>
      <c r="R1216" t="s">
        <v>50</v>
      </c>
      <c r="U1216" t="s">
        <v>1972</v>
      </c>
      <c r="W1216" t="s">
        <v>262</v>
      </c>
      <c r="X1216">
        <v>607</v>
      </c>
      <c r="Y1216" t="s">
        <v>2009</v>
      </c>
      <c r="Z1216" t="s">
        <v>2020</v>
      </c>
      <c r="AA1216" t="s">
        <v>2029</v>
      </c>
      <c r="AB1216" t="s">
        <v>13907</v>
      </c>
      <c r="AC1216" t="s">
        <v>15136</v>
      </c>
      <c r="AD1216" t="s">
        <v>16343</v>
      </c>
      <c r="AE1216" t="s">
        <v>13051</v>
      </c>
      <c r="AF1216" t="s">
        <v>2902</v>
      </c>
      <c r="AG1216" t="s">
        <v>1754</v>
      </c>
      <c r="AH1216">
        <v>40</v>
      </c>
      <c r="AI1216">
        <v>1</v>
      </c>
      <c r="AJ1216">
        <v>0</v>
      </c>
      <c r="AK1216">
        <v>28.67</v>
      </c>
      <c r="AN1216" t="s">
        <v>2926</v>
      </c>
      <c r="AO1216">
        <v>3480</v>
      </c>
      <c r="AU1216">
        <v>9.5</v>
      </c>
      <c r="AV1216" t="s">
        <v>335</v>
      </c>
      <c r="AW1216" t="s">
        <v>3060</v>
      </c>
    </row>
    <row r="1217" spans="1:50">
      <c r="A1217" s="1" t="s">
        <v>107</v>
      </c>
      <c r="B1217" t="s">
        <v>163</v>
      </c>
      <c r="C1217" t="s">
        <v>4427</v>
      </c>
      <c r="D1217" t="s">
        <v>270</v>
      </c>
      <c r="F1217" t="s">
        <v>6812</v>
      </c>
      <c r="G1217" t="s">
        <v>8461</v>
      </c>
      <c r="H1217" t="s">
        <v>9899</v>
      </c>
      <c r="I1217" t="s">
        <v>1510</v>
      </c>
      <c r="J1217" t="s">
        <v>1644</v>
      </c>
      <c r="K1217">
        <v>11233</v>
      </c>
      <c r="L1217" t="s">
        <v>1670</v>
      </c>
      <c r="M1217" t="s">
        <v>1670</v>
      </c>
      <c r="N1217" t="s">
        <v>12160</v>
      </c>
      <c r="O1217" t="s">
        <v>1936</v>
      </c>
      <c r="P1217" t="s">
        <v>1960</v>
      </c>
      <c r="R1217" t="s">
        <v>50</v>
      </c>
      <c r="S1217" t="s">
        <v>1671</v>
      </c>
      <c r="U1217" t="s">
        <v>1972</v>
      </c>
      <c r="W1217" t="s">
        <v>13044</v>
      </c>
      <c r="X1217">
        <v>619</v>
      </c>
      <c r="Y1217" t="s">
        <v>2009</v>
      </c>
      <c r="Z1217" t="s">
        <v>2020</v>
      </c>
      <c r="AB1217" t="s">
        <v>13907</v>
      </c>
      <c r="AC1217" t="s">
        <v>15136</v>
      </c>
      <c r="AD1217" t="s">
        <v>16343</v>
      </c>
      <c r="AE1217">
        <v>34</v>
      </c>
      <c r="AF1217" t="s">
        <v>2902</v>
      </c>
      <c r="AG1217" t="s">
        <v>1754</v>
      </c>
      <c r="AH1217">
        <v>6</v>
      </c>
      <c r="AI1217">
        <v>1</v>
      </c>
      <c r="AJ1217">
        <v>0</v>
      </c>
      <c r="AK1217">
        <v>28.67</v>
      </c>
      <c r="AN1217" t="s">
        <v>2926</v>
      </c>
      <c r="AO1217">
        <v>3480</v>
      </c>
      <c r="AU1217">
        <v>21</v>
      </c>
      <c r="AV1217" t="s">
        <v>404</v>
      </c>
      <c r="AW1217" t="s">
        <v>3059</v>
      </c>
    </row>
    <row r="1218" spans="1:50">
      <c r="A1218" s="1" t="s">
        <v>124</v>
      </c>
      <c r="B1218" t="s">
        <v>163</v>
      </c>
      <c r="C1218" t="s">
        <v>4428</v>
      </c>
      <c r="D1218" t="s">
        <v>266</v>
      </c>
      <c r="F1218" t="s">
        <v>7347</v>
      </c>
      <c r="G1218" t="s">
        <v>8462</v>
      </c>
      <c r="H1218" t="s">
        <v>9900</v>
      </c>
      <c r="I1218" t="s">
        <v>11187</v>
      </c>
      <c r="J1218" t="s">
        <v>1644</v>
      </c>
      <c r="K1218">
        <v>11203</v>
      </c>
      <c r="L1218" t="s">
        <v>1670</v>
      </c>
      <c r="M1218" t="s">
        <v>1670</v>
      </c>
      <c r="N1218" t="s">
        <v>12161</v>
      </c>
      <c r="O1218" t="s">
        <v>1939</v>
      </c>
      <c r="P1218" t="s">
        <v>1960</v>
      </c>
      <c r="R1218" t="s">
        <v>50</v>
      </c>
      <c r="U1218" t="s">
        <v>1972</v>
      </c>
      <c r="W1218" t="s">
        <v>266</v>
      </c>
      <c r="X1218" t="s">
        <v>13051</v>
      </c>
      <c r="Y1218" t="s">
        <v>2009</v>
      </c>
      <c r="AB1218" t="s">
        <v>13740</v>
      </c>
      <c r="AD1218" t="s">
        <v>16344</v>
      </c>
      <c r="AE1218" t="s">
        <v>13051</v>
      </c>
      <c r="AH1218" t="s">
        <v>13051</v>
      </c>
      <c r="AI1218">
        <v>1</v>
      </c>
      <c r="AJ1218">
        <v>0</v>
      </c>
      <c r="AK1218">
        <v>28.82</v>
      </c>
      <c r="AN1218" t="s">
        <v>2926</v>
      </c>
      <c r="AO1218">
        <v>3600</v>
      </c>
      <c r="AU1218">
        <v>18.5</v>
      </c>
      <c r="AV1218" t="s">
        <v>268</v>
      </c>
      <c r="AW1218" t="s">
        <v>158</v>
      </c>
    </row>
    <row r="1219" spans="1:50">
      <c r="A1219" s="1" t="s">
        <v>63</v>
      </c>
      <c r="B1219" t="s">
        <v>163</v>
      </c>
      <c r="C1219" t="s">
        <v>4429</v>
      </c>
      <c r="D1219" t="s">
        <v>356</v>
      </c>
      <c r="F1219" t="s">
        <v>7015</v>
      </c>
      <c r="G1219" t="s">
        <v>8415</v>
      </c>
      <c r="H1219" t="s">
        <v>9840</v>
      </c>
      <c r="I1219">
        <v>315</v>
      </c>
      <c r="J1219" t="s">
        <v>1641</v>
      </c>
      <c r="K1219">
        <v>10459</v>
      </c>
      <c r="L1219" t="s">
        <v>1670</v>
      </c>
      <c r="M1219" t="s">
        <v>1670</v>
      </c>
      <c r="O1219" t="s">
        <v>12748</v>
      </c>
      <c r="P1219" t="s">
        <v>1964</v>
      </c>
      <c r="R1219" t="s">
        <v>50</v>
      </c>
      <c r="S1219" t="s">
        <v>1671</v>
      </c>
      <c r="U1219" t="s">
        <v>1973</v>
      </c>
      <c r="W1219" t="s">
        <v>356</v>
      </c>
      <c r="X1219">
        <v>1640.18</v>
      </c>
      <c r="Y1219" t="s">
        <v>2006</v>
      </c>
      <c r="Z1219" t="s">
        <v>2020</v>
      </c>
      <c r="AB1219" t="s">
        <v>13838</v>
      </c>
      <c r="AD1219" t="s">
        <v>16273</v>
      </c>
      <c r="AE1219">
        <v>123</v>
      </c>
      <c r="AF1219" t="s">
        <v>2902</v>
      </c>
      <c r="AG1219" t="s">
        <v>1754</v>
      </c>
      <c r="AH1219">
        <v>11</v>
      </c>
      <c r="AI1219">
        <v>2</v>
      </c>
      <c r="AJ1219">
        <v>0</v>
      </c>
      <c r="AK1219">
        <v>29.16</v>
      </c>
      <c r="AN1219" t="s">
        <v>2926</v>
      </c>
      <c r="AO1219">
        <v>4800</v>
      </c>
      <c r="AU1219">
        <v>119</v>
      </c>
      <c r="AV1219" t="s">
        <v>333</v>
      </c>
      <c r="AW1219" t="s">
        <v>3046</v>
      </c>
    </row>
    <row r="1220" spans="1:50">
      <c r="A1220" s="1" t="s">
        <v>63</v>
      </c>
      <c r="B1220" t="s">
        <v>163</v>
      </c>
      <c r="C1220" t="s">
        <v>4430</v>
      </c>
      <c r="D1220" t="s">
        <v>356</v>
      </c>
      <c r="F1220" t="s">
        <v>7015</v>
      </c>
      <c r="G1220" t="s">
        <v>8415</v>
      </c>
      <c r="H1220" t="s">
        <v>9840</v>
      </c>
      <c r="I1220">
        <v>315</v>
      </c>
      <c r="J1220" t="s">
        <v>1641</v>
      </c>
      <c r="K1220">
        <v>10459</v>
      </c>
      <c r="L1220" t="s">
        <v>1670</v>
      </c>
      <c r="M1220" t="s">
        <v>1670</v>
      </c>
      <c r="N1220" t="s">
        <v>12162</v>
      </c>
      <c r="O1220" t="s">
        <v>1936</v>
      </c>
      <c r="P1220" t="s">
        <v>1960</v>
      </c>
      <c r="R1220" t="s">
        <v>50</v>
      </c>
      <c r="S1220" t="s">
        <v>1671</v>
      </c>
      <c r="U1220" t="s">
        <v>1972</v>
      </c>
      <c r="V1220" t="s">
        <v>1984</v>
      </c>
      <c r="W1220" t="s">
        <v>356</v>
      </c>
      <c r="X1220">
        <v>1640.18</v>
      </c>
      <c r="Y1220" t="s">
        <v>2006</v>
      </c>
      <c r="Z1220" t="s">
        <v>2020</v>
      </c>
      <c r="AB1220" t="s">
        <v>13838</v>
      </c>
      <c r="AD1220" t="s">
        <v>16273</v>
      </c>
      <c r="AE1220">
        <v>123</v>
      </c>
      <c r="AF1220" t="s">
        <v>2902</v>
      </c>
      <c r="AG1220" t="s">
        <v>1754</v>
      </c>
      <c r="AH1220">
        <v>11</v>
      </c>
      <c r="AI1220">
        <v>2</v>
      </c>
      <c r="AJ1220">
        <v>0</v>
      </c>
      <c r="AK1220">
        <v>29.16</v>
      </c>
      <c r="AN1220" t="s">
        <v>2926</v>
      </c>
      <c r="AO1220">
        <v>4800</v>
      </c>
      <c r="AU1220">
        <v>62.6</v>
      </c>
      <c r="AV1220" t="s">
        <v>334</v>
      </c>
      <c r="AW1220" t="s">
        <v>3046</v>
      </c>
    </row>
    <row r="1221" spans="1:50">
      <c r="A1221" s="1" t="s">
        <v>126</v>
      </c>
      <c r="B1221" t="s">
        <v>163</v>
      </c>
      <c r="C1221" t="s">
        <v>4431</v>
      </c>
      <c r="D1221" t="s">
        <v>194</v>
      </c>
      <c r="F1221" t="s">
        <v>728</v>
      </c>
      <c r="G1221" t="s">
        <v>780</v>
      </c>
      <c r="H1221" t="s">
        <v>9627</v>
      </c>
      <c r="I1221" t="s">
        <v>11188</v>
      </c>
      <c r="J1221" t="s">
        <v>1641</v>
      </c>
      <c r="K1221">
        <v>10451</v>
      </c>
      <c r="L1221" t="s">
        <v>1670</v>
      </c>
      <c r="M1221" t="s">
        <v>1670</v>
      </c>
      <c r="N1221" t="s">
        <v>11981</v>
      </c>
      <c r="O1221" t="s">
        <v>1939</v>
      </c>
      <c r="P1221" t="s">
        <v>1960</v>
      </c>
      <c r="R1221" t="s">
        <v>50</v>
      </c>
      <c r="S1221" t="s">
        <v>1670</v>
      </c>
      <c r="U1221" t="s">
        <v>1972</v>
      </c>
      <c r="W1221" t="s">
        <v>359</v>
      </c>
      <c r="X1221">
        <v>1053.15</v>
      </c>
      <c r="Y1221" t="s">
        <v>2006</v>
      </c>
      <c r="Z1221" t="s">
        <v>2015</v>
      </c>
      <c r="AB1221" t="s">
        <v>13908</v>
      </c>
      <c r="AD1221" t="s">
        <v>16345</v>
      </c>
      <c r="AE1221">
        <v>100</v>
      </c>
      <c r="AF1221" t="s">
        <v>2902</v>
      </c>
      <c r="AG1221" t="s">
        <v>1754</v>
      </c>
      <c r="AH1221">
        <v>21</v>
      </c>
      <c r="AI1221">
        <v>2</v>
      </c>
      <c r="AJ1221">
        <v>0</v>
      </c>
      <c r="AK1221">
        <v>29.16</v>
      </c>
      <c r="AN1221" t="s">
        <v>2927</v>
      </c>
      <c r="AO1221">
        <v>4800</v>
      </c>
      <c r="AU1221" t="s">
        <v>13051</v>
      </c>
      <c r="AW1221" t="s">
        <v>3047</v>
      </c>
    </row>
    <row r="1222" spans="1:50">
      <c r="A1222" s="1" t="s">
        <v>153</v>
      </c>
      <c r="B1222" t="s">
        <v>163</v>
      </c>
      <c r="C1222" t="s">
        <v>4432</v>
      </c>
      <c r="D1222" t="s">
        <v>192</v>
      </c>
      <c r="F1222" t="s">
        <v>628</v>
      </c>
      <c r="G1222" t="s">
        <v>8463</v>
      </c>
      <c r="H1222" t="s">
        <v>9901</v>
      </c>
      <c r="I1222" t="s">
        <v>1497</v>
      </c>
      <c r="J1222" t="s">
        <v>1641</v>
      </c>
      <c r="K1222">
        <v>10458</v>
      </c>
      <c r="L1222" t="s">
        <v>1670</v>
      </c>
      <c r="M1222" t="s">
        <v>1671</v>
      </c>
      <c r="O1222" t="s">
        <v>1939</v>
      </c>
      <c r="P1222" t="s">
        <v>1958</v>
      </c>
      <c r="R1222" t="s">
        <v>50</v>
      </c>
      <c r="S1222" t="s">
        <v>1671</v>
      </c>
      <c r="U1222" t="s">
        <v>1972</v>
      </c>
      <c r="W1222" t="s">
        <v>1991</v>
      </c>
      <c r="X1222">
        <v>921</v>
      </c>
      <c r="Y1222" t="s">
        <v>2006</v>
      </c>
      <c r="Z1222" t="s">
        <v>2015</v>
      </c>
      <c r="AB1222" t="s">
        <v>13909</v>
      </c>
      <c r="AD1222" t="s">
        <v>16346</v>
      </c>
      <c r="AE1222" t="s">
        <v>13051</v>
      </c>
      <c r="AF1222" t="s">
        <v>2902</v>
      </c>
      <c r="AG1222" t="s">
        <v>1754</v>
      </c>
      <c r="AH1222" t="s">
        <v>13051</v>
      </c>
      <c r="AI1222">
        <v>1</v>
      </c>
      <c r="AJ1222">
        <v>0</v>
      </c>
      <c r="AK1222">
        <v>29.24</v>
      </c>
      <c r="AN1222" t="s">
        <v>2927</v>
      </c>
      <c r="AO1222">
        <v>3550</v>
      </c>
      <c r="AP1222" t="s">
        <v>18260</v>
      </c>
      <c r="AU1222" t="s">
        <v>13051</v>
      </c>
      <c r="AW1222" t="s">
        <v>3054</v>
      </c>
      <c r="AX1222" t="s">
        <v>18685</v>
      </c>
    </row>
    <row r="1223" spans="1:50">
      <c r="A1223" s="1" t="s">
        <v>53</v>
      </c>
      <c r="B1223" t="s">
        <v>164</v>
      </c>
      <c r="C1223" t="s">
        <v>4433</v>
      </c>
      <c r="D1223" t="s">
        <v>196</v>
      </c>
      <c r="E1223" t="s">
        <v>383</v>
      </c>
      <c r="F1223" t="s">
        <v>7348</v>
      </c>
      <c r="G1223" t="s">
        <v>8464</v>
      </c>
      <c r="H1223" t="s">
        <v>9902</v>
      </c>
      <c r="I1223">
        <v>11</v>
      </c>
      <c r="J1223" t="s">
        <v>1654</v>
      </c>
      <c r="K1223">
        <v>11105</v>
      </c>
      <c r="L1223" t="s">
        <v>1670</v>
      </c>
      <c r="M1223" t="s">
        <v>1670</v>
      </c>
      <c r="N1223" t="s">
        <v>12163</v>
      </c>
      <c r="O1223" t="s">
        <v>1936</v>
      </c>
      <c r="P1223" t="s">
        <v>1958</v>
      </c>
      <c r="Q1223" t="s">
        <v>1965</v>
      </c>
      <c r="R1223" t="s">
        <v>50</v>
      </c>
      <c r="S1223" t="s">
        <v>1671</v>
      </c>
      <c r="U1223" t="s">
        <v>1972</v>
      </c>
      <c r="V1223" t="s">
        <v>1984</v>
      </c>
      <c r="W1223" t="s">
        <v>196</v>
      </c>
      <c r="X1223">
        <v>1176</v>
      </c>
      <c r="Y1223" t="s">
        <v>2007</v>
      </c>
      <c r="Z1223" t="s">
        <v>2014</v>
      </c>
      <c r="AA1223" t="s">
        <v>2029</v>
      </c>
      <c r="AB1223" t="s">
        <v>13910</v>
      </c>
      <c r="AD1223" t="s">
        <v>16347</v>
      </c>
      <c r="AE1223">
        <v>12</v>
      </c>
      <c r="AF1223" t="s">
        <v>2902</v>
      </c>
      <c r="AG1223" t="s">
        <v>1754</v>
      </c>
      <c r="AH1223">
        <v>35</v>
      </c>
      <c r="AI1223">
        <v>1</v>
      </c>
      <c r="AJ1223">
        <v>0</v>
      </c>
      <c r="AK1223">
        <v>29.65</v>
      </c>
      <c r="AN1223" t="s">
        <v>2926</v>
      </c>
      <c r="AO1223">
        <v>3600</v>
      </c>
      <c r="AU1223">
        <v>4.3</v>
      </c>
      <c r="AV1223" t="s">
        <v>404</v>
      </c>
      <c r="AW1223" t="s">
        <v>85</v>
      </c>
    </row>
    <row r="1224" spans="1:50">
      <c r="A1224" s="1" t="s">
        <v>72</v>
      </c>
      <c r="B1224" t="s">
        <v>164</v>
      </c>
      <c r="C1224" t="s">
        <v>4434</v>
      </c>
      <c r="D1224" t="s">
        <v>395</v>
      </c>
      <c r="E1224" t="s">
        <v>256</v>
      </c>
      <c r="F1224" t="s">
        <v>7349</v>
      </c>
      <c r="G1224" t="s">
        <v>8465</v>
      </c>
      <c r="H1224" t="s">
        <v>9903</v>
      </c>
      <c r="I1224" t="s">
        <v>1570</v>
      </c>
      <c r="J1224" t="s">
        <v>1643</v>
      </c>
      <c r="K1224">
        <v>10029</v>
      </c>
      <c r="L1224" t="s">
        <v>1670</v>
      </c>
      <c r="M1224" t="s">
        <v>1670</v>
      </c>
      <c r="O1224" t="s">
        <v>1675</v>
      </c>
      <c r="P1224" t="s">
        <v>1958</v>
      </c>
      <c r="Q1224" t="s">
        <v>1965</v>
      </c>
      <c r="R1224" t="s">
        <v>50</v>
      </c>
      <c r="S1224" t="s">
        <v>1671</v>
      </c>
      <c r="U1224" t="s">
        <v>1972</v>
      </c>
      <c r="V1224" t="s">
        <v>1984</v>
      </c>
      <c r="W1224" t="s">
        <v>381</v>
      </c>
      <c r="X1224">
        <v>838</v>
      </c>
      <c r="Y1224" t="s">
        <v>2008</v>
      </c>
      <c r="Z1224" t="s">
        <v>2017</v>
      </c>
      <c r="AA1224" t="s">
        <v>2029</v>
      </c>
      <c r="AB1224" t="s">
        <v>13911</v>
      </c>
      <c r="AD1224" t="s">
        <v>16348</v>
      </c>
      <c r="AE1224">
        <v>56</v>
      </c>
      <c r="AF1224" t="s">
        <v>2902</v>
      </c>
      <c r="AG1224" t="s">
        <v>1754</v>
      </c>
      <c r="AH1224">
        <v>3</v>
      </c>
      <c r="AI1224">
        <v>1</v>
      </c>
      <c r="AJ1224">
        <v>0</v>
      </c>
      <c r="AK1224">
        <v>30.44</v>
      </c>
      <c r="AN1224" t="s">
        <v>2926</v>
      </c>
      <c r="AO1224">
        <v>3696</v>
      </c>
      <c r="AU1224">
        <v>2.6</v>
      </c>
      <c r="AV1224" t="s">
        <v>381</v>
      </c>
      <c r="AW1224" t="s">
        <v>3083</v>
      </c>
    </row>
    <row r="1225" spans="1:50">
      <c r="A1225" s="1" t="s">
        <v>57</v>
      </c>
      <c r="B1225" t="s">
        <v>164</v>
      </c>
      <c r="C1225" t="s">
        <v>4435</v>
      </c>
      <c r="D1225" t="s">
        <v>241</v>
      </c>
      <c r="E1225" t="s">
        <v>174</v>
      </c>
      <c r="F1225" t="s">
        <v>7350</v>
      </c>
      <c r="G1225" t="s">
        <v>8466</v>
      </c>
      <c r="H1225" t="s">
        <v>9904</v>
      </c>
      <c r="I1225" t="s">
        <v>11130</v>
      </c>
      <c r="J1225" t="s">
        <v>1641</v>
      </c>
      <c r="K1225">
        <v>10452</v>
      </c>
      <c r="L1225" t="s">
        <v>1670</v>
      </c>
      <c r="M1225" t="s">
        <v>1670</v>
      </c>
      <c r="O1225" t="s">
        <v>1942</v>
      </c>
      <c r="P1225" t="s">
        <v>1962</v>
      </c>
      <c r="Q1225" t="s">
        <v>1968</v>
      </c>
      <c r="R1225" t="s">
        <v>50</v>
      </c>
      <c r="S1225" t="s">
        <v>1671</v>
      </c>
      <c r="U1225" t="s">
        <v>1972</v>
      </c>
      <c r="W1225" t="s">
        <v>243</v>
      </c>
      <c r="X1225" t="s">
        <v>13051</v>
      </c>
      <c r="Y1225" t="s">
        <v>2006</v>
      </c>
      <c r="Z1225" t="s">
        <v>2015</v>
      </c>
      <c r="AA1225" t="s">
        <v>2030</v>
      </c>
      <c r="AB1225" t="s">
        <v>13912</v>
      </c>
      <c r="AD1225" t="s">
        <v>16349</v>
      </c>
      <c r="AE1225">
        <v>112</v>
      </c>
      <c r="AF1225" t="s">
        <v>18014</v>
      </c>
      <c r="AG1225" t="s">
        <v>1754</v>
      </c>
      <c r="AH1225">
        <v>1</v>
      </c>
      <c r="AI1225">
        <v>3</v>
      </c>
      <c r="AJ1225">
        <v>0</v>
      </c>
      <c r="AK1225">
        <v>30.55</v>
      </c>
      <c r="AN1225" t="s">
        <v>2926</v>
      </c>
      <c r="AO1225">
        <v>6348</v>
      </c>
      <c r="AU1225">
        <v>0.4</v>
      </c>
      <c r="AV1225" t="s">
        <v>243</v>
      </c>
      <c r="AW1225" t="s">
        <v>3046</v>
      </c>
    </row>
    <row r="1226" spans="1:50">
      <c r="A1226" s="1" t="s">
        <v>119</v>
      </c>
      <c r="B1226" t="s">
        <v>163</v>
      </c>
      <c r="C1226" t="s">
        <v>4436</v>
      </c>
      <c r="D1226" t="s">
        <v>271</v>
      </c>
      <c r="F1226" t="s">
        <v>7111</v>
      </c>
      <c r="G1226" t="s">
        <v>8467</v>
      </c>
      <c r="H1226" t="s">
        <v>9905</v>
      </c>
      <c r="I1226" t="s">
        <v>1517</v>
      </c>
      <c r="J1226" t="s">
        <v>1644</v>
      </c>
      <c r="K1226">
        <v>11233</v>
      </c>
      <c r="L1226" t="s">
        <v>1670</v>
      </c>
      <c r="M1226" t="s">
        <v>1670</v>
      </c>
      <c r="N1226" t="s">
        <v>12164</v>
      </c>
      <c r="O1226" t="s">
        <v>1936</v>
      </c>
      <c r="P1226" t="s">
        <v>1960</v>
      </c>
      <c r="R1226" t="s">
        <v>50</v>
      </c>
      <c r="S1226" t="s">
        <v>1671</v>
      </c>
      <c r="U1226" t="s">
        <v>1972</v>
      </c>
      <c r="V1226" t="s">
        <v>1984</v>
      </c>
      <c r="W1226" t="s">
        <v>249</v>
      </c>
      <c r="X1226">
        <v>1132</v>
      </c>
      <c r="Y1226" t="s">
        <v>2009</v>
      </c>
      <c r="Z1226" t="s">
        <v>2020</v>
      </c>
      <c r="AB1226" t="s">
        <v>13748</v>
      </c>
      <c r="AC1226" t="s">
        <v>15137</v>
      </c>
      <c r="AD1226" t="s">
        <v>16350</v>
      </c>
      <c r="AE1226">
        <v>40</v>
      </c>
      <c r="AF1226" t="s">
        <v>2902</v>
      </c>
      <c r="AG1226" t="s">
        <v>2921</v>
      </c>
      <c r="AH1226">
        <v>13</v>
      </c>
      <c r="AI1226">
        <v>2</v>
      </c>
      <c r="AJ1226">
        <v>0</v>
      </c>
      <c r="AK1226">
        <v>30.96</v>
      </c>
      <c r="AN1226" t="s">
        <v>2926</v>
      </c>
      <c r="AO1226">
        <v>5096</v>
      </c>
      <c r="AU1226">
        <v>6</v>
      </c>
      <c r="AV1226" t="s">
        <v>199</v>
      </c>
      <c r="AW1226" t="s">
        <v>3060</v>
      </c>
      <c r="AX1226" t="s">
        <v>18685</v>
      </c>
    </row>
    <row r="1227" spans="1:50">
      <c r="A1227" s="1" t="s">
        <v>72</v>
      </c>
      <c r="B1227" t="s">
        <v>163</v>
      </c>
      <c r="C1227" t="s">
        <v>4437</v>
      </c>
      <c r="D1227" t="s">
        <v>313</v>
      </c>
      <c r="F1227" t="s">
        <v>7351</v>
      </c>
      <c r="G1227" t="s">
        <v>8468</v>
      </c>
      <c r="H1227" t="s">
        <v>9906</v>
      </c>
      <c r="I1227" t="s">
        <v>1477</v>
      </c>
      <c r="J1227" t="s">
        <v>1643</v>
      </c>
      <c r="K1227">
        <v>10035</v>
      </c>
      <c r="L1227" t="s">
        <v>1670</v>
      </c>
      <c r="M1227" t="s">
        <v>1670</v>
      </c>
      <c r="N1227" t="s">
        <v>12165</v>
      </c>
      <c r="O1227" t="s">
        <v>1936</v>
      </c>
      <c r="P1227" t="s">
        <v>1960</v>
      </c>
      <c r="R1227" t="s">
        <v>50</v>
      </c>
      <c r="S1227" t="s">
        <v>1671</v>
      </c>
      <c r="U1227" t="s">
        <v>1972</v>
      </c>
      <c r="V1227" t="s">
        <v>1984</v>
      </c>
      <c r="W1227" t="s">
        <v>263</v>
      </c>
      <c r="X1227">
        <v>817.16</v>
      </c>
      <c r="Y1227" t="s">
        <v>2008</v>
      </c>
      <c r="Z1227" t="s">
        <v>2020</v>
      </c>
      <c r="AB1227" t="s">
        <v>13913</v>
      </c>
      <c r="AC1227" t="s">
        <v>15138</v>
      </c>
      <c r="AD1227" t="s">
        <v>16351</v>
      </c>
      <c r="AE1227">
        <v>4</v>
      </c>
      <c r="AF1227" t="s">
        <v>2908</v>
      </c>
      <c r="AG1227" t="s">
        <v>2915</v>
      </c>
      <c r="AH1227">
        <v>19</v>
      </c>
      <c r="AI1227">
        <v>3</v>
      </c>
      <c r="AJ1227">
        <v>0</v>
      </c>
      <c r="AK1227">
        <v>31.39</v>
      </c>
      <c r="AN1227" t="s">
        <v>2927</v>
      </c>
      <c r="AO1227">
        <v>6696</v>
      </c>
      <c r="AU1227">
        <v>25.75</v>
      </c>
      <c r="AV1227" t="s">
        <v>354</v>
      </c>
      <c r="AW1227" t="s">
        <v>3061</v>
      </c>
      <c r="AX1227" t="s">
        <v>18685</v>
      </c>
    </row>
    <row r="1228" spans="1:50">
      <c r="A1228" s="1" t="s">
        <v>114</v>
      </c>
      <c r="B1228" t="s">
        <v>164</v>
      </c>
      <c r="C1228" t="s">
        <v>4438</v>
      </c>
      <c r="D1228" t="s">
        <v>203</v>
      </c>
      <c r="E1228" t="s">
        <v>249</v>
      </c>
      <c r="F1228" t="s">
        <v>7352</v>
      </c>
      <c r="G1228" t="s">
        <v>945</v>
      </c>
      <c r="H1228" t="s">
        <v>9907</v>
      </c>
      <c r="I1228" t="s">
        <v>1571</v>
      </c>
      <c r="J1228" t="s">
        <v>1641</v>
      </c>
      <c r="K1228">
        <v>10452</v>
      </c>
      <c r="L1228" t="s">
        <v>1670</v>
      </c>
      <c r="M1228" t="s">
        <v>1670</v>
      </c>
      <c r="N1228" t="s">
        <v>12166</v>
      </c>
      <c r="O1228" t="s">
        <v>1936</v>
      </c>
      <c r="P1228" t="s">
        <v>1962</v>
      </c>
      <c r="Q1228" t="s">
        <v>1968</v>
      </c>
      <c r="R1228" t="s">
        <v>50</v>
      </c>
      <c r="S1228" t="s">
        <v>1671</v>
      </c>
      <c r="U1228" t="s">
        <v>1972</v>
      </c>
      <c r="V1228" t="s">
        <v>1984</v>
      </c>
      <c r="W1228" t="s">
        <v>203</v>
      </c>
      <c r="X1228">
        <v>1716.62</v>
      </c>
      <c r="Y1228" t="s">
        <v>2006</v>
      </c>
      <c r="Z1228" t="s">
        <v>2013</v>
      </c>
      <c r="AA1228" t="s">
        <v>2030</v>
      </c>
      <c r="AB1228" t="s">
        <v>13914</v>
      </c>
      <c r="AD1228" t="s">
        <v>16352</v>
      </c>
      <c r="AE1228">
        <v>89</v>
      </c>
      <c r="AF1228" t="s">
        <v>2902</v>
      </c>
      <c r="AG1228" t="s">
        <v>2921</v>
      </c>
      <c r="AH1228">
        <v>6</v>
      </c>
      <c r="AI1228">
        <v>2</v>
      </c>
      <c r="AJ1228">
        <v>0</v>
      </c>
      <c r="AK1228">
        <v>31.52</v>
      </c>
      <c r="AN1228" t="s">
        <v>2926</v>
      </c>
      <c r="AO1228">
        <v>5330</v>
      </c>
      <c r="AU1228">
        <v>1.4</v>
      </c>
      <c r="AV1228" t="s">
        <v>3036</v>
      </c>
      <c r="AW1228" t="s">
        <v>114</v>
      </c>
      <c r="AX1228" t="s">
        <v>18685</v>
      </c>
    </row>
    <row r="1229" spans="1:50">
      <c r="A1229" s="1" t="s">
        <v>3184</v>
      </c>
      <c r="B1229" t="s">
        <v>163</v>
      </c>
      <c r="C1229" t="s">
        <v>4439</v>
      </c>
      <c r="D1229" t="s">
        <v>6152</v>
      </c>
      <c r="F1229" t="s">
        <v>7353</v>
      </c>
      <c r="G1229" t="s">
        <v>8469</v>
      </c>
      <c r="H1229" t="s">
        <v>1327</v>
      </c>
      <c r="I1229" t="s">
        <v>1589</v>
      </c>
      <c r="J1229" t="s">
        <v>1644</v>
      </c>
      <c r="K1229">
        <v>11230</v>
      </c>
      <c r="L1229" t="s">
        <v>1670</v>
      </c>
      <c r="M1229" t="s">
        <v>1670</v>
      </c>
      <c r="O1229" t="s">
        <v>1675</v>
      </c>
      <c r="P1229" t="s">
        <v>1959</v>
      </c>
      <c r="R1229" t="s">
        <v>50</v>
      </c>
      <c r="S1229" t="s">
        <v>1670</v>
      </c>
      <c r="U1229" t="s">
        <v>1972</v>
      </c>
      <c r="W1229" t="s">
        <v>247</v>
      </c>
      <c r="X1229" t="s">
        <v>13051</v>
      </c>
      <c r="Y1229" t="s">
        <v>2009</v>
      </c>
      <c r="AB1229" t="s">
        <v>13754</v>
      </c>
      <c r="AE1229" t="s">
        <v>13051</v>
      </c>
      <c r="AH1229" t="s">
        <v>13051</v>
      </c>
      <c r="AI1229">
        <v>2</v>
      </c>
      <c r="AJ1229">
        <v>0</v>
      </c>
      <c r="AK1229">
        <v>32.59</v>
      </c>
      <c r="AN1229" t="s">
        <v>2926</v>
      </c>
      <c r="AO1229">
        <v>5364</v>
      </c>
      <c r="AU1229">
        <v>0.9</v>
      </c>
      <c r="AV1229" t="s">
        <v>383</v>
      </c>
      <c r="AW1229" t="s">
        <v>3184</v>
      </c>
    </row>
    <row r="1230" spans="1:50">
      <c r="A1230" s="1" t="s">
        <v>120</v>
      </c>
      <c r="B1230" t="s">
        <v>164</v>
      </c>
      <c r="C1230" t="s">
        <v>4440</v>
      </c>
      <c r="D1230" t="s">
        <v>176</v>
      </c>
      <c r="E1230" t="s">
        <v>359</v>
      </c>
      <c r="F1230" t="s">
        <v>567</v>
      </c>
      <c r="G1230" t="s">
        <v>8470</v>
      </c>
      <c r="H1230" t="s">
        <v>9908</v>
      </c>
      <c r="I1230" t="s">
        <v>11189</v>
      </c>
      <c r="J1230" t="s">
        <v>1644</v>
      </c>
      <c r="K1230">
        <v>11239</v>
      </c>
      <c r="L1230" t="s">
        <v>1670</v>
      </c>
      <c r="M1230" t="s">
        <v>1670</v>
      </c>
      <c r="N1230" t="s">
        <v>1675</v>
      </c>
      <c r="O1230" t="s">
        <v>1944</v>
      </c>
      <c r="P1230" t="s">
        <v>1959</v>
      </c>
      <c r="Q1230" t="s">
        <v>1965</v>
      </c>
      <c r="R1230" t="s">
        <v>50</v>
      </c>
      <c r="S1230" t="s">
        <v>1671</v>
      </c>
      <c r="U1230" t="s">
        <v>1972</v>
      </c>
      <c r="V1230" t="s">
        <v>1984</v>
      </c>
      <c r="W1230" t="s">
        <v>231</v>
      </c>
      <c r="X1230" t="s">
        <v>13051</v>
      </c>
      <c r="Y1230" t="s">
        <v>2009</v>
      </c>
      <c r="Z1230" t="s">
        <v>2027</v>
      </c>
      <c r="AA1230" t="s">
        <v>2029</v>
      </c>
      <c r="AB1230" t="s">
        <v>13915</v>
      </c>
      <c r="AC1230" t="s">
        <v>15139</v>
      </c>
      <c r="AD1230" t="s">
        <v>16353</v>
      </c>
      <c r="AE1230">
        <v>1463</v>
      </c>
      <c r="AF1230" t="s">
        <v>2909</v>
      </c>
      <c r="AH1230" t="s">
        <v>13051</v>
      </c>
      <c r="AI1230">
        <v>3</v>
      </c>
      <c r="AJ1230">
        <v>0</v>
      </c>
      <c r="AK1230">
        <v>32.92</v>
      </c>
      <c r="AN1230" t="s">
        <v>2926</v>
      </c>
      <c r="AO1230">
        <v>6840</v>
      </c>
      <c r="AU1230">
        <v>1.65</v>
      </c>
      <c r="AV1230" t="s">
        <v>214</v>
      </c>
      <c r="AW1230" t="s">
        <v>3052</v>
      </c>
    </row>
    <row r="1231" spans="1:50">
      <c r="A1231" s="1" t="s">
        <v>54</v>
      </c>
      <c r="B1231" t="s">
        <v>164</v>
      </c>
      <c r="C1231" t="s">
        <v>4441</v>
      </c>
      <c r="D1231" t="s">
        <v>187</v>
      </c>
      <c r="E1231" t="s">
        <v>371</v>
      </c>
      <c r="F1231" t="s">
        <v>547</v>
      </c>
      <c r="G1231" t="s">
        <v>8471</v>
      </c>
      <c r="H1231" t="s">
        <v>9909</v>
      </c>
      <c r="I1231" t="s">
        <v>10967</v>
      </c>
      <c r="J1231" t="s">
        <v>1643</v>
      </c>
      <c r="K1231">
        <v>10034</v>
      </c>
      <c r="L1231" t="s">
        <v>1670</v>
      </c>
      <c r="M1231" t="s">
        <v>1670</v>
      </c>
      <c r="P1231" t="s">
        <v>1958</v>
      </c>
      <c r="Q1231" t="s">
        <v>1965</v>
      </c>
      <c r="R1231" t="s">
        <v>50</v>
      </c>
      <c r="S1231" t="s">
        <v>1671</v>
      </c>
      <c r="U1231" t="s">
        <v>1972</v>
      </c>
      <c r="W1231" t="s">
        <v>187</v>
      </c>
      <c r="X1231">
        <v>1928.54</v>
      </c>
      <c r="Y1231" t="s">
        <v>2008</v>
      </c>
      <c r="Z1231" t="s">
        <v>2013</v>
      </c>
      <c r="AA1231" t="s">
        <v>2029</v>
      </c>
      <c r="AB1231" t="s">
        <v>13916</v>
      </c>
      <c r="AD1231" t="s">
        <v>16354</v>
      </c>
      <c r="AE1231">
        <v>48</v>
      </c>
      <c r="AF1231" t="s">
        <v>2902</v>
      </c>
      <c r="AG1231" t="s">
        <v>1754</v>
      </c>
      <c r="AH1231">
        <v>7</v>
      </c>
      <c r="AI1231">
        <v>1</v>
      </c>
      <c r="AJ1231">
        <v>0</v>
      </c>
      <c r="AK1231">
        <v>33.11</v>
      </c>
      <c r="AN1231" t="s">
        <v>2926</v>
      </c>
      <c r="AO1231">
        <v>4020</v>
      </c>
      <c r="AU1231">
        <v>0.15</v>
      </c>
      <c r="AV1231" t="s">
        <v>371</v>
      </c>
      <c r="AW1231" t="s">
        <v>3042</v>
      </c>
    </row>
    <row r="1232" spans="1:50">
      <c r="A1232" s="1" t="s">
        <v>53</v>
      </c>
      <c r="B1232" t="s">
        <v>164</v>
      </c>
      <c r="C1232" t="s">
        <v>4442</v>
      </c>
      <c r="D1232" t="s">
        <v>343</v>
      </c>
      <c r="E1232" t="s">
        <v>258</v>
      </c>
      <c r="F1232" t="s">
        <v>7354</v>
      </c>
      <c r="G1232" t="s">
        <v>990</v>
      </c>
      <c r="H1232" t="s">
        <v>9910</v>
      </c>
      <c r="I1232" t="s">
        <v>1622</v>
      </c>
      <c r="J1232" t="s">
        <v>1645</v>
      </c>
      <c r="K1232">
        <v>11691</v>
      </c>
      <c r="L1232" t="s">
        <v>1670</v>
      </c>
      <c r="M1232" t="s">
        <v>1670</v>
      </c>
      <c r="N1232" t="s">
        <v>12167</v>
      </c>
      <c r="O1232" t="s">
        <v>1936</v>
      </c>
      <c r="P1232" t="s">
        <v>1960</v>
      </c>
      <c r="Q1232" t="s">
        <v>1969</v>
      </c>
      <c r="R1232" t="s">
        <v>50</v>
      </c>
      <c r="S1232" t="s">
        <v>1671</v>
      </c>
      <c r="U1232" t="s">
        <v>1972</v>
      </c>
      <c r="V1232" t="s">
        <v>1984</v>
      </c>
      <c r="W1232" t="s">
        <v>343</v>
      </c>
      <c r="X1232">
        <v>1144</v>
      </c>
      <c r="Y1232" t="s">
        <v>2007</v>
      </c>
      <c r="Z1232" t="s">
        <v>2014</v>
      </c>
      <c r="AA1232" t="s">
        <v>2032</v>
      </c>
      <c r="AB1232" t="s">
        <v>13917</v>
      </c>
      <c r="AC1232" t="s">
        <v>15140</v>
      </c>
      <c r="AD1232" t="s">
        <v>16355</v>
      </c>
      <c r="AE1232">
        <v>20</v>
      </c>
      <c r="AF1232" t="s">
        <v>2902</v>
      </c>
      <c r="AG1232" t="s">
        <v>2917</v>
      </c>
      <c r="AH1232">
        <v>4</v>
      </c>
      <c r="AI1232">
        <v>1</v>
      </c>
      <c r="AJ1232">
        <v>0</v>
      </c>
      <c r="AK1232">
        <v>33.84</v>
      </c>
      <c r="AN1232" t="s">
        <v>2926</v>
      </c>
      <c r="AO1232">
        <v>4108</v>
      </c>
      <c r="AQ1232" t="s">
        <v>2977</v>
      </c>
      <c r="AR1232" t="s">
        <v>18465</v>
      </c>
      <c r="AS1232" t="s">
        <v>2992</v>
      </c>
      <c r="AT1232" t="s">
        <v>18541</v>
      </c>
      <c r="AU1232">
        <v>41.4</v>
      </c>
      <c r="AV1232" t="s">
        <v>286</v>
      </c>
      <c r="AW1232" t="s">
        <v>3044</v>
      </c>
    </row>
    <row r="1233" spans="1:50">
      <c r="A1233" s="1" t="s">
        <v>63</v>
      </c>
      <c r="B1233" t="s">
        <v>164</v>
      </c>
      <c r="C1233" t="s">
        <v>4443</v>
      </c>
      <c r="D1233" t="s">
        <v>6172</v>
      </c>
      <c r="E1233" t="s">
        <v>359</v>
      </c>
      <c r="F1233" t="s">
        <v>649</v>
      </c>
      <c r="G1233" t="s">
        <v>883</v>
      </c>
      <c r="H1233" t="s">
        <v>9911</v>
      </c>
      <c r="I1233" t="s">
        <v>1486</v>
      </c>
      <c r="J1233" t="s">
        <v>1641</v>
      </c>
      <c r="K1233">
        <v>10453</v>
      </c>
      <c r="L1233" t="s">
        <v>1670</v>
      </c>
      <c r="M1233" t="s">
        <v>1670</v>
      </c>
      <c r="O1233" t="s">
        <v>1936</v>
      </c>
      <c r="P1233" t="s">
        <v>1958</v>
      </c>
      <c r="Q1233" t="s">
        <v>1965</v>
      </c>
      <c r="R1233" t="s">
        <v>50</v>
      </c>
      <c r="S1233" t="s">
        <v>1671</v>
      </c>
      <c r="U1233" t="s">
        <v>1972</v>
      </c>
      <c r="W1233" t="s">
        <v>342</v>
      </c>
      <c r="X1233">
        <v>906</v>
      </c>
      <c r="Y1233" t="s">
        <v>2006</v>
      </c>
      <c r="Z1233" t="s">
        <v>2020</v>
      </c>
      <c r="AA1233" t="s">
        <v>2029</v>
      </c>
      <c r="AB1233" t="s">
        <v>13918</v>
      </c>
      <c r="AD1233" t="s">
        <v>16356</v>
      </c>
      <c r="AE1233">
        <v>30</v>
      </c>
      <c r="AF1233" t="s">
        <v>2902</v>
      </c>
      <c r="AG1233" t="s">
        <v>1754</v>
      </c>
      <c r="AH1233">
        <v>8</v>
      </c>
      <c r="AI1233">
        <v>1</v>
      </c>
      <c r="AJ1233">
        <v>0</v>
      </c>
      <c r="AK1233">
        <v>33.89</v>
      </c>
      <c r="AN1233" t="s">
        <v>2926</v>
      </c>
      <c r="AO1233">
        <v>4114</v>
      </c>
      <c r="AP1233" t="s">
        <v>18261</v>
      </c>
      <c r="AU1233">
        <v>2.15</v>
      </c>
      <c r="AV1233" t="s">
        <v>278</v>
      </c>
      <c r="AW1233" t="s">
        <v>3046</v>
      </c>
    </row>
    <row r="1234" spans="1:50">
      <c r="A1234" s="1" t="s">
        <v>57</v>
      </c>
      <c r="B1234" t="s">
        <v>163</v>
      </c>
      <c r="C1234" t="s">
        <v>4444</v>
      </c>
      <c r="D1234" t="s">
        <v>336</v>
      </c>
      <c r="F1234" t="s">
        <v>7355</v>
      </c>
      <c r="G1234" t="s">
        <v>8472</v>
      </c>
      <c r="H1234" t="s">
        <v>9700</v>
      </c>
      <c r="I1234" t="s">
        <v>10972</v>
      </c>
      <c r="J1234" t="s">
        <v>1641</v>
      </c>
      <c r="K1234">
        <v>10452</v>
      </c>
      <c r="L1234" t="s">
        <v>1670</v>
      </c>
      <c r="M1234" t="s">
        <v>1670</v>
      </c>
      <c r="O1234" t="s">
        <v>1936</v>
      </c>
      <c r="P1234" t="s">
        <v>1958</v>
      </c>
      <c r="R1234" t="s">
        <v>50</v>
      </c>
      <c r="S1234" t="s">
        <v>1671</v>
      </c>
      <c r="U1234" t="s">
        <v>1972</v>
      </c>
      <c r="W1234" t="s">
        <v>265</v>
      </c>
      <c r="X1234">
        <v>715.1900000000001</v>
      </c>
      <c r="Y1234" t="s">
        <v>2006</v>
      </c>
      <c r="Z1234" t="s">
        <v>2015</v>
      </c>
      <c r="AB1234" t="s">
        <v>13919</v>
      </c>
      <c r="AD1234" t="s">
        <v>16357</v>
      </c>
      <c r="AE1234">
        <v>147</v>
      </c>
      <c r="AF1234" t="s">
        <v>2909</v>
      </c>
      <c r="AG1234" t="s">
        <v>2915</v>
      </c>
      <c r="AH1234">
        <v>25</v>
      </c>
      <c r="AI1234">
        <v>1</v>
      </c>
      <c r="AJ1234">
        <v>0</v>
      </c>
      <c r="AK1234">
        <v>34.11</v>
      </c>
      <c r="AN1234" t="s">
        <v>2926</v>
      </c>
      <c r="AO1234">
        <v>4260</v>
      </c>
      <c r="AU1234">
        <v>0.1</v>
      </c>
      <c r="AV1234" t="s">
        <v>265</v>
      </c>
      <c r="AW1234" t="s">
        <v>3046</v>
      </c>
    </row>
    <row r="1235" spans="1:50">
      <c r="A1235" s="1" t="s">
        <v>98</v>
      </c>
      <c r="B1235" t="s">
        <v>163</v>
      </c>
      <c r="C1235" t="s">
        <v>4445</v>
      </c>
      <c r="D1235" t="s">
        <v>291</v>
      </c>
      <c r="F1235" t="s">
        <v>689</v>
      </c>
      <c r="G1235" t="s">
        <v>870</v>
      </c>
      <c r="H1235" t="s">
        <v>9912</v>
      </c>
      <c r="I1235" t="s">
        <v>11190</v>
      </c>
      <c r="J1235" t="s">
        <v>1641</v>
      </c>
      <c r="K1235">
        <v>10454</v>
      </c>
      <c r="L1235" t="s">
        <v>1670</v>
      </c>
      <c r="M1235" t="s">
        <v>1672</v>
      </c>
      <c r="O1235" t="s">
        <v>1675</v>
      </c>
      <c r="P1235" t="s">
        <v>1962</v>
      </c>
      <c r="R1235" t="s">
        <v>50</v>
      </c>
      <c r="S1235" t="s">
        <v>1671</v>
      </c>
      <c r="U1235" t="s">
        <v>1972</v>
      </c>
      <c r="W1235" t="s">
        <v>1994</v>
      </c>
      <c r="X1235">
        <v>400</v>
      </c>
      <c r="Y1235" t="s">
        <v>2006</v>
      </c>
      <c r="Z1235" t="s">
        <v>2020</v>
      </c>
      <c r="AB1235" t="s">
        <v>13920</v>
      </c>
      <c r="AD1235" t="s">
        <v>16358</v>
      </c>
      <c r="AE1235" t="s">
        <v>13051</v>
      </c>
      <c r="AF1235" t="s">
        <v>2904</v>
      </c>
      <c r="AG1235" t="s">
        <v>1754</v>
      </c>
      <c r="AH1235" t="s">
        <v>13051</v>
      </c>
      <c r="AI1235">
        <v>2</v>
      </c>
      <c r="AJ1235">
        <v>0</v>
      </c>
      <c r="AK1235">
        <v>35.28</v>
      </c>
      <c r="AN1235" t="s">
        <v>2927</v>
      </c>
      <c r="AO1235">
        <v>5966.4</v>
      </c>
      <c r="AU1235">
        <v>3.4</v>
      </c>
      <c r="AV1235" t="s">
        <v>325</v>
      </c>
      <c r="AW1235" t="s">
        <v>98</v>
      </c>
      <c r="AX1235" t="s">
        <v>18685</v>
      </c>
    </row>
    <row r="1236" spans="1:50">
      <c r="A1236" s="1" t="s">
        <v>99</v>
      </c>
      <c r="B1236" t="s">
        <v>164</v>
      </c>
      <c r="C1236" t="s">
        <v>4446</v>
      </c>
      <c r="D1236" t="s">
        <v>310</v>
      </c>
      <c r="E1236" t="s">
        <v>258</v>
      </c>
      <c r="F1236" t="s">
        <v>7009</v>
      </c>
      <c r="G1236" t="s">
        <v>8473</v>
      </c>
      <c r="H1236" t="s">
        <v>9913</v>
      </c>
      <c r="I1236" t="s">
        <v>11191</v>
      </c>
      <c r="J1236" t="s">
        <v>11750</v>
      </c>
      <c r="K1236">
        <v>11420</v>
      </c>
      <c r="L1236" t="s">
        <v>1670</v>
      </c>
      <c r="M1236" t="s">
        <v>1670</v>
      </c>
      <c r="N1236" t="s">
        <v>11921</v>
      </c>
      <c r="O1236" t="s">
        <v>1675</v>
      </c>
      <c r="P1236" t="s">
        <v>1958</v>
      </c>
      <c r="Q1236" t="s">
        <v>1965</v>
      </c>
      <c r="R1236" t="s">
        <v>51</v>
      </c>
      <c r="S1236" t="s">
        <v>1671</v>
      </c>
      <c r="U1236" t="s">
        <v>1972</v>
      </c>
      <c r="V1236" t="s">
        <v>1984</v>
      </c>
      <c r="W1236" t="s">
        <v>310</v>
      </c>
      <c r="X1236" t="s">
        <v>13051</v>
      </c>
      <c r="Y1236" t="s">
        <v>2007</v>
      </c>
      <c r="Z1236" t="s">
        <v>2012</v>
      </c>
      <c r="AA1236" t="s">
        <v>2029</v>
      </c>
      <c r="AB1236" t="s">
        <v>13921</v>
      </c>
      <c r="AC1236" t="s">
        <v>15091</v>
      </c>
      <c r="AD1236" t="s">
        <v>16359</v>
      </c>
      <c r="AE1236">
        <v>2</v>
      </c>
      <c r="AF1236" t="s">
        <v>2903</v>
      </c>
      <c r="AG1236" t="s">
        <v>1754</v>
      </c>
      <c r="AH1236">
        <v>1</v>
      </c>
      <c r="AI1236">
        <v>2</v>
      </c>
      <c r="AJ1236">
        <v>0</v>
      </c>
      <c r="AK1236">
        <v>35.48</v>
      </c>
      <c r="AL1236" t="s">
        <v>2923</v>
      </c>
      <c r="AM1236" t="s">
        <v>2924</v>
      </c>
      <c r="AN1236" t="s">
        <v>2927</v>
      </c>
      <c r="AO1236">
        <v>6000</v>
      </c>
      <c r="AU1236">
        <v>1.6</v>
      </c>
      <c r="AV1236" t="s">
        <v>310</v>
      </c>
      <c r="AW1236" t="s">
        <v>99</v>
      </c>
    </row>
    <row r="1237" spans="1:50">
      <c r="A1237" s="1" t="s">
        <v>143</v>
      </c>
      <c r="B1237" t="s">
        <v>163</v>
      </c>
      <c r="C1237" t="s">
        <v>4447</v>
      </c>
      <c r="D1237" t="s">
        <v>347</v>
      </c>
      <c r="F1237" t="s">
        <v>7356</v>
      </c>
      <c r="G1237" t="s">
        <v>797</v>
      </c>
      <c r="H1237" t="s">
        <v>9914</v>
      </c>
      <c r="I1237">
        <v>2</v>
      </c>
      <c r="J1237" t="s">
        <v>1644</v>
      </c>
      <c r="K1237">
        <v>11233</v>
      </c>
      <c r="L1237" t="s">
        <v>1670</v>
      </c>
      <c r="M1237" t="s">
        <v>1670</v>
      </c>
      <c r="N1237" t="s">
        <v>12168</v>
      </c>
      <c r="O1237" t="s">
        <v>1940</v>
      </c>
      <c r="P1237" t="s">
        <v>1962</v>
      </c>
      <c r="R1237" t="s">
        <v>50</v>
      </c>
      <c r="S1237" t="s">
        <v>1671</v>
      </c>
      <c r="U1237" t="s">
        <v>1972</v>
      </c>
      <c r="W1237" t="s">
        <v>237</v>
      </c>
      <c r="X1237" t="s">
        <v>13051</v>
      </c>
      <c r="Y1237" t="s">
        <v>2009</v>
      </c>
      <c r="AB1237" t="s">
        <v>13922</v>
      </c>
      <c r="AD1237" t="s">
        <v>16360</v>
      </c>
      <c r="AE1237">
        <v>2</v>
      </c>
      <c r="AF1237" t="s">
        <v>2903</v>
      </c>
      <c r="AG1237" t="s">
        <v>1754</v>
      </c>
      <c r="AH1237">
        <v>6</v>
      </c>
      <c r="AI1237">
        <v>6</v>
      </c>
      <c r="AJ1237">
        <v>0</v>
      </c>
      <c r="AK1237">
        <v>35.57</v>
      </c>
      <c r="AN1237" t="s">
        <v>2926</v>
      </c>
      <c r="AO1237">
        <v>12000</v>
      </c>
      <c r="AU1237" t="s">
        <v>13051</v>
      </c>
      <c r="AW1237" t="s">
        <v>3059</v>
      </c>
      <c r="AX1237" t="s">
        <v>18685</v>
      </c>
    </row>
    <row r="1238" spans="1:50">
      <c r="A1238" s="1" t="s">
        <v>103</v>
      </c>
      <c r="B1238" t="s">
        <v>163</v>
      </c>
      <c r="C1238" t="s">
        <v>4448</v>
      </c>
      <c r="D1238" t="s">
        <v>6146</v>
      </c>
      <c r="F1238" t="s">
        <v>7353</v>
      </c>
      <c r="G1238" t="s">
        <v>8474</v>
      </c>
      <c r="H1238" t="s">
        <v>9915</v>
      </c>
      <c r="I1238" t="s">
        <v>10989</v>
      </c>
      <c r="J1238" t="s">
        <v>1644</v>
      </c>
      <c r="K1238">
        <v>11239</v>
      </c>
      <c r="L1238" t="s">
        <v>1670</v>
      </c>
      <c r="M1238" t="s">
        <v>1670</v>
      </c>
      <c r="N1238" t="s">
        <v>12169</v>
      </c>
      <c r="O1238" t="s">
        <v>1936</v>
      </c>
      <c r="P1238" t="s">
        <v>1958</v>
      </c>
      <c r="R1238" t="s">
        <v>50</v>
      </c>
      <c r="U1238" t="s">
        <v>1972</v>
      </c>
      <c r="W1238" t="s">
        <v>6156</v>
      </c>
      <c r="X1238">
        <v>792</v>
      </c>
      <c r="Y1238" t="s">
        <v>2009</v>
      </c>
      <c r="Z1238" t="s">
        <v>2026</v>
      </c>
      <c r="AB1238" t="s">
        <v>13923</v>
      </c>
      <c r="AC1238" t="s">
        <v>15141</v>
      </c>
      <c r="AD1238" t="s">
        <v>16361</v>
      </c>
      <c r="AE1238">
        <v>40</v>
      </c>
      <c r="AF1238" t="s">
        <v>2908</v>
      </c>
      <c r="AG1238" t="s">
        <v>1754</v>
      </c>
      <c r="AH1238">
        <v>10</v>
      </c>
      <c r="AI1238">
        <v>1</v>
      </c>
      <c r="AJ1238">
        <v>0</v>
      </c>
      <c r="AK1238">
        <v>35.68</v>
      </c>
      <c r="AN1238" t="s">
        <v>2926</v>
      </c>
      <c r="AO1238">
        <v>4332</v>
      </c>
      <c r="AP1238" t="s">
        <v>2953</v>
      </c>
      <c r="AU1238">
        <v>5.95</v>
      </c>
      <c r="AV1238" t="s">
        <v>256</v>
      </c>
      <c r="AW1238" t="s">
        <v>3083</v>
      </c>
    </row>
    <row r="1239" spans="1:50">
      <c r="A1239" s="1" t="s">
        <v>103</v>
      </c>
      <c r="B1239" t="s">
        <v>163</v>
      </c>
      <c r="C1239" t="s">
        <v>4449</v>
      </c>
      <c r="D1239" t="s">
        <v>385</v>
      </c>
      <c r="F1239" t="s">
        <v>513</v>
      </c>
      <c r="G1239" t="s">
        <v>888</v>
      </c>
      <c r="H1239" t="s">
        <v>9916</v>
      </c>
      <c r="I1239">
        <v>254</v>
      </c>
      <c r="J1239" t="s">
        <v>1644</v>
      </c>
      <c r="K1239">
        <v>11208</v>
      </c>
      <c r="L1239" t="s">
        <v>1670</v>
      </c>
      <c r="M1239" t="s">
        <v>1670</v>
      </c>
      <c r="N1239" t="s">
        <v>12170</v>
      </c>
      <c r="O1239" t="s">
        <v>1936</v>
      </c>
      <c r="P1239" t="s">
        <v>1960</v>
      </c>
      <c r="R1239" t="s">
        <v>50</v>
      </c>
      <c r="S1239" t="s">
        <v>1671</v>
      </c>
      <c r="U1239" t="s">
        <v>1972</v>
      </c>
      <c r="V1239" t="s">
        <v>1984</v>
      </c>
      <c r="W1239" t="s">
        <v>255</v>
      </c>
      <c r="X1239">
        <v>1561</v>
      </c>
      <c r="Y1239" t="s">
        <v>2009</v>
      </c>
      <c r="Z1239" t="s">
        <v>2017</v>
      </c>
      <c r="AB1239" t="s">
        <v>13924</v>
      </c>
      <c r="AC1239">
        <v>5428120</v>
      </c>
      <c r="AD1239" t="s">
        <v>16362</v>
      </c>
      <c r="AE1239">
        <v>266</v>
      </c>
      <c r="AF1239" t="s">
        <v>2902</v>
      </c>
      <c r="AH1239">
        <v>5</v>
      </c>
      <c r="AI1239">
        <v>2</v>
      </c>
      <c r="AJ1239">
        <v>0</v>
      </c>
      <c r="AK1239">
        <v>35.77</v>
      </c>
      <c r="AN1239" t="s">
        <v>2926</v>
      </c>
      <c r="AO1239">
        <v>6048</v>
      </c>
      <c r="AU1239">
        <v>10.75</v>
      </c>
      <c r="AV1239" t="s">
        <v>333</v>
      </c>
      <c r="AW1239" t="s">
        <v>3059</v>
      </c>
      <c r="AX1239" t="s">
        <v>18685</v>
      </c>
    </row>
    <row r="1240" spans="1:50">
      <c r="A1240" s="1" t="s">
        <v>57</v>
      </c>
      <c r="B1240" t="s">
        <v>164</v>
      </c>
      <c r="C1240" t="s">
        <v>4450</v>
      </c>
      <c r="D1240" t="s">
        <v>241</v>
      </c>
      <c r="E1240" t="s">
        <v>194</v>
      </c>
      <c r="F1240" t="s">
        <v>7357</v>
      </c>
      <c r="G1240" t="s">
        <v>8475</v>
      </c>
      <c r="H1240" t="s">
        <v>9917</v>
      </c>
      <c r="I1240" t="s">
        <v>1548</v>
      </c>
      <c r="J1240" t="s">
        <v>1641</v>
      </c>
      <c r="K1240">
        <v>10453</v>
      </c>
      <c r="L1240" t="s">
        <v>1670</v>
      </c>
      <c r="M1240" t="s">
        <v>1670</v>
      </c>
      <c r="N1240" t="s">
        <v>12171</v>
      </c>
      <c r="O1240" t="s">
        <v>1940</v>
      </c>
      <c r="P1240" t="s">
        <v>1962</v>
      </c>
      <c r="Q1240" t="s">
        <v>1968</v>
      </c>
      <c r="R1240" t="s">
        <v>50</v>
      </c>
      <c r="U1240" t="s">
        <v>1972</v>
      </c>
      <c r="V1240" t="s">
        <v>1985</v>
      </c>
      <c r="W1240" t="s">
        <v>241</v>
      </c>
      <c r="X1240">
        <v>54</v>
      </c>
      <c r="Y1240" t="s">
        <v>2006</v>
      </c>
      <c r="Z1240" t="s">
        <v>2015</v>
      </c>
      <c r="AA1240" t="s">
        <v>2034</v>
      </c>
      <c r="AB1240" t="s">
        <v>13925</v>
      </c>
      <c r="AD1240" t="s">
        <v>16363</v>
      </c>
      <c r="AE1240">
        <v>59</v>
      </c>
      <c r="AF1240" t="s">
        <v>2902</v>
      </c>
      <c r="AG1240" t="s">
        <v>2915</v>
      </c>
      <c r="AH1240">
        <v>17</v>
      </c>
      <c r="AI1240">
        <v>1</v>
      </c>
      <c r="AJ1240">
        <v>0</v>
      </c>
      <c r="AK1240">
        <v>35.88</v>
      </c>
      <c r="AN1240" t="s">
        <v>2927</v>
      </c>
      <c r="AO1240">
        <v>4356</v>
      </c>
      <c r="AU1240">
        <v>0.1</v>
      </c>
      <c r="AV1240" t="s">
        <v>194</v>
      </c>
      <c r="AW1240" t="s">
        <v>3046</v>
      </c>
    </row>
    <row r="1241" spans="1:50">
      <c r="A1241" s="1" t="s">
        <v>54</v>
      </c>
      <c r="B1241" t="s">
        <v>164</v>
      </c>
      <c r="C1241" t="s">
        <v>4451</v>
      </c>
      <c r="D1241" t="s">
        <v>212</v>
      </c>
      <c r="E1241" t="s">
        <v>392</v>
      </c>
      <c r="F1241" t="s">
        <v>7358</v>
      </c>
      <c r="G1241" t="s">
        <v>8476</v>
      </c>
      <c r="H1241" t="s">
        <v>9918</v>
      </c>
      <c r="I1241" t="s">
        <v>1488</v>
      </c>
      <c r="J1241" t="s">
        <v>1643</v>
      </c>
      <c r="K1241">
        <v>10034</v>
      </c>
      <c r="L1241" t="s">
        <v>1670</v>
      </c>
      <c r="M1241" t="s">
        <v>1670</v>
      </c>
      <c r="N1241" t="s">
        <v>12172</v>
      </c>
      <c r="O1241" t="s">
        <v>1936</v>
      </c>
      <c r="P1241" t="s">
        <v>1962</v>
      </c>
      <c r="Q1241" t="s">
        <v>1968</v>
      </c>
      <c r="R1241" t="s">
        <v>50</v>
      </c>
      <c r="S1241" t="s">
        <v>1671</v>
      </c>
      <c r="U1241" t="s">
        <v>1972</v>
      </c>
      <c r="W1241" t="s">
        <v>212</v>
      </c>
      <c r="X1241">
        <v>2000.13</v>
      </c>
      <c r="Y1241" t="s">
        <v>2008</v>
      </c>
      <c r="Z1241" t="s">
        <v>2020</v>
      </c>
      <c r="AA1241" t="s">
        <v>2030</v>
      </c>
      <c r="AB1241" t="s">
        <v>13926</v>
      </c>
      <c r="AD1241" t="s">
        <v>16364</v>
      </c>
      <c r="AE1241">
        <v>72</v>
      </c>
      <c r="AF1241" t="s">
        <v>2902</v>
      </c>
      <c r="AG1241" t="s">
        <v>1754</v>
      </c>
      <c r="AH1241">
        <v>12</v>
      </c>
      <c r="AI1241">
        <v>1</v>
      </c>
      <c r="AJ1241">
        <v>0</v>
      </c>
      <c r="AK1241">
        <v>35.93</v>
      </c>
      <c r="AN1241" t="s">
        <v>2926</v>
      </c>
      <c r="AO1241">
        <v>4488</v>
      </c>
      <c r="AU1241">
        <v>3</v>
      </c>
      <c r="AV1241" t="s">
        <v>186</v>
      </c>
      <c r="AW1241" t="s">
        <v>3042</v>
      </c>
      <c r="AX1241" t="s">
        <v>18685</v>
      </c>
    </row>
    <row r="1242" spans="1:50">
      <c r="A1242" s="1" t="s">
        <v>65</v>
      </c>
      <c r="B1242" t="s">
        <v>163</v>
      </c>
      <c r="C1242" t="s">
        <v>4452</v>
      </c>
      <c r="D1242" t="s">
        <v>404</v>
      </c>
      <c r="F1242" t="s">
        <v>724</v>
      </c>
      <c r="G1242" t="s">
        <v>8477</v>
      </c>
      <c r="H1242" t="s">
        <v>1335</v>
      </c>
      <c r="I1242" t="s">
        <v>1510</v>
      </c>
      <c r="J1242" t="s">
        <v>1644</v>
      </c>
      <c r="K1242">
        <v>11225</v>
      </c>
      <c r="L1242" t="s">
        <v>1670</v>
      </c>
      <c r="M1242" t="s">
        <v>1672</v>
      </c>
      <c r="P1242" t="s">
        <v>1959</v>
      </c>
      <c r="R1242" t="s">
        <v>50</v>
      </c>
      <c r="S1242" t="s">
        <v>1670</v>
      </c>
      <c r="U1242" t="s">
        <v>1972</v>
      </c>
      <c r="W1242" t="s">
        <v>404</v>
      </c>
      <c r="X1242" t="s">
        <v>13051</v>
      </c>
      <c r="Y1242" t="s">
        <v>2009</v>
      </c>
      <c r="AB1242" t="s">
        <v>13927</v>
      </c>
      <c r="AD1242" t="s">
        <v>16365</v>
      </c>
      <c r="AE1242" t="s">
        <v>13051</v>
      </c>
      <c r="AH1242" t="s">
        <v>13051</v>
      </c>
      <c r="AI1242">
        <v>4</v>
      </c>
      <c r="AJ1242">
        <v>0</v>
      </c>
      <c r="AK1242">
        <v>36.25</v>
      </c>
      <c r="AN1242" t="s">
        <v>2926</v>
      </c>
      <c r="AO1242">
        <v>9335.16</v>
      </c>
      <c r="AU1242" t="s">
        <v>13051</v>
      </c>
      <c r="AW1242" t="s">
        <v>158</v>
      </c>
      <c r="AX1242" t="s">
        <v>18685</v>
      </c>
    </row>
    <row r="1243" spans="1:50">
      <c r="A1243" s="1" t="s">
        <v>90</v>
      </c>
      <c r="B1243" t="s">
        <v>163</v>
      </c>
      <c r="C1243" t="s">
        <v>4453</v>
      </c>
      <c r="D1243" t="s">
        <v>301</v>
      </c>
      <c r="F1243" t="s">
        <v>7359</v>
      </c>
      <c r="G1243" t="s">
        <v>8478</v>
      </c>
      <c r="H1243" t="s">
        <v>9919</v>
      </c>
      <c r="J1243" t="s">
        <v>1646</v>
      </c>
      <c r="K1243">
        <v>10301</v>
      </c>
      <c r="L1243" t="s">
        <v>1670</v>
      </c>
      <c r="M1243" t="s">
        <v>1670</v>
      </c>
      <c r="N1243" t="s">
        <v>12173</v>
      </c>
      <c r="O1243" t="s">
        <v>1936</v>
      </c>
      <c r="P1243" t="s">
        <v>1960</v>
      </c>
      <c r="R1243" t="s">
        <v>50</v>
      </c>
      <c r="S1243" t="s">
        <v>1671</v>
      </c>
      <c r="U1243" t="s">
        <v>1972</v>
      </c>
      <c r="V1243" t="s">
        <v>1984</v>
      </c>
      <c r="W1243" t="s">
        <v>301</v>
      </c>
      <c r="X1243">
        <v>911</v>
      </c>
      <c r="Y1243" t="s">
        <v>2010</v>
      </c>
      <c r="Z1243" t="s">
        <v>2017</v>
      </c>
      <c r="AB1243" t="s">
        <v>13928</v>
      </c>
      <c r="AD1243" t="s">
        <v>16366</v>
      </c>
      <c r="AE1243" t="s">
        <v>13051</v>
      </c>
      <c r="AH1243">
        <v>3</v>
      </c>
      <c r="AI1243">
        <v>2</v>
      </c>
      <c r="AJ1243">
        <v>0</v>
      </c>
      <c r="AK1243">
        <v>36.33</v>
      </c>
      <c r="AN1243" t="s">
        <v>2926</v>
      </c>
      <c r="AO1243">
        <v>6144</v>
      </c>
      <c r="AU1243">
        <v>8.1</v>
      </c>
      <c r="AV1243" t="s">
        <v>396</v>
      </c>
      <c r="AW1243" t="s">
        <v>3072</v>
      </c>
    </row>
    <row r="1244" spans="1:50">
      <c r="A1244" s="1" t="s">
        <v>3185</v>
      </c>
      <c r="B1244" t="s">
        <v>164</v>
      </c>
      <c r="C1244" t="s">
        <v>4454</v>
      </c>
      <c r="D1244" t="s">
        <v>340</v>
      </c>
      <c r="E1244" t="s">
        <v>303</v>
      </c>
      <c r="F1244" t="s">
        <v>7360</v>
      </c>
      <c r="G1244" t="s">
        <v>8479</v>
      </c>
      <c r="H1244" t="s">
        <v>1163</v>
      </c>
      <c r="I1244" t="s">
        <v>11071</v>
      </c>
      <c r="J1244" t="s">
        <v>1641</v>
      </c>
      <c r="K1244">
        <v>10467</v>
      </c>
      <c r="L1244" t="s">
        <v>1670</v>
      </c>
      <c r="M1244" t="s">
        <v>1670</v>
      </c>
      <c r="O1244" t="s">
        <v>1955</v>
      </c>
      <c r="P1244" t="s">
        <v>1959</v>
      </c>
      <c r="Q1244" t="s">
        <v>1968</v>
      </c>
      <c r="R1244" t="s">
        <v>50</v>
      </c>
      <c r="S1244" t="s">
        <v>1671</v>
      </c>
      <c r="U1244" t="s">
        <v>1973</v>
      </c>
      <c r="W1244" t="s">
        <v>250</v>
      </c>
      <c r="X1244">
        <v>1332.6</v>
      </c>
      <c r="Y1244" t="s">
        <v>2006</v>
      </c>
      <c r="Z1244" t="s">
        <v>2021</v>
      </c>
      <c r="AA1244" t="s">
        <v>2030</v>
      </c>
      <c r="AB1244" t="s">
        <v>13929</v>
      </c>
      <c r="AD1244" t="s">
        <v>16367</v>
      </c>
      <c r="AE1244" t="s">
        <v>13051</v>
      </c>
      <c r="AF1244" t="s">
        <v>2902</v>
      </c>
      <c r="AG1244" t="s">
        <v>2915</v>
      </c>
      <c r="AH1244">
        <v>32</v>
      </c>
      <c r="AI1244">
        <v>2</v>
      </c>
      <c r="AJ1244">
        <v>0</v>
      </c>
      <c r="AK1244">
        <v>36.67</v>
      </c>
      <c r="AN1244" t="s">
        <v>2927</v>
      </c>
      <c r="AO1244">
        <v>6036</v>
      </c>
      <c r="AU1244">
        <v>0.8</v>
      </c>
      <c r="AV1244" t="s">
        <v>331</v>
      </c>
      <c r="AW1244" t="s">
        <v>3054</v>
      </c>
    </row>
    <row r="1245" spans="1:50">
      <c r="A1245" s="1" t="s">
        <v>115</v>
      </c>
      <c r="B1245" t="s">
        <v>164</v>
      </c>
      <c r="C1245" t="s">
        <v>4455</v>
      </c>
      <c r="D1245" t="s">
        <v>351</v>
      </c>
      <c r="E1245" t="s">
        <v>376</v>
      </c>
      <c r="F1245" t="s">
        <v>7361</v>
      </c>
      <c r="G1245" t="s">
        <v>909</v>
      </c>
      <c r="H1245" t="s">
        <v>1386</v>
      </c>
      <c r="I1245" t="s">
        <v>11192</v>
      </c>
      <c r="J1245" t="s">
        <v>1641</v>
      </c>
      <c r="K1245">
        <v>10453</v>
      </c>
      <c r="L1245" t="s">
        <v>1670</v>
      </c>
      <c r="M1245" t="s">
        <v>1670</v>
      </c>
      <c r="O1245" t="s">
        <v>1675</v>
      </c>
      <c r="P1245" t="s">
        <v>1958</v>
      </c>
      <c r="Q1245" t="s">
        <v>1965</v>
      </c>
      <c r="R1245" t="s">
        <v>50</v>
      </c>
      <c r="S1245" t="s">
        <v>1671</v>
      </c>
      <c r="U1245" t="s">
        <v>1972</v>
      </c>
      <c r="W1245" t="s">
        <v>238</v>
      </c>
      <c r="X1245">
        <v>250</v>
      </c>
      <c r="Y1245" t="s">
        <v>2006</v>
      </c>
      <c r="Z1245" t="s">
        <v>2015</v>
      </c>
      <c r="AA1245" t="s">
        <v>2029</v>
      </c>
      <c r="AB1245" t="s">
        <v>13930</v>
      </c>
      <c r="AD1245" t="s">
        <v>16368</v>
      </c>
      <c r="AE1245">
        <v>50</v>
      </c>
      <c r="AF1245" t="s">
        <v>2902</v>
      </c>
      <c r="AG1245" t="s">
        <v>1754</v>
      </c>
      <c r="AH1245">
        <v>3</v>
      </c>
      <c r="AI1245">
        <v>2</v>
      </c>
      <c r="AJ1245">
        <v>0</v>
      </c>
      <c r="AK1245">
        <v>36.96</v>
      </c>
      <c r="AN1245" t="s">
        <v>2926</v>
      </c>
      <c r="AO1245">
        <v>6084</v>
      </c>
      <c r="AU1245">
        <v>2.54</v>
      </c>
      <c r="AV1245" t="s">
        <v>376</v>
      </c>
      <c r="AW1245" t="s">
        <v>18654</v>
      </c>
    </row>
    <row r="1246" spans="1:50">
      <c r="A1246" s="1" t="s">
        <v>57</v>
      </c>
      <c r="B1246" t="s">
        <v>163</v>
      </c>
      <c r="C1246" t="s">
        <v>4456</v>
      </c>
      <c r="D1246" t="s">
        <v>6173</v>
      </c>
      <c r="F1246" t="s">
        <v>7362</v>
      </c>
      <c r="G1246" t="s">
        <v>1048</v>
      </c>
      <c r="H1246" t="s">
        <v>1112</v>
      </c>
      <c r="I1246" t="s">
        <v>11032</v>
      </c>
      <c r="J1246" t="s">
        <v>1641</v>
      </c>
      <c r="K1246">
        <v>10453</v>
      </c>
      <c r="L1246" t="s">
        <v>1670</v>
      </c>
      <c r="M1246" t="s">
        <v>1670</v>
      </c>
      <c r="O1246" t="s">
        <v>1938</v>
      </c>
      <c r="P1246" t="s">
        <v>1961</v>
      </c>
      <c r="R1246" t="s">
        <v>50</v>
      </c>
      <c r="S1246" t="s">
        <v>1670</v>
      </c>
      <c r="U1246" t="s">
        <v>1972</v>
      </c>
      <c r="W1246" t="s">
        <v>392</v>
      </c>
      <c r="X1246">
        <v>1193.81</v>
      </c>
      <c r="Y1246" t="s">
        <v>2006</v>
      </c>
      <c r="Z1246" t="s">
        <v>2015</v>
      </c>
      <c r="AB1246" t="s">
        <v>13795</v>
      </c>
      <c r="AD1246" t="s">
        <v>16369</v>
      </c>
      <c r="AE1246">
        <v>170</v>
      </c>
      <c r="AF1246" t="s">
        <v>2902</v>
      </c>
      <c r="AH1246">
        <v>12</v>
      </c>
      <c r="AI1246">
        <v>2</v>
      </c>
      <c r="AJ1246">
        <v>0</v>
      </c>
      <c r="AK1246">
        <v>37.11</v>
      </c>
      <c r="AN1246" t="s">
        <v>2927</v>
      </c>
      <c r="AO1246">
        <v>6276</v>
      </c>
      <c r="AU1246" t="s">
        <v>13051</v>
      </c>
      <c r="AW1246" t="s">
        <v>76</v>
      </c>
      <c r="AX1246" t="s">
        <v>18685</v>
      </c>
    </row>
    <row r="1247" spans="1:50">
      <c r="A1247" s="1" t="s">
        <v>57</v>
      </c>
      <c r="B1247" t="s">
        <v>163</v>
      </c>
      <c r="C1247" t="s">
        <v>4457</v>
      </c>
      <c r="D1247" t="s">
        <v>6173</v>
      </c>
      <c r="F1247" t="s">
        <v>7362</v>
      </c>
      <c r="G1247" t="s">
        <v>1048</v>
      </c>
      <c r="H1247" t="s">
        <v>1112</v>
      </c>
      <c r="I1247" t="s">
        <v>11032</v>
      </c>
      <c r="J1247" t="s">
        <v>1641</v>
      </c>
      <c r="K1247">
        <v>10453</v>
      </c>
      <c r="L1247" t="s">
        <v>1670</v>
      </c>
      <c r="M1247" t="s">
        <v>1670</v>
      </c>
      <c r="N1247" t="s">
        <v>1677</v>
      </c>
      <c r="O1247" t="s">
        <v>1939</v>
      </c>
      <c r="P1247" t="s">
        <v>1960</v>
      </c>
      <c r="R1247" t="s">
        <v>50</v>
      </c>
      <c r="S1247" t="s">
        <v>1670</v>
      </c>
      <c r="U1247" t="s">
        <v>1972</v>
      </c>
      <c r="W1247" t="s">
        <v>283</v>
      </c>
      <c r="X1247">
        <v>1193.81</v>
      </c>
      <c r="Y1247" t="s">
        <v>2006</v>
      </c>
      <c r="Z1247" t="s">
        <v>2015</v>
      </c>
      <c r="AB1247" t="s">
        <v>13795</v>
      </c>
      <c r="AD1247" t="s">
        <v>16369</v>
      </c>
      <c r="AE1247">
        <v>170</v>
      </c>
      <c r="AF1247" t="s">
        <v>2902</v>
      </c>
      <c r="AH1247">
        <v>12</v>
      </c>
      <c r="AI1247">
        <v>2</v>
      </c>
      <c r="AJ1247">
        <v>0</v>
      </c>
      <c r="AK1247">
        <v>37.11</v>
      </c>
      <c r="AN1247" t="s">
        <v>2927</v>
      </c>
      <c r="AO1247">
        <v>6276</v>
      </c>
      <c r="AU1247" t="s">
        <v>13051</v>
      </c>
      <c r="AW1247" t="s">
        <v>76</v>
      </c>
    </row>
    <row r="1248" spans="1:50">
      <c r="A1248" s="1" t="s">
        <v>3186</v>
      </c>
      <c r="B1248" t="s">
        <v>164</v>
      </c>
      <c r="C1248" t="s">
        <v>4458</v>
      </c>
      <c r="D1248" t="s">
        <v>380</v>
      </c>
      <c r="E1248" t="s">
        <v>256</v>
      </c>
      <c r="F1248" t="s">
        <v>1002</v>
      </c>
      <c r="G1248" t="s">
        <v>8480</v>
      </c>
      <c r="H1248" t="s">
        <v>9920</v>
      </c>
      <c r="I1248" t="s">
        <v>11193</v>
      </c>
      <c r="J1248" t="s">
        <v>1644</v>
      </c>
      <c r="K1248">
        <v>11233</v>
      </c>
      <c r="L1248" t="s">
        <v>1670</v>
      </c>
      <c r="M1248" t="s">
        <v>1670</v>
      </c>
      <c r="N1248" t="s">
        <v>12174</v>
      </c>
      <c r="O1248" t="s">
        <v>1936</v>
      </c>
      <c r="P1248" t="s">
        <v>1960</v>
      </c>
      <c r="Q1248" t="s">
        <v>1969</v>
      </c>
      <c r="R1248" t="s">
        <v>50</v>
      </c>
      <c r="S1248" t="s">
        <v>1671</v>
      </c>
      <c r="U1248" t="s">
        <v>1972</v>
      </c>
      <c r="W1248" t="s">
        <v>352</v>
      </c>
      <c r="X1248">
        <v>1500</v>
      </c>
      <c r="Y1248" t="s">
        <v>2009</v>
      </c>
      <c r="Z1248" t="s">
        <v>2017</v>
      </c>
      <c r="AA1248" t="s">
        <v>2033</v>
      </c>
      <c r="AB1248" t="s">
        <v>2085</v>
      </c>
      <c r="AC1248" t="s">
        <v>15142</v>
      </c>
      <c r="AD1248" t="s">
        <v>16370</v>
      </c>
      <c r="AE1248">
        <v>4</v>
      </c>
      <c r="AH1248">
        <v>10</v>
      </c>
      <c r="AI1248">
        <v>1</v>
      </c>
      <c r="AJ1248">
        <v>0</v>
      </c>
      <c r="AK1248">
        <v>37.17</v>
      </c>
      <c r="AN1248" t="s">
        <v>2926</v>
      </c>
      <c r="AO1248">
        <v>4512</v>
      </c>
      <c r="AU1248">
        <v>9.449999999999999</v>
      </c>
      <c r="AV1248" t="s">
        <v>256</v>
      </c>
      <c r="AW1248" t="s">
        <v>3043</v>
      </c>
    </row>
    <row r="1249" spans="1:50">
      <c r="A1249" s="1" t="s">
        <v>120</v>
      </c>
      <c r="B1249" t="s">
        <v>163</v>
      </c>
      <c r="C1249" t="s">
        <v>4459</v>
      </c>
      <c r="D1249" t="s">
        <v>199</v>
      </c>
      <c r="F1249" t="s">
        <v>6786</v>
      </c>
      <c r="G1249" t="s">
        <v>1092</v>
      </c>
      <c r="H1249" t="s">
        <v>1270</v>
      </c>
      <c r="I1249" t="s">
        <v>11194</v>
      </c>
      <c r="J1249" t="s">
        <v>1644</v>
      </c>
      <c r="K1249">
        <v>11208</v>
      </c>
      <c r="L1249" t="s">
        <v>1670</v>
      </c>
      <c r="M1249" t="s">
        <v>1670</v>
      </c>
      <c r="N1249" t="s">
        <v>12175</v>
      </c>
      <c r="O1249" t="s">
        <v>1944</v>
      </c>
      <c r="P1249" t="s">
        <v>1959</v>
      </c>
      <c r="R1249" t="s">
        <v>50</v>
      </c>
      <c r="S1249" t="s">
        <v>1671</v>
      </c>
      <c r="U1249" t="s">
        <v>1974</v>
      </c>
      <c r="W1249" t="s">
        <v>297</v>
      </c>
      <c r="X1249">
        <v>247</v>
      </c>
      <c r="Y1249" t="s">
        <v>2009</v>
      </c>
      <c r="Z1249" t="s">
        <v>2027</v>
      </c>
      <c r="AB1249" t="s">
        <v>13931</v>
      </c>
      <c r="AD1249" t="s">
        <v>16371</v>
      </c>
      <c r="AE1249" t="s">
        <v>13051</v>
      </c>
      <c r="AF1249" t="s">
        <v>2909</v>
      </c>
      <c r="AH1249">
        <v>9</v>
      </c>
      <c r="AI1249">
        <v>1</v>
      </c>
      <c r="AJ1249">
        <v>0</v>
      </c>
      <c r="AK1249">
        <v>37.28</v>
      </c>
      <c r="AN1249" t="s">
        <v>2926</v>
      </c>
      <c r="AO1249">
        <v>4656</v>
      </c>
      <c r="AU1249">
        <v>21.25</v>
      </c>
      <c r="AV1249" t="s">
        <v>389</v>
      </c>
      <c r="AW1249" t="s">
        <v>3059</v>
      </c>
    </row>
    <row r="1250" spans="1:50">
      <c r="A1250" s="1" t="s">
        <v>3182</v>
      </c>
      <c r="B1250" t="s">
        <v>163</v>
      </c>
      <c r="C1250" t="s">
        <v>4460</v>
      </c>
      <c r="D1250" t="s">
        <v>6174</v>
      </c>
      <c r="F1250" t="s">
        <v>7318</v>
      </c>
      <c r="G1250" t="s">
        <v>8481</v>
      </c>
      <c r="H1250" t="s">
        <v>9921</v>
      </c>
      <c r="I1250">
        <v>417</v>
      </c>
      <c r="J1250" t="s">
        <v>1641</v>
      </c>
      <c r="K1250">
        <v>10455</v>
      </c>
      <c r="L1250" t="s">
        <v>1670</v>
      </c>
      <c r="M1250" t="s">
        <v>1670</v>
      </c>
      <c r="N1250" t="s">
        <v>12176</v>
      </c>
      <c r="O1250" t="s">
        <v>1940</v>
      </c>
      <c r="P1250" t="s">
        <v>1960</v>
      </c>
      <c r="R1250" t="s">
        <v>50</v>
      </c>
      <c r="T1250" t="s">
        <v>13031</v>
      </c>
      <c r="U1250" t="s">
        <v>1972</v>
      </c>
      <c r="V1250" t="s">
        <v>1985</v>
      </c>
      <c r="W1250" t="s">
        <v>1989</v>
      </c>
      <c r="X1250">
        <v>560</v>
      </c>
      <c r="Y1250" t="s">
        <v>2006</v>
      </c>
      <c r="Z1250" t="s">
        <v>2020</v>
      </c>
      <c r="AB1250" t="s">
        <v>13932</v>
      </c>
      <c r="AD1250" t="s">
        <v>16372</v>
      </c>
      <c r="AE1250">
        <v>109</v>
      </c>
      <c r="AF1250" t="s">
        <v>2909</v>
      </c>
      <c r="AG1250" t="s">
        <v>2915</v>
      </c>
      <c r="AH1250">
        <v>20</v>
      </c>
      <c r="AI1250">
        <v>2</v>
      </c>
      <c r="AJ1250">
        <v>0</v>
      </c>
      <c r="AK1250">
        <v>37.45</v>
      </c>
      <c r="AN1250" t="s">
        <v>2927</v>
      </c>
      <c r="AO1250">
        <v>6000</v>
      </c>
      <c r="AP1250" t="s">
        <v>18262</v>
      </c>
      <c r="AU1250">
        <v>237.4</v>
      </c>
      <c r="AV1250" t="s">
        <v>3034</v>
      </c>
      <c r="AW1250" t="s">
        <v>18656</v>
      </c>
    </row>
    <row r="1251" spans="1:50">
      <c r="A1251" s="1" t="s">
        <v>80</v>
      </c>
      <c r="B1251" t="s">
        <v>163</v>
      </c>
      <c r="C1251" t="s">
        <v>4461</v>
      </c>
      <c r="D1251" t="s">
        <v>195</v>
      </c>
      <c r="F1251" t="s">
        <v>6900</v>
      </c>
      <c r="G1251" t="s">
        <v>909</v>
      </c>
      <c r="H1251" t="s">
        <v>9772</v>
      </c>
      <c r="I1251" t="s">
        <v>1509</v>
      </c>
      <c r="J1251" t="s">
        <v>1646</v>
      </c>
      <c r="K1251">
        <v>10301</v>
      </c>
      <c r="L1251" t="s">
        <v>1670</v>
      </c>
      <c r="M1251" t="s">
        <v>1670</v>
      </c>
      <c r="N1251" t="s">
        <v>12177</v>
      </c>
      <c r="O1251" t="s">
        <v>1939</v>
      </c>
      <c r="P1251" t="s">
        <v>1960</v>
      </c>
      <c r="R1251" t="s">
        <v>50</v>
      </c>
      <c r="S1251" t="s">
        <v>1671</v>
      </c>
      <c r="U1251" t="s">
        <v>1972</v>
      </c>
      <c r="V1251" t="s">
        <v>1984</v>
      </c>
      <c r="W1251" t="s">
        <v>195</v>
      </c>
      <c r="X1251">
        <v>1172</v>
      </c>
      <c r="Y1251" t="s">
        <v>2010</v>
      </c>
      <c r="Z1251" t="s">
        <v>2020</v>
      </c>
      <c r="AB1251" t="s">
        <v>13933</v>
      </c>
      <c r="AD1251" t="s">
        <v>15077</v>
      </c>
      <c r="AE1251">
        <v>8</v>
      </c>
      <c r="AF1251" t="s">
        <v>2902</v>
      </c>
      <c r="AG1251" t="s">
        <v>2921</v>
      </c>
      <c r="AH1251">
        <v>9</v>
      </c>
      <c r="AI1251">
        <v>1</v>
      </c>
      <c r="AJ1251">
        <v>0</v>
      </c>
      <c r="AK1251">
        <v>37.47</v>
      </c>
      <c r="AN1251" t="s">
        <v>2926</v>
      </c>
      <c r="AO1251">
        <v>4680</v>
      </c>
      <c r="AR1251" t="s">
        <v>18453</v>
      </c>
      <c r="AU1251">
        <v>26.15</v>
      </c>
      <c r="AV1251" t="s">
        <v>3030</v>
      </c>
      <c r="AW1251" t="s">
        <v>3050</v>
      </c>
    </row>
    <row r="1252" spans="1:50">
      <c r="A1252" s="1" t="s">
        <v>161</v>
      </c>
      <c r="B1252" t="s">
        <v>163</v>
      </c>
      <c r="C1252" t="s">
        <v>4462</v>
      </c>
      <c r="D1252" t="s">
        <v>358</v>
      </c>
      <c r="F1252" t="s">
        <v>1002</v>
      </c>
      <c r="G1252" t="s">
        <v>8482</v>
      </c>
      <c r="H1252" t="s">
        <v>9922</v>
      </c>
      <c r="I1252" t="s">
        <v>1489</v>
      </c>
      <c r="J1252" t="s">
        <v>1643</v>
      </c>
      <c r="K1252">
        <v>10011</v>
      </c>
      <c r="L1252" t="s">
        <v>1670</v>
      </c>
      <c r="M1252" t="s">
        <v>1670</v>
      </c>
      <c r="N1252" t="s">
        <v>12178</v>
      </c>
      <c r="O1252" t="s">
        <v>1936</v>
      </c>
      <c r="P1252" t="s">
        <v>1962</v>
      </c>
      <c r="R1252" t="s">
        <v>50</v>
      </c>
      <c r="S1252" t="s">
        <v>1671</v>
      </c>
      <c r="U1252" t="s">
        <v>1972</v>
      </c>
      <c r="W1252" t="s">
        <v>358</v>
      </c>
      <c r="X1252">
        <v>1608</v>
      </c>
      <c r="Y1252" t="s">
        <v>2008</v>
      </c>
      <c r="Z1252" t="s">
        <v>2013</v>
      </c>
      <c r="AB1252" t="s">
        <v>13934</v>
      </c>
      <c r="AD1252" t="s">
        <v>16373</v>
      </c>
      <c r="AE1252" t="s">
        <v>13051</v>
      </c>
      <c r="AF1252" t="s">
        <v>2902</v>
      </c>
      <c r="AG1252" t="s">
        <v>1754</v>
      </c>
      <c r="AH1252">
        <v>22</v>
      </c>
      <c r="AI1252">
        <v>1</v>
      </c>
      <c r="AJ1252">
        <v>0</v>
      </c>
      <c r="AK1252">
        <v>37.56</v>
      </c>
      <c r="AN1252" t="s">
        <v>2926</v>
      </c>
      <c r="AO1252">
        <v>4560</v>
      </c>
      <c r="AU1252">
        <v>6.3</v>
      </c>
      <c r="AV1252" t="s">
        <v>299</v>
      </c>
      <c r="AW1252" t="s">
        <v>3048</v>
      </c>
    </row>
    <row r="1253" spans="1:50">
      <c r="A1253" s="1" t="s">
        <v>74</v>
      </c>
      <c r="B1253" t="s">
        <v>164</v>
      </c>
      <c r="C1253" t="s">
        <v>4463</v>
      </c>
      <c r="D1253" t="s">
        <v>339</v>
      </c>
      <c r="E1253" t="s">
        <v>401</v>
      </c>
      <c r="F1253" t="s">
        <v>649</v>
      </c>
      <c r="G1253" t="s">
        <v>896</v>
      </c>
      <c r="H1253" t="s">
        <v>9923</v>
      </c>
      <c r="I1253" t="s">
        <v>1569</v>
      </c>
      <c r="J1253" t="s">
        <v>1641</v>
      </c>
      <c r="K1253">
        <v>10451</v>
      </c>
      <c r="L1253" t="s">
        <v>1670</v>
      </c>
      <c r="M1253" t="s">
        <v>1672</v>
      </c>
      <c r="N1253" t="s">
        <v>1687</v>
      </c>
      <c r="O1253" t="s">
        <v>1955</v>
      </c>
      <c r="P1253" t="s">
        <v>1958</v>
      </c>
      <c r="Q1253" t="s">
        <v>1965</v>
      </c>
      <c r="R1253" t="s">
        <v>50</v>
      </c>
      <c r="S1253" t="s">
        <v>1671</v>
      </c>
      <c r="U1253" t="s">
        <v>1973</v>
      </c>
      <c r="V1253" t="s">
        <v>1984</v>
      </c>
      <c r="W1253" t="s">
        <v>1991</v>
      </c>
      <c r="X1253">
        <v>449</v>
      </c>
      <c r="Y1253" t="s">
        <v>2006</v>
      </c>
      <c r="Z1253" t="s">
        <v>2015</v>
      </c>
      <c r="AA1253" t="s">
        <v>13060</v>
      </c>
      <c r="AB1253" t="s">
        <v>13935</v>
      </c>
      <c r="AD1253" t="s">
        <v>16374</v>
      </c>
      <c r="AE1253">
        <v>160</v>
      </c>
      <c r="AF1253" t="s">
        <v>2912</v>
      </c>
      <c r="AG1253" t="s">
        <v>2922</v>
      </c>
      <c r="AH1253">
        <v>10</v>
      </c>
      <c r="AI1253">
        <v>3</v>
      </c>
      <c r="AJ1253">
        <v>0</v>
      </c>
      <c r="AK1253">
        <v>37.64</v>
      </c>
      <c r="AN1253" t="s">
        <v>2927</v>
      </c>
      <c r="AO1253">
        <v>8028</v>
      </c>
      <c r="AT1253" t="s">
        <v>3021</v>
      </c>
      <c r="AU1253">
        <v>1</v>
      </c>
      <c r="AV1253" t="s">
        <v>339</v>
      </c>
      <c r="AW1253" t="s">
        <v>74</v>
      </c>
      <c r="AX1253" t="s">
        <v>18685</v>
      </c>
    </row>
    <row r="1254" spans="1:50">
      <c r="A1254" s="1" t="s">
        <v>97</v>
      </c>
      <c r="B1254" t="s">
        <v>163</v>
      </c>
      <c r="C1254" t="s">
        <v>4464</v>
      </c>
      <c r="D1254" t="s">
        <v>175</v>
      </c>
      <c r="F1254" t="s">
        <v>710</v>
      </c>
      <c r="G1254" t="s">
        <v>8483</v>
      </c>
      <c r="H1254" t="s">
        <v>1216</v>
      </c>
      <c r="I1254" t="s">
        <v>1507</v>
      </c>
      <c r="J1254" t="s">
        <v>1643</v>
      </c>
      <c r="K1254">
        <v>10034</v>
      </c>
      <c r="L1254" t="s">
        <v>1670</v>
      </c>
      <c r="M1254" t="s">
        <v>1670</v>
      </c>
      <c r="N1254" t="s">
        <v>11864</v>
      </c>
      <c r="O1254" t="s">
        <v>1939</v>
      </c>
      <c r="P1254" t="s">
        <v>1960</v>
      </c>
      <c r="R1254" t="s">
        <v>50</v>
      </c>
      <c r="S1254" t="s">
        <v>1670</v>
      </c>
      <c r="U1254" t="s">
        <v>1972</v>
      </c>
      <c r="W1254" t="s">
        <v>175</v>
      </c>
      <c r="X1254">
        <v>1585</v>
      </c>
      <c r="Y1254" t="s">
        <v>2008</v>
      </c>
      <c r="Z1254" t="s">
        <v>2013</v>
      </c>
      <c r="AB1254" t="s">
        <v>13065</v>
      </c>
      <c r="AD1254" t="s">
        <v>16375</v>
      </c>
      <c r="AE1254">
        <v>67</v>
      </c>
      <c r="AF1254" t="s">
        <v>2902</v>
      </c>
      <c r="AG1254" t="s">
        <v>1754</v>
      </c>
      <c r="AH1254">
        <v>2</v>
      </c>
      <c r="AI1254">
        <v>2</v>
      </c>
      <c r="AJ1254">
        <v>0</v>
      </c>
      <c r="AK1254">
        <v>37.83</v>
      </c>
      <c r="AN1254" t="s">
        <v>2926</v>
      </c>
      <c r="AO1254">
        <v>6227</v>
      </c>
      <c r="AU1254">
        <v>1.3</v>
      </c>
      <c r="AV1254" t="s">
        <v>298</v>
      </c>
      <c r="AW1254" t="s">
        <v>3042</v>
      </c>
      <c r="AX1254" t="s">
        <v>18685</v>
      </c>
    </row>
    <row r="1255" spans="1:50">
      <c r="A1255" s="1" t="s">
        <v>3141</v>
      </c>
      <c r="B1255" t="s">
        <v>163</v>
      </c>
      <c r="C1255" t="s">
        <v>4465</v>
      </c>
      <c r="D1255" t="s">
        <v>242</v>
      </c>
      <c r="F1255" t="s">
        <v>7257</v>
      </c>
      <c r="G1255" t="s">
        <v>840</v>
      </c>
      <c r="J1255" t="s">
        <v>1641</v>
      </c>
      <c r="K1255">
        <v>10453</v>
      </c>
      <c r="L1255" t="s">
        <v>1670</v>
      </c>
      <c r="M1255" t="s">
        <v>1670</v>
      </c>
      <c r="O1255" t="s">
        <v>1942</v>
      </c>
      <c r="P1255" t="s">
        <v>1959</v>
      </c>
      <c r="R1255" t="s">
        <v>50</v>
      </c>
      <c r="S1255" t="s">
        <v>1671</v>
      </c>
      <c r="U1255" t="s">
        <v>1973</v>
      </c>
      <c r="W1255" t="s">
        <v>311</v>
      </c>
      <c r="X1255">
        <v>1636.37</v>
      </c>
      <c r="Y1255" t="s">
        <v>2006</v>
      </c>
      <c r="Z1255" t="s">
        <v>2020</v>
      </c>
      <c r="AB1255" t="s">
        <v>13936</v>
      </c>
      <c r="AD1255" t="s">
        <v>16376</v>
      </c>
      <c r="AE1255" t="s">
        <v>13051</v>
      </c>
      <c r="AF1255" t="s">
        <v>2902</v>
      </c>
      <c r="AG1255" t="s">
        <v>2915</v>
      </c>
      <c r="AH1255">
        <v>1</v>
      </c>
      <c r="AI1255">
        <v>2</v>
      </c>
      <c r="AJ1255">
        <v>0</v>
      </c>
      <c r="AK1255">
        <v>37.91</v>
      </c>
      <c r="AN1255" t="s">
        <v>2926</v>
      </c>
      <c r="AO1255">
        <v>6240</v>
      </c>
      <c r="AU1255">
        <v>2.1</v>
      </c>
      <c r="AV1255" t="s">
        <v>311</v>
      </c>
      <c r="AW1255" t="s">
        <v>3141</v>
      </c>
    </row>
    <row r="1256" spans="1:50">
      <c r="A1256" s="1" t="s">
        <v>59</v>
      </c>
      <c r="B1256" t="s">
        <v>163</v>
      </c>
      <c r="C1256" t="s">
        <v>4466</v>
      </c>
      <c r="D1256" t="s">
        <v>265</v>
      </c>
      <c r="F1256" t="s">
        <v>7176</v>
      </c>
      <c r="G1256" t="s">
        <v>8484</v>
      </c>
      <c r="H1256" t="s">
        <v>1114</v>
      </c>
      <c r="I1256" t="s">
        <v>11126</v>
      </c>
      <c r="J1256" t="s">
        <v>1641</v>
      </c>
      <c r="K1256">
        <v>10456</v>
      </c>
      <c r="L1256" t="s">
        <v>1670</v>
      </c>
      <c r="M1256" t="s">
        <v>1670</v>
      </c>
      <c r="O1256" t="s">
        <v>1938</v>
      </c>
      <c r="P1256" t="s">
        <v>1958</v>
      </c>
      <c r="R1256" t="s">
        <v>50</v>
      </c>
      <c r="S1256" t="s">
        <v>1670</v>
      </c>
      <c r="U1256" t="s">
        <v>1972</v>
      </c>
      <c r="W1256" t="s">
        <v>283</v>
      </c>
      <c r="X1256" t="s">
        <v>13051</v>
      </c>
      <c r="Y1256" t="s">
        <v>2006</v>
      </c>
      <c r="Z1256" t="s">
        <v>2015</v>
      </c>
      <c r="AB1256" t="s">
        <v>13937</v>
      </c>
      <c r="AE1256">
        <v>131</v>
      </c>
      <c r="AF1256" t="s">
        <v>2902</v>
      </c>
      <c r="AG1256" t="s">
        <v>1754</v>
      </c>
      <c r="AH1256" t="s">
        <v>13051</v>
      </c>
      <c r="AI1256">
        <v>4</v>
      </c>
      <c r="AJ1256">
        <v>0</v>
      </c>
      <c r="AK1256">
        <v>37.98</v>
      </c>
      <c r="AN1256" t="s">
        <v>2926</v>
      </c>
      <c r="AO1256">
        <v>9780</v>
      </c>
      <c r="AU1256">
        <v>1.5</v>
      </c>
      <c r="AV1256" t="s">
        <v>254</v>
      </c>
      <c r="AW1256" t="s">
        <v>3047</v>
      </c>
    </row>
    <row r="1257" spans="1:50">
      <c r="A1257" s="1" t="s">
        <v>132</v>
      </c>
      <c r="B1257" t="s">
        <v>163</v>
      </c>
      <c r="C1257" t="s">
        <v>4467</v>
      </c>
      <c r="D1257" t="s">
        <v>380</v>
      </c>
      <c r="F1257" t="s">
        <v>7363</v>
      </c>
      <c r="G1257" t="s">
        <v>8485</v>
      </c>
      <c r="H1257" t="s">
        <v>9924</v>
      </c>
      <c r="I1257" t="s">
        <v>1575</v>
      </c>
      <c r="J1257" t="s">
        <v>1644</v>
      </c>
      <c r="K1257">
        <v>11206</v>
      </c>
      <c r="L1257" t="s">
        <v>1670</v>
      </c>
      <c r="M1257" t="s">
        <v>1670</v>
      </c>
      <c r="O1257" t="s">
        <v>1937</v>
      </c>
      <c r="P1257" t="s">
        <v>1961</v>
      </c>
      <c r="R1257" t="s">
        <v>50</v>
      </c>
      <c r="S1257" t="s">
        <v>1670</v>
      </c>
      <c r="U1257" t="s">
        <v>1972</v>
      </c>
      <c r="W1257" t="s">
        <v>380</v>
      </c>
      <c r="X1257">
        <v>1291.45</v>
      </c>
      <c r="Y1257" t="s">
        <v>2009</v>
      </c>
      <c r="AB1257" t="s">
        <v>13938</v>
      </c>
      <c r="AD1257" t="s">
        <v>16377</v>
      </c>
      <c r="AE1257">
        <v>29</v>
      </c>
      <c r="AF1257" t="s">
        <v>2902</v>
      </c>
      <c r="AG1257" t="s">
        <v>2915</v>
      </c>
      <c r="AH1257">
        <v>23</v>
      </c>
      <c r="AI1257">
        <v>3</v>
      </c>
      <c r="AJ1257">
        <v>0</v>
      </c>
      <c r="AK1257">
        <v>38.2</v>
      </c>
      <c r="AN1257" t="s">
        <v>2926</v>
      </c>
      <c r="AO1257">
        <v>7938</v>
      </c>
      <c r="AP1257" t="s">
        <v>18263</v>
      </c>
      <c r="AU1257">
        <v>11.45</v>
      </c>
      <c r="AV1257" t="s">
        <v>254</v>
      </c>
      <c r="AW1257" t="s">
        <v>18659</v>
      </c>
    </row>
    <row r="1258" spans="1:50">
      <c r="A1258" s="1" t="s">
        <v>97</v>
      </c>
      <c r="B1258" t="s">
        <v>163</v>
      </c>
      <c r="C1258" t="s">
        <v>4468</v>
      </c>
      <c r="D1258" t="s">
        <v>219</v>
      </c>
      <c r="F1258" t="s">
        <v>7364</v>
      </c>
      <c r="G1258" t="s">
        <v>685</v>
      </c>
      <c r="H1258" t="s">
        <v>9925</v>
      </c>
      <c r="I1258">
        <v>24</v>
      </c>
      <c r="J1258" t="s">
        <v>1643</v>
      </c>
      <c r="K1258">
        <v>10033</v>
      </c>
      <c r="L1258" t="s">
        <v>1670</v>
      </c>
      <c r="M1258" t="s">
        <v>1670</v>
      </c>
      <c r="O1258" t="s">
        <v>1945</v>
      </c>
      <c r="P1258" t="s">
        <v>1962</v>
      </c>
      <c r="R1258" t="s">
        <v>50</v>
      </c>
      <c r="S1258" t="s">
        <v>1671</v>
      </c>
      <c r="U1258" t="s">
        <v>1972</v>
      </c>
      <c r="W1258" t="s">
        <v>219</v>
      </c>
      <c r="X1258">
        <v>816.66</v>
      </c>
      <c r="Y1258" t="s">
        <v>2008</v>
      </c>
      <c r="Z1258" t="s">
        <v>2020</v>
      </c>
      <c r="AB1258" t="s">
        <v>13939</v>
      </c>
      <c r="AD1258" t="s">
        <v>16378</v>
      </c>
      <c r="AE1258">
        <v>20</v>
      </c>
      <c r="AF1258" t="s">
        <v>2902</v>
      </c>
      <c r="AG1258" t="s">
        <v>1754</v>
      </c>
      <c r="AH1258">
        <v>23</v>
      </c>
      <c r="AI1258">
        <v>1</v>
      </c>
      <c r="AJ1258">
        <v>0</v>
      </c>
      <c r="AK1258">
        <v>38.24</v>
      </c>
      <c r="AN1258" t="s">
        <v>2927</v>
      </c>
      <c r="AO1258">
        <v>4776</v>
      </c>
      <c r="AU1258" t="s">
        <v>13051</v>
      </c>
      <c r="AV1258" t="s">
        <v>327</v>
      </c>
      <c r="AW1258" t="s">
        <v>3042</v>
      </c>
      <c r="AX1258" t="s">
        <v>18685</v>
      </c>
    </row>
    <row r="1259" spans="1:50">
      <c r="A1259" s="1" t="s">
        <v>97</v>
      </c>
      <c r="B1259" t="s">
        <v>163</v>
      </c>
      <c r="C1259" t="s">
        <v>4469</v>
      </c>
      <c r="D1259" t="s">
        <v>219</v>
      </c>
      <c r="F1259" t="s">
        <v>7364</v>
      </c>
      <c r="G1259" t="s">
        <v>685</v>
      </c>
      <c r="H1259" t="s">
        <v>9925</v>
      </c>
      <c r="I1259">
        <v>24</v>
      </c>
      <c r="J1259" t="s">
        <v>1643</v>
      </c>
      <c r="K1259">
        <v>10033</v>
      </c>
      <c r="L1259" t="s">
        <v>1670</v>
      </c>
      <c r="M1259" t="s">
        <v>1670</v>
      </c>
      <c r="N1259" t="s">
        <v>12179</v>
      </c>
      <c r="O1259" t="s">
        <v>1936</v>
      </c>
      <c r="P1259" t="s">
        <v>1960</v>
      </c>
      <c r="R1259" t="s">
        <v>50</v>
      </c>
      <c r="S1259" t="s">
        <v>1671</v>
      </c>
      <c r="U1259" t="s">
        <v>1972</v>
      </c>
      <c r="W1259" t="s">
        <v>219</v>
      </c>
      <c r="X1259">
        <v>816.66</v>
      </c>
      <c r="Y1259" t="s">
        <v>2008</v>
      </c>
      <c r="Z1259" t="s">
        <v>2013</v>
      </c>
      <c r="AB1259" t="s">
        <v>13939</v>
      </c>
      <c r="AD1259" t="s">
        <v>16378</v>
      </c>
      <c r="AE1259">
        <v>20</v>
      </c>
      <c r="AF1259" t="s">
        <v>2902</v>
      </c>
      <c r="AG1259" t="s">
        <v>1754</v>
      </c>
      <c r="AH1259">
        <v>23</v>
      </c>
      <c r="AI1259">
        <v>1</v>
      </c>
      <c r="AJ1259">
        <v>0</v>
      </c>
      <c r="AK1259">
        <v>38.24</v>
      </c>
      <c r="AN1259" t="s">
        <v>2927</v>
      </c>
      <c r="AO1259">
        <v>4776</v>
      </c>
      <c r="AU1259">
        <v>10.7</v>
      </c>
      <c r="AV1259" t="s">
        <v>328</v>
      </c>
      <c r="AW1259" t="s">
        <v>3042</v>
      </c>
      <c r="AX1259" t="s">
        <v>18685</v>
      </c>
    </row>
    <row r="1260" spans="1:50">
      <c r="A1260" s="1" t="s">
        <v>97</v>
      </c>
      <c r="B1260" t="s">
        <v>163</v>
      </c>
      <c r="C1260" t="s">
        <v>4470</v>
      </c>
      <c r="D1260" t="s">
        <v>219</v>
      </c>
      <c r="F1260" t="s">
        <v>7364</v>
      </c>
      <c r="G1260" t="s">
        <v>685</v>
      </c>
      <c r="H1260" t="s">
        <v>9925</v>
      </c>
      <c r="I1260">
        <v>24</v>
      </c>
      <c r="J1260" t="s">
        <v>1643</v>
      </c>
      <c r="K1260">
        <v>10033</v>
      </c>
      <c r="L1260" t="s">
        <v>1670</v>
      </c>
      <c r="M1260" t="s">
        <v>1670</v>
      </c>
      <c r="O1260" t="s">
        <v>1941</v>
      </c>
      <c r="P1260" t="s">
        <v>1960</v>
      </c>
      <c r="R1260" t="s">
        <v>50</v>
      </c>
      <c r="S1260" t="s">
        <v>1671</v>
      </c>
      <c r="U1260" t="s">
        <v>1972</v>
      </c>
      <c r="W1260" t="s">
        <v>219</v>
      </c>
      <c r="X1260">
        <v>816.66</v>
      </c>
      <c r="Y1260" t="s">
        <v>2008</v>
      </c>
      <c r="Z1260" t="s">
        <v>2020</v>
      </c>
      <c r="AB1260" t="s">
        <v>13939</v>
      </c>
      <c r="AD1260" t="s">
        <v>16378</v>
      </c>
      <c r="AE1260">
        <v>20</v>
      </c>
      <c r="AF1260" t="s">
        <v>2902</v>
      </c>
      <c r="AG1260" t="s">
        <v>1754</v>
      </c>
      <c r="AH1260">
        <v>23</v>
      </c>
      <c r="AI1260">
        <v>1</v>
      </c>
      <c r="AJ1260">
        <v>0</v>
      </c>
      <c r="AK1260">
        <v>38.24</v>
      </c>
      <c r="AN1260" t="s">
        <v>2927</v>
      </c>
      <c r="AO1260">
        <v>4776</v>
      </c>
      <c r="AU1260">
        <v>3</v>
      </c>
      <c r="AV1260" t="s">
        <v>3034</v>
      </c>
      <c r="AW1260" t="s">
        <v>3042</v>
      </c>
      <c r="AX1260" t="s">
        <v>18685</v>
      </c>
    </row>
    <row r="1261" spans="1:50">
      <c r="A1261" s="1" t="s">
        <v>3187</v>
      </c>
      <c r="B1261" t="s">
        <v>164</v>
      </c>
      <c r="C1261" t="s">
        <v>4471</v>
      </c>
      <c r="D1261" t="s">
        <v>342</v>
      </c>
      <c r="E1261" t="s">
        <v>235</v>
      </c>
      <c r="F1261" t="s">
        <v>7361</v>
      </c>
      <c r="G1261" t="s">
        <v>8486</v>
      </c>
      <c r="H1261" t="s">
        <v>9926</v>
      </c>
      <c r="I1261" t="s">
        <v>11195</v>
      </c>
      <c r="J1261" t="s">
        <v>11751</v>
      </c>
      <c r="K1261">
        <v>11375</v>
      </c>
      <c r="L1261" t="s">
        <v>1670</v>
      </c>
      <c r="M1261" t="s">
        <v>1670</v>
      </c>
      <c r="N1261" t="s">
        <v>12180</v>
      </c>
      <c r="O1261" t="s">
        <v>1936</v>
      </c>
      <c r="P1261" t="s">
        <v>1960</v>
      </c>
      <c r="Q1261" t="s">
        <v>1969</v>
      </c>
      <c r="R1261" t="s">
        <v>50</v>
      </c>
      <c r="S1261" t="s">
        <v>1671</v>
      </c>
      <c r="U1261" t="s">
        <v>1972</v>
      </c>
      <c r="V1261" t="s">
        <v>1984</v>
      </c>
      <c r="W1261" t="s">
        <v>373</v>
      </c>
      <c r="X1261">
        <v>1250</v>
      </c>
      <c r="Y1261" t="s">
        <v>2007</v>
      </c>
      <c r="Z1261" t="s">
        <v>2014</v>
      </c>
      <c r="AA1261" t="s">
        <v>2032</v>
      </c>
      <c r="AB1261" t="s">
        <v>13940</v>
      </c>
      <c r="AD1261" t="s">
        <v>16379</v>
      </c>
      <c r="AE1261">
        <v>100</v>
      </c>
      <c r="AF1261" t="s">
        <v>2903</v>
      </c>
      <c r="AG1261" t="s">
        <v>1754</v>
      </c>
      <c r="AH1261">
        <v>8</v>
      </c>
      <c r="AI1261">
        <v>1</v>
      </c>
      <c r="AJ1261">
        <v>0</v>
      </c>
      <c r="AK1261">
        <v>38.25</v>
      </c>
      <c r="AN1261" t="s">
        <v>2926</v>
      </c>
      <c r="AO1261">
        <v>4644</v>
      </c>
      <c r="AQ1261" t="s">
        <v>2979</v>
      </c>
      <c r="AR1261" t="s">
        <v>18466</v>
      </c>
      <c r="AS1261" t="s">
        <v>2992</v>
      </c>
      <c r="AT1261" t="s">
        <v>18530</v>
      </c>
      <c r="AU1261">
        <v>19.5</v>
      </c>
      <c r="AV1261" t="s">
        <v>208</v>
      </c>
      <c r="AW1261" t="s">
        <v>89</v>
      </c>
    </row>
    <row r="1262" spans="1:50">
      <c r="A1262" s="1" t="s">
        <v>119</v>
      </c>
      <c r="B1262" t="s">
        <v>163</v>
      </c>
      <c r="C1262" t="s">
        <v>4472</v>
      </c>
      <c r="D1262" t="s">
        <v>297</v>
      </c>
      <c r="F1262" t="s">
        <v>6786</v>
      </c>
      <c r="G1262" t="s">
        <v>1092</v>
      </c>
      <c r="H1262" t="s">
        <v>1270</v>
      </c>
      <c r="I1262" t="s">
        <v>11194</v>
      </c>
      <c r="J1262" t="s">
        <v>1644</v>
      </c>
      <c r="K1262">
        <v>11208</v>
      </c>
      <c r="L1262" t="s">
        <v>1670</v>
      </c>
      <c r="M1262" t="s">
        <v>1670</v>
      </c>
      <c r="N1262" t="s">
        <v>12175</v>
      </c>
      <c r="O1262" t="s">
        <v>1936</v>
      </c>
      <c r="P1262" t="s">
        <v>1960</v>
      </c>
      <c r="R1262" t="s">
        <v>50</v>
      </c>
      <c r="S1262" t="s">
        <v>1671</v>
      </c>
      <c r="U1262" t="s">
        <v>1972</v>
      </c>
      <c r="W1262" t="s">
        <v>297</v>
      </c>
      <c r="X1262">
        <v>247</v>
      </c>
      <c r="Y1262" t="s">
        <v>2009</v>
      </c>
      <c r="Z1262" t="s">
        <v>2016</v>
      </c>
      <c r="AB1262" t="s">
        <v>13931</v>
      </c>
      <c r="AD1262" t="s">
        <v>16371</v>
      </c>
      <c r="AE1262" t="s">
        <v>13051</v>
      </c>
      <c r="AF1262" t="s">
        <v>2909</v>
      </c>
      <c r="AH1262">
        <v>9</v>
      </c>
      <c r="AI1262">
        <v>1</v>
      </c>
      <c r="AJ1262">
        <v>0</v>
      </c>
      <c r="AK1262">
        <v>38.35</v>
      </c>
      <c r="AN1262" t="s">
        <v>2926</v>
      </c>
      <c r="AO1262">
        <v>4656</v>
      </c>
      <c r="AU1262">
        <v>18</v>
      </c>
      <c r="AV1262" t="s">
        <v>346</v>
      </c>
      <c r="AW1262" t="s">
        <v>3052</v>
      </c>
    </row>
    <row r="1263" spans="1:50">
      <c r="A1263" s="1" t="s">
        <v>95</v>
      </c>
      <c r="B1263" t="s">
        <v>164</v>
      </c>
      <c r="C1263" t="s">
        <v>4473</v>
      </c>
      <c r="D1263" t="s">
        <v>226</v>
      </c>
      <c r="E1263" t="s">
        <v>1995</v>
      </c>
      <c r="F1263" t="s">
        <v>7365</v>
      </c>
      <c r="G1263" t="s">
        <v>8487</v>
      </c>
      <c r="H1263" t="s">
        <v>9927</v>
      </c>
      <c r="I1263" t="s">
        <v>1548</v>
      </c>
      <c r="J1263" t="s">
        <v>1641</v>
      </c>
      <c r="K1263">
        <v>10452</v>
      </c>
      <c r="L1263" t="s">
        <v>1670</v>
      </c>
      <c r="M1263" t="s">
        <v>1670</v>
      </c>
      <c r="O1263" t="s">
        <v>1675</v>
      </c>
      <c r="P1263" t="s">
        <v>1958</v>
      </c>
      <c r="Q1263" t="s">
        <v>1965</v>
      </c>
      <c r="R1263" t="s">
        <v>50</v>
      </c>
      <c r="S1263" t="s">
        <v>1671</v>
      </c>
      <c r="U1263" t="s">
        <v>1972</v>
      </c>
      <c r="W1263" t="s">
        <v>226</v>
      </c>
      <c r="X1263">
        <v>874</v>
      </c>
      <c r="Y1263" t="s">
        <v>2006</v>
      </c>
      <c r="AA1263" t="s">
        <v>2029</v>
      </c>
      <c r="AB1263" t="s">
        <v>13941</v>
      </c>
      <c r="AD1263" t="s">
        <v>16380</v>
      </c>
      <c r="AE1263" t="s">
        <v>13051</v>
      </c>
      <c r="AF1263" t="s">
        <v>2902</v>
      </c>
      <c r="AH1263">
        <v>35</v>
      </c>
      <c r="AI1263">
        <v>1</v>
      </c>
      <c r="AJ1263">
        <v>0</v>
      </c>
      <c r="AK1263">
        <v>38.43</v>
      </c>
      <c r="AN1263" t="s">
        <v>2926</v>
      </c>
      <c r="AO1263">
        <v>4800</v>
      </c>
      <c r="AU1263">
        <v>0.5</v>
      </c>
      <c r="AV1263" t="s">
        <v>1999</v>
      </c>
      <c r="AW1263" t="s">
        <v>95</v>
      </c>
      <c r="AX1263" t="s">
        <v>18685</v>
      </c>
    </row>
    <row r="1264" spans="1:50">
      <c r="A1264" s="1" t="s">
        <v>130</v>
      </c>
      <c r="B1264" t="s">
        <v>164</v>
      </c>
      <c r="C1264" t="s">
        <v>4474</v>
      </c>
      <c r="D1264" t="s">
        <v>313</v>
      </c>
      <c r="E1264" t="s">
        <v>240</v>
      </c>
      <c r="F1264" t="s">
        <v>420</v>
      </c>
      <c r="G1264" t="s">
        <v>833</v>
      </c>
      <c r="H1264" t="s">
        <v>9783</v>
      </c>
      <c r="I1264" t="s">
        <v>1549</v>
      </c>
      <c r="J1264" t="s">
        <v>1644</v>
      </c>
      <c r="K1264">
        <v>11208</v>
      </c>
      <c r="L1264" t="s">
        <v>1670</v>
      </c>
      <c r="M1264" t="s">
        <v>1670</v>
      </c>
      <c r="O1264" t="s">
        <v>1937</v>
      </c>
      <c r="P1264" t="s">
        <v>1962</v>
      </c>
      <c r="Q1264" t="s">
        <v>1968</v>
      </c>
      <c r="R1264" t="s">
        <v>50</v>
      </c>
      <c r="S1264" t="s">
        <v>1670</v>
      </c>
      <c r="U1264" t="s">
        <v>1972</v>
      </c>
      <c r="V1264" t="s">
        <v>1984</v>
      </c>
      <c r="W1264" t="s">
        <v>231</v>
      </c>
      <c r="X1264" t="s">
        <v>13051</v>
      </c>
      <c r="Y1264" t="s">
        <v>2009</v>
      </c>
      <c r="Z1264" t="s">
        <v>2016</v>
      </c>
      <c r="AA1264" t="s">
        <v>2030</v>
      </c>
      <c r="AB1264" t="s">
        <v>13942</v>
      </c>
      <c r="AD1264" t="s">
        <v>16381</v>
      </c>
      <c r="AE1264">
        <v>7</v>
      </c>
      <c r="AF1264" t="s">
        <v>2902</v>
      </c>
      <c r="AH1264">
        <v>17</v>
      </c>
      <c r="AI1264">
        <v>1</v>
      </c>
      <c r="AJ1264">
        <v>0</v>
      </c>
      <c r="AK1264">
        <v>38.43</v>
      </c>
      <c r="AN1264" t="s">
        <v>2927</v>
      </c>
      <c r="AO1264">
        <v>4800</v>
      </c>
      <c r="AU1264">
        <v>0.6</v>
      </c>
      <c r="AV1264" t="s">
        <v>338</v>
      </c>
      <c r="AW1264" t="s">
        <v>3059</v>
      </c>
    </row>
    <row r="1265" spans="1:50">
      <c r="A1265" s="1" t="s">
        <v>100</v>
      </c>
      <c r="B1265" t="s">
        <v>164</v>
      </c>
      <c r="C1265" t="s">
        <v>4475</v>
      </c>
      <c r="D1265" t="s">
        <v>309</v>
      </c>
      <c r="E1265" t="s">
        <v>293</v>
      </c>
      <c r="F1265" t="s">
        <v>438</v>
      </c>
      <c r="G1265" t="s">
        <v>8488</v>
      </c>
      <c r="H1265" t="s">
        <v>9928</v>
      </c>
      <c r="I1265">
        <v>31</v>
      </c>
      <c r="J1265" t="s">
        <v>1643</v>
      </c>
      <c r="K1265">
        <v>10034</v>
      </c>
      <c r="L1265" t="s">
        <v>1670</v>
      </c>
      <c r="M1265" t="s">
        <v>1670</v>
      </c>
      <c r="N1265" t="s">
        <v>12181</v>
      </c>
      <c r="O1265" t="s">
        <v>1936</v>
      </c>
      <c r="P1265" t="s">
        <v>1958</v>
      </c>
      <c r="Q1265" t="s">
        <v>1965</v>
      </c>
      <c r="R1265" t="s">
        <v>50</v>
      </c>
      <c r="S1265" t="s">
        <v>1671</v>
      </c>
      <c r="U1265" t="s">
        <v>1972</v>
      </c>
      <c r="V1265" t="s">
        <v>1984</v>
      </c>
      <c r="W1265" t="s">
        <v>192</v>
      </c>
      <c r="X1265">
        <v>984.99</v>
      </c>
      <c r="Y1265" t="s">
        <v>2008</v>
      </c>
      <c r="Z1265" t="s">
        <v>2014</v>
      </c>
      <c r="AA1265" t="s">
        <v>2029</v>
      </c>
      <c r="AB1265" t="s">
        <v>2404</v>
      </c>
      <c r="AD1265" t="s">
        <v>16382</v>
      </c>
      <c r="AE1265">
        <v>42</v>
      </c>
      <c r="AF1265" t="s">
        <v>2902</v>
      </c>
      <c r="AG1265" t="s">
        <v>2017</v>
      </c>
      <c r="AH1265">
        <v>16</v>
      </c>
      <c r="AI1265">
        <v>1</v>
      </c>
      <c r="AJ1265">
        <v>0</v>
      </c>
      <c r="AK1265">
        <v>38.55</v>
      </c>
      <c r="AM1265" t="s">
        <v>18031</v>
      </c>
      <c r="AN1265" t="s">
        <v>2927</v>
      </c>
      <c r="AO1265">
        <v>4680</v>
      </c>
      <c r="AU1265">
        <v>0.35</v>
      </c>
      <c r="AV1265" t="s">
        <v>221</v>
      </c>
      <c r="AW1265" t="s">
        <v>3075</v>
      </c>
    </row>
    <row r="1266" spans="1:50">
      <c r="A1266" s="1" t="s">
        <v>90</v>
      </c>
      <c r="B1266" t="s">
        <v>163</v>
      </c>
      <c r="C1266" t="s">
        <v>4476</v>
      </c>
      <c r="D1266" t="s">
        <v>250</v>
      </c>
      <c r="F1266" t="s">
        <v>6914</v>
      </c>
      <c r="G1266" t="s">
        <v>8285</v>
      </c>
      <c r="H1266" t="s">
        <v>9929</v>
      </c>
      <c r="I1266" t="s">
        <v>11196</v>
      </c>
      <c r="J1266" t="s">
        <v>1646</v>
      </c>
      <c r="K1266">
        <v>10304</v>
      </c>
      <c r="L1266" t="s">
        <v>1670</v>
      </c>
      <c r="M1266" t="s">
        <v>1670</v>
      </c>
      <c r="N1266" t="s">
        <v>12182</v>
      </c>
      <c r="O1266" t="s">
        <v>1936</v>
      </c>
      <c r="P1266" t="s">
        <v>1960</v>
      </c>
      <c r="R1266" t="s">
        <v>50</v>
      </c>
      <c r="S1266" t="s">
        <v>1671</v>
      </c>
      <c r="U1266" t="s">
        <v>1972</v>
      </c>
      <c r="V1266" t="s">
        <v>1984</v>
      </c>
      <c r="W1266" t="s">
        <v>257</v>
      </c>
      <c r="X1266">
        <v>192</v>
      </c>
      <c r="Y1266" t="s">
        <v>2010</v>
      </c>
      <c r="Z1266" t="s">
        <v>2015</v>
      </c>
      <c r="AB1266" t="s">
        <v>13943</v>
      </c>
      <c r="AD1266" t="s">
        <v>16383</v>
      </c>
      <c r="AE1266">
        <v>108</v>
      </c>
      <c r="AF1266" t="s">
        <v>2910</v>
      </c>
      <c r="AG1266" t="s">
        <v>2017</v>
      </c>
      <c r="AH1266">
        <v>2</v>
      </c>
      <c r="AI1266">
        <v>1</v>
      </c>
      <c r="AJ1266">
        <v>0</v>
      </c>
      <c r="AK1266">
        <v>38.55</v>
      </c>
      <c r="AN1266" t="s">
        <v>2926</v>
      </c>
      <c r="AO1266">
        <v>4680</v>
      </c>
      <c r="AU1266">
        <v>9.300000000000001</v>
      </c>
      <c r="AV1266" t="s">
        <v>396</v>
      </c>
      <c r="AW1266" t="s">
        <v>18666</v>
      </c>
    </row>
    <row r="1267" spans="1:50">
      <c r="A1267" s="1" t="s">
        <v>90</v>
      </c>
      <c r="B1267" t="s">
        <v>163</v>
      </c>
      <c r="C1267" t="s">
        <v>4477</v>
      </c>
      <c r="D1267" t="s">
        <v>192</v>
      </c>
      <c r="F1267" t="s">
        <v>7366</v>
      </c>
      <c r="G1267" t="s">
        <v>8489</v>
      </c>
      <c r="H1267" t="s">
        <v>9930</v>
      </c>
      <c r="I1267" t="s">
        <v>1534</v>
      </c>
      <c r="J1267" t="s">
        <v>1646</v>
      </c>
      <c r="K1267">
        <v>10301</v>
      </c>
      <c r="L1267" t="s">
        <v>1670</v>
      </c>
      <c r="M1267" t="s">
        <v>1670</v>
      </c>
      <c r="N1267" t="s">
        <v>12183</v>
      </c>
      <c r="O1267" t="s">
        <v>1936</v>
      </c>
      <c r="P1267" t="s">
        <v>1960</v>
      </c>
      <c r="R1267" t="s">
        <v>50</v>
      </c>
      <c r="S1267" t="s">
        <v>1670</v>
      </c>
      <c r="U1267" t="s">
        <v>1972</v>
      </c>
      <c r="V1267" t="s">
        <v>1985</v>
      </c>
      <c r="W1267" t="s">
        <v>192</v>
      </c>
      <c r="X1267">
        <v>1825</v>
      </c>
      <c r="Y1267" t="s">
        <v>2010</v>
      </c>
      <c r="Z1267" t="s">
        <v>2011</v>
      </c>
      <c r="AB1267" t="s">
        <v>13944</v>
      </c>
      <c r="AC1267" t="s">
        <v>15143</v>
      </c>
      <c r="AD1267" t="s">
        <v>16384</v>
      </c>
      <c r="AE1267">
        <v>60</v>
      </c>
      <c r="AF1267" t="s">
        <v>2902</v>
      </c>
      <c r="AH1267">
        <v>13</v>
      </c>
      <c r="AI1267">
        <v>1</v>
      </c>
      <c r="AJ1267">
        <v>0</v>
      </c>
      <c r="AK1267">
        <v>38.57</v>
      </c>
      <c r="AN1267" t="s">
        <v>2926</v>
      </c>
      <c r="AO1267">
        <v>4683</v>
      </c>
      <c r="AU1267">
        <v>25.4</v>
      </c>
      <c r="AV1267" t="s">
        <v>390</v>
      </c>
      <c r="AW1267" t="s">
        <v>18666</v>
      </c>
    </row>
    <row r="1268" spans="1:50">
      <c r="A1268" s="1" t="s">
        <v>71</v>
      </c>
      <c r="B1268" t="s">
        <v>163</v>
      </c>
      <c r="C1268" t="s">
        <v>4478</v>
      </c>
      <c r="D1268" t="s">
        <v>347</v>
      </c>
      <c r="F1268" t="s">
        <v>526</v>
      </c>
      <c r="G1268" t="s">
        <v>8490</v>
      </c>
      <c r="H1268" t="s">
        <v>9931</v>
      </c>
      <c r="I1268" t="s">
        <v>1506</v>
      </c>
      <c r="J1268" t="s">
        <v>1646</v>
      </c>
      <c r="K1268">
        <v>10301</v>
      </c>
      <c r="L1268" t="s">
        <v>1670</v>
      </c>
      <c r="M1268" t="s">
        <v>1670</v>
      </c>
      <c r="N1268" t="s">
        <v>12184</v>
      </c>
      <c r="O1268" t="s">
        <v>1940</v>
      </c>
      <c r="P1268" t="s">
        <v>1960</v>
      </c>
      <c r="R1268" t="s">
        <v>50</v>
      </c>
      <c r="S1268" t="s">
        <v>1671</v>
      </c>
      <c r="U1268" t="s">
        <v>1972</v>
      </c>
      <c r="V1268" t="s">
        <v>1984</v>
      </c>
      <c r="W1268" t="s">
        <v>347</v>
      </c>
      <c r="X1268">
        <v>2200</v>
      </c>
      <c r="Y1268" t="s">
        <v>2010</v>
      </c>
      <c r="Z1268" t="s">
        <v>2011</v>
      </c>
      <c r="AB1268" t="s">
        <v>13945</v>
      </c>
      <c r="AD1268" t="s">
        <v>16385</v>
      </c>
      <c r="AE1268">
        <v>227</v>
      </c>
      <c r="AF1268" t="s">
        <v>2909</v>
      </c>
      <c r="AG1268" t="s">
        <v>1754</v>
      </c>
      <c r="AH1268">
        <v>5</v>
      </c>
      <c r="AI1268">
        <v>2</v>
      </c>
      <c r="AJ1268">
        <v>0</v>
      </c>
      <c r="AK1268">
        <v>38.64</v>
      </c>
      <c r="AN1268" t="s">
        <v>2926</v>
      </c>
      <c r="AO1268">
        <v>6360</v>
      </c>
      <c r="AU1268">
        <v>39.7</v>
      </c>
      <c r="AV1268" t="s">
        <v>393</v>
      </c>
      <c r="AW1268" t="s">
        <v>3072</v>
      </c>
      <c r="AX1268" t="s">
        <v>18685</v>
      </c>
    </row>
    <row r="1269" spans="1:50">
      <c r="A1269" s="1" t="s">
        <v>118</v>
      </c>
      <c r="B1269" t="s">
        <v>164</v>
      </c>
      <c r="C1269" t="s">
        <v>4479</v>
      </c>
      <c r="D1269" t="s">
        <v>218</v>
      </c>
      <c r="E1269" t="s">
        <v>359</v>
      </c>
      <c r="F1269" t="s">
        <v>7176</v>
      </c>
      <c r="G1269" t="s">
        <v>8491</v>
      </c>
      <c r="H1269" t="s">
        <v>1114</v>
      </c>
      <c r="I1269" t="s">
        <v>11126</v>
      </c>
      <c r="J1269" t="s">
        <v>1641</v>
      </c>
      <c r="K1269">
        <v>10456</v>
      </c>
      <c r="L1269" t="s">
        <v>1670</v>
      </c>
      <c r="M1269" t="s">
        <v>1670</v>
      </c>
      <c r="O1269" t="s">
        <v>1941</v>
      </c>
      <c r="P1269" t="s">
        <v>1962</v>
      </c>
      <c r="Q1269" t="s">
        <v>1968</v>
      </c>
      <c r="R1269" t="s">
        <v>50</v>
      </c>
      <c r="S1269" t="s">
        <v>1671</v>
      </c>
      <c r="U1269" t="s">
        <v>1972</v>
      </c>
      <c r="W1269" t="s">
        <v>218</v>
      </c>
      <c r="X1269" t="s">
        <v>13051</v>
      </c>
      <c r="Y1269" t="s">
        <v>2006</v>
      </c>
      <c r="Z1269" t="s">
        <v>2015</v>
      </c>
      <c r="AA1269" t="s">
        <v>2030</v>
      </c>
      <c r="AB1269" t="s">
        <v>13937</v>
      </c>
      <c r="AE1269" t="s">
        <v>13051</v>
      </c>
      <c r="AF1269" t="s">
        <v>2902</v>
      </c>
      <c r="AG1269" t="s">
        <v>1754</v>
      </c>
      <c r="AH1269" t="s">
        <v>13051</v>
      </c>
      <c r="AI1269">
        <v>4</v>
      </c>
      <c r="AJ1269">
        <v>0</v>
      </c>
      <c r="AK1269">
        <v>38.96</v>
      </c>
      <c r="AN1269" t="s">
        <v>2926</v>
      </c>
      <c r="AO1269">
        <v>9780</v>
      </c>
      <c r="AU1269">
        <v>0.1</v>
      </c>
      <c r="AV1269" t="s">
        <v>359</v>
      </c>
      <c r="AW1269" t="s">
        <v>3054</v>
      </c>
    </row>
    <row r="1270" spans="1:50">
      <c r="A1270" s="1" t="s">
        <v>74</v>
      </c>
      <c r="B1270" t="s">
        <v>163</v>
      </c>
      <c r="C1270" t="s">
        <v>4480</v>
      </c>
      <c r="D1270" t="s">
        <v>328</v>
      </c>
      <c r="F1270" t="s">
        <v>7367</v>
      </c>
      <c r="G1270" t="s">
        <v>8492</v>
      </c>
      <c r="H1270" t="s">
        <v>1131</v>
      </c>
      <c r="I1270" t="s">
        <v>1520</v>
      </c>
      <c r="J1270" t="s">
        <v>1641</v>
      </c>
      <c r="K1270">
        <v>10460</v>
      </c>
      <c r="L1270" t="s">
        <v>1670</v>
      </c>
      <c r="M1270" t="s">
        <v>1672</v>
      </c>
      <c r="N1270" t="s">
        <v>1691</v>
      </c>
      <c r="O1270" t="s">
        <v>1675</v>
      </c>
      <c r="P1270" t="s">
        <v>1959</v>
      </c>
      <c r="R1270" t="s">
        <v>50</v>
      </c>
      <c r="S1270" t="s">
        <v>1670</v>
      </c>
      <c r="U1270" t="s">
        <v>1972</v>
      </c>
      <c r="W1270" t="s">
        <v>1991</v>
      </c>
      <c r="X1270">
        <v>1000</v>
      </c>
      <c r="Y1270" t="s">
        <v>2006</v>
      </c>
      <c r="Z1270" t="s">
        <v>2020</v>
      </c>
      <c r="AB1270" t="s">
        <v>13946</v>
      </c>
      <c r="AD1270" t="s">
        <v>16386</v>
      </c>
      <c r="AE1270">
        <v>168</v>
      </c>
      <c r="AF1270" t="s">
        <v>2902</v>
      </c>
      <c r="AG1270" t="s">
        <v>1754</v>
      </c>
      <c r="AH1270">
        <v>4</v>
      </c>
      <c r="AI1270">
        <v>1</v>
      </c>
      <c r="AJ1270">
        <v>0</v>
      </c>
      <c r="AK1270">
        <v>39.14</v>
      </c>
      <c r="AN1270" t="s">
        <v>2927</v>
      </c>
      <c r="AO1270">
        <v>4888</v>
      </c>
      <c r="AU1270" t="s">
        <v>13051</v>
      </c>
      <c r="AW1270" t="s">
        <v>3046</v>
      </c>
      <c r="AX1270" t="s">
        <v>18685</v>
      </c>
    </row>
    <row r="1271" spans="1:50">
      <c r="A1271" s="1" t="s">
        <v>101</v>
      </c>
      <c r="B1271" t="s">
        <v>163</v>
      </c>
      <c r="C1271" t="s">
        <v>4481</v>
      </c>
      <c r="D1271" t="s">
        <v>335</v>
      </c>
      <c r="F1271" t="s">
        <v>7111</v>
      </c>
      <c r="G1271" t="s">
        <v>8493</v>
      </c>
      <c r="H1271" t="s">
        <v>9879</v>
      </c>
      <c r="I1271" t="s">
        <v>1558</v>
      </c>
      <c r="J1271" t="s">
        <v>1643</v>
      </c>
      <c r="K1271">
        <v>10031</v>
      </c>
      <c r="L1271" t="s">
        <v>1670</v>
      </c>
      <c r="M1271" t="s">
        <v>1670</v>
      </c>
      <c r="N1271" t="s">
        <v>12152</v>
      </c>
      <c r="O1271" t="s">
        <v>1939</v>
      </c>
      <c r="P1271" t="s">
        <v>1960</v>
      </c>
      <c r="R1271" t="s">
        <v>50</v>
      </c>
      <c r="S1271" t="s">
        <v>1670</v>
      </c>
      <c r="U1271" t="s">
        <v>1972</v>
      </c>
      <c r="V1271" t="s">
        <v>1984</v>
      </c>
      <c r="W1271" t="s">
        <v>311</v>
      </c>
      <c r="X1271">
        <v>2216</v>
      </c>
      <c r="Y1271" t="s">
        <v>2008</v>
      </c>
      <c r="Z1271" t="s">
        <v>2019</v>
      </c>
      <c r="AB1271" t="s">
        <v>13947</v>
      </c>
      <c r="AD1271" t="s">
        <v>16387</v>
      </c>
      <c r="AE1271">
        <v>44</v>
      </c>
      <c r="AF1271" t="s">
        <v>2909</v>
      </c>
      <c r="AG1271" t="s">
        <v>2915</v>
      </c>
      <c r="AH1271">
        <v>10</v>
      </c>
      <c r="AI1271">
        <v>1</v>
      </c>
      <c r="AJ1271">
        <v>0</v>
      </c>
      <c r="AK1271">
        <v>39.35</v>
      </c>
      <c r="AN1271" t="s">
        <v>2926</v>
      </c>
      <c r="AO1271">
        <v>4777</v>
      </c>
      <c r="AU1271">
        <v>3</v>
      </c>
      <c r="AV1271" t="s">
        <v>365</v>
      </c>
      <c r="AW1271" t="s">
        <v>3051</v>
      </c>
    </row>
    <row r="1272" spans="1:50">
      <c r="A1272" s="1" t="s">
        <v>130</v>
      </c>
      <c r="B1272" t="s">
        <v>164</v>
      </c>
      <c r="C1272" t="s">
        <v>4482</v>
      </c>
      <c r="D1272" t="s">
        <v>360</v>
      </c>
      <c r="E1272" t="s">
        <v>206</v>
      </c>
      <c r="F1272" t="s">
        <v>7368</v>
      </c>
      <c r="G1272" t="s">
        <v>780</v>
      </c>
      <c r="H1272" t="s">
        <v>9932</v>
      </c>
      <c r="I1272" t="s">
        <v>11197</v>
      </c>
      <c r="J1272" t="s">
        <v>1644</v>
      </c>
      <c r="K1272">
        <v>11221</v>
      </c>
      <c r="L1272" t="s">
        <v>1670</v>
      </c>
      <c r="M1272" t="s">
        <v>1672</v>
      </c>
      <c r="O1272" t="s">
        <v>1675</v>
      </c>
      <c r="P1272" t="s">
        <v>1959</v>
      </c>
      <c r="Q1272" t="s">
        <v>1968</v>
      </c>
      <c r="R1272" t="s">
        <v>50</v>
      </c>
      <c r="U1272" t="s">
        <v>1972</v>
      </c>
      <c r="W1272" t="s">
        <v>6217</v>
      </c>
      <c r="X1272">
        <v>378</v>
      </c>
      <c r="Y1272" t="s">
        <v>2009</v>
      </c>
      <c r="AA1272" t="s">
        <v>2030</v>
      </c>
      <c r="AB1272" t="s">
        <v>13948</v>
      </c>
      <c r="AE1272">
        <v>54</v>
      </c>
      <c r="AF1272" t="s">
        <v>2902</v>
      </c>
      <c r="AH1272">
        <v>21</v>
      </c>
      <c r="AI1272">
        <v>2</v>
      </c>
      <c r="AJ1272">
        <v>0</v>
      </c>
      <c r="AK1272">
        <v>39.37</v>
      </c>
      <c r="AN1272" t="s">
        <v>2926</v>
      </c>
      <c r="AO1272">
        <v>6480</v>
      </c>
      <c r="AU1272">
        <v>0.1</v>
      </c>
      <c r="AV1272" t="s">
        <v>332</v>
      </c>
      <c r="AW1272" t="s">
        <v>3060</v>
      </c>
      <c r="AX1272" t="s">
        <v>18685</v>
      </c>
    </row>
    <row r="1273" spans="1:50">
      <c r="A1273" s="1" t="s">
        <v>62</v>
      </c>
      <c r="B1273" t="s">
        <v>163</v>
      </c>
      <c r="C1273" t="s">
        <v>4483</v>
      </c>
      <c r="D1273" t="s">
        <v>6164</v>
      </c>
      <c r="F1273" t="s">
        <v>7369</v>
      </c>
      <c r="G1273" t="s">
        <v>877</v>
      </c>
      <c r="H1273" t="s">
        <v>9933</v>
      </c>
      <c r="I1273" t="s">
        <v>11103</v>
      </c>
      <c r="J1273" t="s">
        <v>1644</v>
      </c>
      <c r="K1273">
        <v>11226</v>
      </c>
      <c r="L1273" t="s">
        <v>1670</v>
      </c>
      <c r="M1273" t="s">
        <v>1670</v>
      </c>
      <c r="P1273" t="s">
        <v>1960</v>
      </c>
      <c r="R1273" t="s">
        <v>50</v>
      </c>
      <c r="S1273" t="s">
        <v>1670</v>
      </c>
      <c r="U1273" t="s">
        <v>1972</v>
      </c>
      <c r="W1273" t="s">
        <v>247</v>
      </c>
      <c r="X1273">
        <v>1560.44</v>
      </c>
      <c r="Y1273" t="s">
        <v>2009</v>
      </c>
      <c r="Z1273" t="s">
        <v>2020</v>
      </c>
      <c r="AB1273" t="s">
        <v>13949</v>
      </c>
      <c r="AC1273" t="s">
        <v>15144</v>
      </c>
      <c r="AD1273" t="s">
        <v>16388</v>
      </c>
      <c r="AE1273">
        <v>65</v>
      </c>
      <c r="AF1273" t="s">
        <v>2902</v>
      </c>
      <c r="AG1273" t="s">
        <v>2915</v>
      </c>
      <c r="AH1273">
        <v>32</v>
      </c>
      <c r="AI1273">
        <v>2</v>
      </c>
      <c r="AJ1273">
        <v>0</v>
      </c>
      <c r="AK1273">
        <v>39.48</v>
      </c>
      <c r="AN1273" t="s">
        <v>2926</v>
      </c>
      <c r="AO1273">
        <v>6498</v>
      </c>
      <c r="AU1273">
        <v>9.15</v>
      </c>
      <c r="AV1273" t="s">
        <v>299</v>
      </c>
      <c r="AW1273" t="s">
        <v>3079</v>
      </c>
    </row>
    <row r="1274" spans="1:50">
      <c r="A1274" s="1" t="s">
        <v>64</v>
      </c>
      <c r="B1274" t="s">
        <v>164</v>
      </c>
      <c r="C1274" t="s">
        <v>4484</v>
      </c>
      <c r="D1274" t="s">
        <v>261</v>
      </c>
      <c r="E1274" t="s">
        <v>247</v>
      </c>
      <c r="F1274" t="s">
        <v>451</v>
      </c>
      <c r="G1274" t="s">
        <v>8494</v>
      </c>
      <c r="H1274" t="s">
        <v>9934</v>
      </c>
      <c r="I1274" t="s">
        <v>11198</v>
      </c>
      <c r="J1274" t="s">
        <v>1643</v>
      </c>
      <c r="K1274">
        <v>10034</v>
      </c>
      <c r="L1274" t="s">
        <v>1670</v>
      </c>
      <c r="M1274" t="s">
        <v>1670</v>
      </c>
      <c r="O1274" t="s">
        <v>1939</v>
      </c>
      <c r="P1274" t="s">
        <v>1958</v>
      </c>
      <c r="Q1274" t="s">
        <v>1965</v>
      </c>
      <c r="R1274" t="s">
        <v>50</v>
      </c>
      <c r="S1274" t="s">
        <v>1671</v>
      </c>
      <c r="U1274" t="s">
        <v>1972</v>
      </c>
      <c r="W1274" t="s">
        <v>261</v>
      </c>
      <c r="X1274">
        <v>1395</v>
      </c>
      <c r="Y1274" t="s">
        <v>2008</v>
      </c>
      <c r="Z1274" t="s">
        <v>2020</v>
      </c>
      <c r="AA1274" t="s">
        <v>2029</v>
      </c>
      <c r="AB1274" t="s">
        <v>13950</v>
      </c>
      <c r="AD1274" t="s">
        <v>16389</v>
      </c>
      <c r="AE1274">
        <v>160</v>
      </c>
      <c r="AF1274" t="s">
        <v>2902</v>
      </c>
      <c r="AG1274" t="s">
        <v>1754</v>
      </c>
      <c r="AH1274">
        <v>20</v>
      </c>
      <c r="AI1274">
        <v>1</v>
      </c>
      <c r="AJ1274">
        <v>0</v>
      </c>
      <c r="AK1274">
        <v>39.54</v>
      </c>
      <c r="AN1274" t="s">
        <v>2926</v>
      </c>
      <c r="AO1274">
        <v>4800</v>
      </c>
      <c r="AU1274">
        <v>1</v>
      </c>
      <c r="AV1274" t="s">
        <v>261</v>
      </c>
      <c r="AW1274" t="s">
        <v>3042</v>
      </c>
    </row>
    <row r="1275" spans="1:50">
      <c r="A1275" s="1" t="s">
        <v>130</v>
      </c>
      <c r="B1275" t="s">
        <v>164</v>
      </c>
      <c r="C1275" t="s">
        <v>4485</v>
      </c>
      <c r="D1275" t="s">
        <v>288</v>
      </c>
      <c r="E1275" t="s">
        <v>240</v>
      </c>
      <c r="F1275" t="s">
        <v>420</v>
      </c>
      <c r="G1275" t="s">
        <v>833</v>
      </c>
      <c r="H1275" t="s">
        <v>9783</v>
      </c>
      <c r="I1275" t="s">
        <v>1549</v>
      </c>
      <c r="J1275" t="s">
        <v>1644</v>
      </c>
      <c r="K1275">
        <v>11208</v>
      </c>
      <c r="L1275" t="s">
        <v>1670</v>
      </c>
      <c r="M1275" t="s">
        <v>1670</v>
      </c>
      <c r="N1275" t="s">
        <v>12185</v>
      </c>
      <c r="O1275" t="s">
        <v>1940</v>
      </c>
      <c r="P1275" t="s">
        <v>1960</v>
      </c>
      <c r="Q1275" t="s">
        <v>1969</v>
      </c>
      <c r="R1275" t="s">
        <v>50</v>
      </c>
      <c r="S1275" t="s">
        <v>1670</v>
      </c>
      <c r="U1275" t="s">
        <v>1972</v>
      </c>
      <c r="V1275" t="s">
        <v>1984</v>
      </c>
      <c r="W1275" t="s">
        <v>284</v>
      </c>
      <c r="X1275" t="s">
        <v>13051</v>
      </c>
      <c r="Y1275" t="s">
        <v>2009</v>
      </c>
      <c r="Z1275" t="s">
        <v>2016</v>
      </c>
      <c r="AA1275" t="s">
        <v>2029</v>
      </c>
      <c r="AB1275" t="s">
        <v>13942</v>
      </c>
      <c r="AD1275" t="s">
        <v>16381</v>
      </c>
      <c r="AE1275">
        <v>7</v>
      </c>
      <c r="AF1275" t="s">
        <v>2902</v>
      </c>
      <c r="AH1275">
        <v>17</v>
      </c>
      <c r="AI1275">
        <v>1</v>
      </c>
      <c r="AJ1275">
        <v>0</v>
      </c>
      <c r="AK1275">
        <v>39.54</v>
      </c>
      <c r="AN1275" t="s">
        <v>2927</v>
      </c>
      <c r="AO1275">
        <v>4800</v>
      </c>
      <c r="AP1275" t="s">
        <v>18264</v>
      </c>
      <c r="AQ1275" t="s">
        <v>2980</v>
      </c>
      <c r="AR1275" t="s">
        <v>18461</v>
      </c>
      <c r="AS1275" t="s">
        <v>2993</v>
      </c>
      <c r="AT1275" t="s">
        <v>18528</v>
      </c>
      <c r="AU1275">
        <v>5</v>
      </c>
      <c r="AV1275" t="s">
        <v>384</v>
      </c>
      <c r="AW1275" t="s">
        <v>3060</v>
      </c>
    </row>
    <row r="1276" spans="1:50">
      <c r="A1276" s="1" t="s">
        <v>59</v>
      </c>
      <c r="B1276" t="s">
        <v>163</v>
      </c>
      <c r="C1276" t="s">
        <v>4486</v>
      </c>
      <c r="D1276" t="s">
        <v>180</v>
      </c>
      <c r="F1276" t="s">
        <v>7370</v>
      </c>
      <c r="G1276" t="s">
        <v>890</v>
      </c>
      <c r="H1276" t="s">
        <v>9935</v>
      </c>
      <c r="I1276" t="s">
        <v>11199</v>
      </c>
      <c r="J1276" t="s">
        <v>1641</v>
      </c>
      <c r="K1276">
        <v>10453</v>
      </c>
      <c r="L1276" t="s">
        <v>1670</v>
      </c>
      <c r="M1276" t="s">
        <v>1670</v>
      </c>
      <c r="N1276" t="s">
        <v>12186</v>
      </c>
      <c r="O1276" t="s">
        <v>1936</v>
      </c>
      <c r="P1276" t="s">
        <v>1960</v>
      </c>
      <c r="R1276" t="s">
        <v>50</v>
      </c>
      <c r="S1276" t="s">
        <v>1671</v>
      </c>
      <c r="U1276" t="s">
        <v>1972</v>
      </c>
      <c r="V1276" t="s">
        <v>1983</v>
      </c>
      <c r="W1276" t="s">
        <v>1992</v>
      </c>
      <c r="X1276">
        <v>784.77</v>
      </c>
      <c r="Y1276" t="s">
        <v>2006</v>
      </c>
      <c r="Z1276" t="s">
        <v>13055</v>
      </c>
      <c r="AB1276" t="s">
        <v>13951</v>
      </c>
      <c r="AD1276" t="s">
        <v>16390</v>
      </c>
      <c r="AE1276">
        <v>65</v>
      </c>
      <c r="AF1276" t="s">
        <v>2902</v>
      </c>
      <c r="AG1276" t="s">
        <v>1754</v>
      </c>
      <c r="AH1276">
        <v>46</v>
      </c>
      <c r="AI1276">
        <v>1</v>
      </c>
      <c r="AJ1276">
        <v>0</v>
      </c>
      <c r="AK1276">
        <v>39.54</v>
      </c>
      <c r="AN1276" t="s">
        <v>2926</v>
      </c>
      <c r="AO1276">
        <v>4800</v>
      </c>
      <c r="AU1276">
        <v>38.15</v>
      </c>
      <c r="AV1276" t="s">
        <v>396</v>
      </c>
      <c r="AW1276" t="s">
        <v>18653</v>
      </c>
    </row>
    <row r="1277" spans="1:50">
      <c r="A1277" s="1" t="s">
        <v>89</v>
      </c>
      <c r="B1277" t="s">
        <v>164</v>
      </c>
      <c r="C1277" t="s">
        <v>4487</v>
      </c>
      <c r="D1277" t="s">
        <v>3036</v>
      </c>
      <c r="E1277" t="s">
        <v>364</v>
      </c>
      <c r="F1277" t="s">
        <v>6786</v>
      </c>
      <c r="G1277" t="s">
        <v>8495</v>
      </c>
      <c r="H1277" t="s">
        <v>9936</v>
      </c>
      <c r="I1277" t="s">
        <v>1501</v>
      </c>
      <c r="J1277" t="s">
        <v>1647</v>
      </c>
      <c r="K1277">
        <v>11435</v>
      </c>
      <c r="L1277" t="s">
        <v>1670</v>
      </c>
      <c r="M1277" t="s">
        <v>1672</v>
      </c>
      <c r="N1277" t="s">
        <v>12187</v>
      </c>
      <c r="O1277" t="s">
        <v>1939</v>
      </c>
      <c r="P1277" t="s">
        <v>1962</v>
      </c>
      <c r="Q1277" t="s">
        <v>1968</v>
      </c>
      <c r="R1277" t="s">
        <v>50</v>
      </c>
      <c r="S1277" t="s">
        <v>1671</v>
      </c>
      <c r="U1277" t="s">
        <v>1972</v>
      </c>
      <c r="W1277" t="s">
        <v>3036</v>
      </c>
      <c r="X1277">
        <v>1600</v>
      </c>
      <c r="Y1277" t="s">
        <v>2007</v>
      </c>
      <c r="Z1277" t="s">
        <v>2014</v>
      </c>
      <c r="AA1277" t="s">
        <v>2029</v>
      </c>
      <c r="AB1277" t="s">
        <v>13952</v>
      </c>
      <c r="AC1277" t="s">
        <v>15145</v>
      </c>
      <c r="AD1277" t="s">
        <v>16391</v>
      </c>
      <c r="AE1277">
        <v>8</v>
      </c>
      <c r="AF1277" t="s">
        <v>2904</v>
      </c>
      <c r="AG1277" t="s">
        <v>1754</v>
      </c>
      <c r="AH1277">
        <v>1</v>
      </c>
      <c r="AI1277">
        <v>2</v>
      </c>
      <c r="AJ1277">
        <v>0</v>
      </c>
      <c r="AK1277">
        <v>39.57</v>
      </c>
      <c r="AN1277" t="s">
        <v>2926</v>
      </c>
      <c r="AO1277">
        <v>6692</v>
      </c>
      <c r="AU1277">
        <v>3.3</v>
      </c>
      <c r="AV1277" t="s">
        <v>290</v>
      </c>
      <c r="AW1277" t="s">
        <v>89</v>
      </c>
      <c r="AX1277" t="s">
        <v>18685</v>
      </c>
    </row>
    <row r="1278" spans="1:50">
      <c r="A1278" s="1" t="s">
        <v>57</v>
      </c>
      <c r="B1278" t="s">
        <v>163</v>
      </c>
      <c r="C1278" t="s">
        <v>4488</v>
      </c>
      <c r="D1278" t="s">
        <v>208</v>
      </c>
      <c r="F1278" t="s">
        <v>438</v>
      </c>
      <c r="G1278" t="s">
        <v>885</v>
      </c>
      <c r="H1278" t="s">
        <v>1112</v>
      </c>
      <c r="I1278" t="s">
        <v>1503</v>
      </c>
      <c r="J1278" t="s">
        <v>1641</v>
      </c>
      <c r="K1278">
        <v>10453</v>
      </c>
      <c r="L1278" t="s">
        <v>1670</v>
      </c>
      <c r="M1278" t="s">
        <v>1670</v>
      </c>
      <c r="N1278" t="s">
        <v>1677</v>
      </c>
      <c r="O1278" t="s">
        <v>1939</v>
      </c>
      <c r="P1278" t="s">
        <v>1960</v>
      </c>
      <c r="R1278" t="s">
        <v>50</v>
      </c>
      <c r="S1278" t="s">
        <v>1670</v>
      </c>
      <c r="U1278" t="s">
        <v>1972</v>
      </c>
      <c r="W1278" t="s">
        <v>283</v>
      </c>
      <c r="X1278">
        <v>1145</v>
      </c>
      <c r="Y1278" t="s">
        <v>2006</v>
      </c>
      <c r="Z1278" t="s">
        <v>2015</v>
      </c>
      <c r="AB1278" t="s">
        <v>2169</v>
      </c>
      <c r="AD1278" t="s">
        <v>2596</v>
      </c>
      <c r="AE1278">
        <v>170</v>
      </c>
      <c r="AF1278" t="s">
        <v>2902</v>
      </c>
      <c r="AG1278" t="s">
        <v>1754</v>
      </c>
      <c r="AH1278">
        <v>7</v>
      </c>
      <c r="AI1278">
        <v>5</v>
      </c>
      <c r="AJ1278">
        <v>0</v>
      </c>
      <c r="AK1278">
        <v>39.77</v>
      </c>
      <c r="AN1278" t="s">
        <v>2927</v>
      </c>
      <c r="AO1278">
        <v>12000</v>
      </c>
      <c r="AU1278" t="s">
        <v>13051</v>
      </c>
      <c r="AW1278" t="s">
        <v>3054</v>
      </c>
    </row>
    <row r="1279" spans="1:50">
      <c r="A1279" s="1" t="s">
        <v>3144</v>
      </c>
      <c r="B1279" t="s">
        <v>163</v>
      </c>
      <c r="C1279" t="s">
        <v>4489</v>
      </c>
      <c r="D1279" t="s">
        <v>236</v>
      </c>
      <c r="F1279" t="s">
        <v>683</v>
      </c>
      <c r="G1279" t="s">
        <v>7167</v>
      </c>
      <c r="H1279" t="s">
        <v>9937</v>
      </c>
      <c r="I1279" t="s">
        <v>1540</v>
      </c>
      <c r="J1279" t="s">
        <v>1641</v>
      </c>
      <c r="K1279">
        <v>10468</v>
      </c>
      <c r="L1279" t="s">
        <v>1670</v>
      </c>
      <c r="M1279" t="s">
        <v>1670</v>
      </c>
      <c r="O1279" t="s">
        <v>1943</v>
      </c>
      <c r="P1279" t="s">
        <v>1959</v>
      </c>
      <c r="R1279" t="s">
        <v>50</v>
      </c>
      <c r="S1279" t="s">
        <v>1671</v>
      </c>
      <c r="U1279" t="s">
        <v>1973</v>
      </c>
      <c r="W1279" t="s">
        <v>236</v>
      </c>
      <c r="X1279">
        <v>1508</v>
      </c>
      <c r="Y1279" t="s">
        <v>2006</v>
      </c>
      <c r="Z1279" t="s">
        <v>2020</v>
      </c>
      <c r="AB1279" t="s">
        <v>13953</v>
      </c>
      <c r="AC1279" t="s">
        <v>15146</v>
      </c>
      <c r="AD1279" t="s">
        <v>16392</v>
      </c>
      <c r="AE1279">
        <v>46</v>
      </c>
      <c r="AF1279" t="s">
        <v>2902</v>
      </c>
      <c r="AG1279" t="s">
        <v>1754</v>
      </c>
      <c r="AH1279">
        <v>20</v>
      </c>
      <c r="AI1279">
        <v>3</v>
      </c>
      <c r="AJ1279">
        <v>0</v>
      </c>
      <c r="AK1279">
        <v>39.83</v>
      </c>
      <c r="AN1279" t="s">
        <v>2926</v>
      </c>
      <c r="AO1279">
        <v>8496</v>
      </c>
      <c r="AU1279">
        <v>1</v>
      </c>
      <c r="AV1279" t="s">
        <v>339</v>
      </c>
      <c r="AW1279" t="s">
        <v>18655</v>
      </c>
    </row>
    <row r="1280" spans="1:50">
      <c r="A1280" s="1" t="s">
        <v>101</v>
      </c>
      <c r="B1280" t="s">
        <v>164</v>
      </c>
      <c r="C1280" t="s">
        <v>4490</v>
      </c>
      <c r="D1280" t="s">
        <v>305</v>
      </c>
      <c r="E1280" t="s">
        <v>405</v>
      </c>
      <c r="F1280" t="s">
        <v>7371</v>
      </c>
      <c r="G1280" t="s">
        <v>975</v>
      </c>
      <c r="H1280" t="s">
        <v>9938</v>
      </c>
      <c r="I1280" t="s">
        <v>1506</v>
      </c>
      <c r="J1280" t="s">
        <v>1643</v>
      </c>
      <c r="K1280">
        <v>10035</v>
      </c>
      <c r="L1280" t="s">
        <v>1670</v>
      </c>
      <c r="M1280" t="s">
        <v>1670</v>
      </c>
      <c r="N1280" t="s">
        <v>12188</v>
      </c>
      <c r="O1280" t="s">
        <v>1936</v>
      </c>
      <c r="P1280" t="s">
        <v>1960</v>
      </c>
      <c r="Q1280" t="s">
        <v>1969</v>
      </c>
      <c r="R1280" t="s">
        <v>50</v>
      </c>
      <c r="S1280" t="s">
        <v>1671</v>
      </c>
      <c r="U1280" t="s">
        <v>1972</v>
      </c>
      <c r="V1280" t="s">
        <v>1984</v>
      </c>
      <c r="W1280" t="s">
        <v>305</v>
      </c>
      <c r="X1280">
        <v>953.39</v>
      </c>
      <c r="Y1280" t="s">
        <v>2008</v>
      </c>
      <c r="Z1280" t="s">
        <v>2013</v>
      </c>
      <c r="AA1280" t="s">
        <v>2032</v>
      </c>
      <c r="AB1280" t="s">
        <v>13954</v>
      </c>
      <c r="AD1280" t="s">
        <v>16393</v>
      </c>
      <c r="AE1280">
        <v>9</v>
      </c>
      <c r="AF1280" t="s">
        <v>2902</v>
      </c>
      <c r="AG1280" t="s">
        <v>2921</v>
      </c>
      <c r="AH1280">
        <v>3</v>
      </c>
      <c r="AI1280">
        <v>1</v>
      </c>
      <c r="AJ1280">
        <v>0</v>
      </c>
      <c r="AK1280">
        <v>39.84</v>
      </c>
      <c r="AN1280" t="s">
        <v>2926</v>
      </c>
      <c r="AO1280">
        <v>4836</v>
      </c>
      <c r="AQ1280" t="s">
        <v>2979</v>
      </c>
      <c r="AR1280" t="s">
        <v>18467</v>
      </c>
      <c r="AS1280" t="s">
        <v>2992</v>
      </c>
      <c r="AT1280" t="s">
        <v>3000</v>
      </c>
      <c r="AU1280">
        <v>42.65</v>
      </c>
      <c r="AV1280" t="s">
        <v>217</v>
      </c>
      <c r="AW1280" t="s">
        <v>3051</v>
      </c>
      <c r="AX1280" t="s">
        <v>18685</v>
      </c>
    </row>
    <row r="1281" spans="1:50">
      <c r="A1281" s="1" t="s">
        <v>74</v>
      </c>
      <c r="B1281" t="s">
        <v>163</v>
      </c>
      <c r="C1281" t="s">
        <v>4491</v>
      </c>
      <c r="D1281" t="s">
        <v>191</v>
      </c>
      <c r="F1281" t="s">
        <v>6827</v>
      </c>
      <c r="G1281" t="s">
        <v>8496</v>
      </c>
      <c r="H1281" t="s">
        <v>1131</v>
      </c>
      <c r="I1281" t="s">
        <v>11200</v>
      </c>
      <c r="J1281" t="s">
        <v>1641</v>
      </c>
      <c r="K1281">
        <v>10460</v>
      </c>
      <c r="L1281" t="s">
        <v>1670</v>
      </c>
      <c r="M1281" t="s">
        <v>1672</v>
      </c>
      <c r="N1281" t="s">
        <v>1691</v>
      </c>
      <c r="O1281" t="s">
        <v>1675</v>
      </c>
      <c r="P1281" t="s">
        <v>1959</v>
      </c>
      <c r="R1281" t="s">
        <v>50</v>
      </c>
      <c r="S1281" t="s">
        <v>1670</v>
      </c>
      <c r="U1281" t="s">
        <v>1972</v>
      </c>
      <c r="W1281" t="s">
        <v>1991</v>
      </c>
      <c r="X1281">
        <v>1300</v>
      </c>
      <c r="Y1281" t="s">
        <v>2006</v>
      </c>
      <c r="Z1281" t="s">
        <v>2015</v>
      </c>
      <c r="AB1281" t="s">
        <v>13955</v>
      </c>
      <c r="AD1281" t="s">
        <v>16394</v>
      </c>
      <c r="AE1281">
        <v>168</v>
      </c>
      <c r="AF1281" t="s">
        <v>2902</v>
      </c>
      <c r="AG1281" t="s">
        <v>2915</v>
      </c>
      <c r="AH1281">
        <v>19</v>
      </c>
      <c r="AI1281">
        <v>1</v>
      </c>
      <c r="AJ1281">
        <v>0</v>
      </c>
      <c r="AK1281">
        <v>40.03</v>
      </c>
      <c r="AN1281" t="s">
        <v>2926</v>
      </c>
      <c r="AO1281">
        <v>5000.04</v>
      </c>
      <c r="AU1281" t="s">
        <v>13051</v>
      </c>
      <c r="AW1281" t="s">
        <v>3054</v>
      </c>
      <c r="AX1281" t="s">
        <v>18685</v>
      </c>
    </row>
    <row r="1282" spans="1:50">
      <c r="A1282" s="1" t="s">
        <v>73</v>
      </c>
      <c r="B1282" t="s">
        <v>163</v>
      </c>
      <c r="C1282" t="s">
        <v>4492</v>
      </c>
      <c r="D1282" t="s">
        <v>339</v>
      </c>
      <c r="F1282" t="s">
        <v>7372</v>
      </c>
      <c r="G1282" t="s">
        <v>7147</v>
      </c>
      <c r="H1282" t="s">
        <v>9939</v>
      </c>
      <c r="J1282" t="s">
        <v>1668</v>
      </c>
      <c r="K1282">
        <v>11358</v>
      </c>
      <c r="L1282" t="s">
        <v>1670</v>
      </c>
      <c r="M1282" t="s">
        <v>1670</v>
      </c>
      <c r="N1282" t="s">
        <v>12189</v>
      </c>
      <c r="O1282" t="s">
        <v>1940</v>
      </c>
      <c r="P1282" t="s">
        <v>1960</v>
      </c>
      <c r="R1282" t="s">
        <v>50</v>
      </c>
      <c r="U1282" t="s">
        <v>1972</v>
      </c>
      <c r="W1282" t="s">
        <v>339</v>
      </c>
      <c r="X1282">
        <v>430</v>
      </c>
      <c r="Y1282" t="s">
        <v>2007</v>
      </c>
      <c r="AB1282" t="s">
        <v>13956</v>
      </c>
      <c r="AD1282" t="s">
        <v>16395</v>
      </c>
      <c r="AE1282" t="s">
        <v>13051</v>
      </c>
      <c r="AH1282" t="s">
        <v>13051</v>
      </c>
      <c r="AI1282">
        <v>1</v>
      </c>
      <c r="AJ1282">
        <v>0</v>
      </c>
      <c r="AK1282">
        <v>40.03</v>
      </c>
      <c r="AN1282" t="s">
        <v>2926</v>
      </c>
      <c r="AO1282">
        <v>5000</v>
      </c>
      <c r="AU1282">
        <v>41.6</v>
      </c>
      <c r="AV1282" t="s">
        <v>397</v>
      </c>
      <c r="AW1282" t="s">
        <v>3073</v>
      </c>
    </row>
    <row r="1283" spans="1:50">
      <c r="A1283" s="1" t="s">
        <v>82</v>
      </c>
      <c r="B1283" t="s">
        <v>163</v>
      </c>
      <c r="C1283" t="s">
        <v>4493</v>
      </c>
      <c r="D1283" t="s">
        <v>294</v>
      </c>
      <c r="F1283" t="s">
        <v>7373</v>
      </c>
      <c r="G1283" t="s">
        <v>8145</v>
      </c>
      <c r="H1283" t="s">
        <v>9420</v>
      </c>
      <c r="I1283" t="s">
        <v>1534</v>
      </c>
      <c r="J1283" t="s">
        <v>1644</v>
      </c>
      <c r="K1283">
        <v>11233</v>
      </c>
      <c r="L1283" t="s">
        <v>1670</v>
      </c>
      <c r="M1283" t="s">
        <v>1671</v>
      </c>
      <c r="O1283" t="s">
        <v>1937</v>
      </c>
      <c r="P1283" t="s">
        <v>1962</v>
      </c>
      <c r="R1283" t="s">
        <v>50</v>
      </c>
      <c r="S1283" t="s">
        <v>1670</v>
      </c>
      <c r="U1283" t="s">
        <v>1972</v>
      </c>
      <c r="V1283" t="s">
        <v>1984</v>
      </c>
      <c r="W1283" t="s">
        <v>221</v>
      </c>
      <c r="X1283">
        <v>300</v>
      </c>
      <c r="Y1283" t="s">
        <v>2009</v>
      </c>
      <c r="Z1283" t="s">
        <v>2025</v>
      </c>
      <c r="AB1283" t="s">
        <v>13957</v>
      </c>
      <c r="AE1283">
        <v>359</v>
      </c>
      <c r="AF1283" t="s">
        <v>2902</v>
      </c>
      <c r="AG1283" t="s">
        <v>2915</v>
      </c>
      <c r="AH1283">
        <v>50</v>
      </c>
      <c r="AI1283">
        <v>2</v>
      </c>
      <c r="AJ1283">
        <v>0</v>
      </c>
      <c r="AK1283">
        <v>40.21</v>
      </c>
      <c r="AN1283" t="s">
        <v>2926</v>
      </c>
      <c r="AO1283">
        <v>6800</v>
      </c>
      <c r="AP1283" t="s">
        <v>18265</v>
      </c>
      <c r="AU1283" t="s">
        <v>13051</v>
      </c>
      <c r="AW1283" t="s">
        <v>3059</v>
      </c>
    </row>
    <row r="1284" spans="1:50">
      <c r="A1284" s="1" t="s">
        <v>82</v>
      </c>
      <c r="B1284" t="s">
        <v>163</v>
      </c>
      <c r="C1284" t="s">
        <v>4494</v>
      </c>
      <c r="D1284" t="s">
        <v>210</v>
      </c>
      <c r="F1284" t="s">
        <v>7373</v>
      </c>
      <c r="G1284" t="s">
        <v>8145</v>
      </c>
      <c r="H1284" t="s">
        <v>9420</v>
      </c>
      <c r="I1284" t="s">
        <v>1534</v>
      </c>
      <c r="J1284" t="s">
        <v>1644</v>
      </c>
      <c r="K1284">
        <v>11233</v>
      </c>
      <c r="L1284" t="s">
        <v>1670</v>
      </c>
      <c r="M1284" t="s">
        <v>1671</v>
      </c>
      <c r="O1284" t="s">
        <v>1938</v>
      </c>
      <c r="P1284" t="s">
        <v>1961</v>
      </c>
      <c r="R1284" t="s">
        <v>50</v>
      </c>
      <c r="S1284" t="s">
        <v>1670</v>
      </c>
      <c r="U1284" t="s">
        <v>1972</v>
      </c>
      <c r="V1284" t="s">
        <v>1984</v>
      </c>
      <c r="W1284" t="s">
        <v>248</v>
      </c>
      <c r="X1284">
        <v>300</v>
      </c>
      <c r="Y1284" t="s">
        <v>2009</v>
      </c>
      <c r="Z1284" t="s">
        <v>2025</v>
      </c>
      <c r="AB1284" t="s">
        <v>13957</v>
      </c>
      <c r="AE1284">
        <v>359</v>
      </c>
      <c r="AF1284" t="s">
        <v>2902</v>
      </c>
      <c r="AG1284" t="s">
        <v>2915</v>
      </c>
      <c r="AH1284">
        <v>50</v>
      </c>
      <c r="AI1284">
        <v>2</v>
      </c>
      <c r="AJ1284">
        <v>0</v>
      </c>
      <c r="AK1284">
        <v>40.21</v>
      </c>
      <c r="AN1284" t="s">
        <v>2926</v>
      </c>
      <c r="AO1284">
        <v>6800</v>
      </c>
      <c r="AP1284" t="s">
        <v>18266</v>
      </c>
      <c r="AU1284" t="s">
        <v>13051</v>
      </c>
      <c r="AW1284" t="s">
        <v>3060</v>
      </c>
    </row>
    <row r="1285" spans="1:50">
      <c r="A1285" s="1" t="s">
        <v>70</v>
      </c>
      <c r="B1285" t="s">
        <v>164</v>
      </c>
      <c r="C1285" t="s">
        <v>4495</v>
      </c>
      <c r="D1285" t="s">
        <v>224</v>
      </c>
      <c r="E1285" t="s">
        <v>273</v>
      </c>
      <c r="F1285" t="s">
        <v>6932</v>
      </c>
      <c r="G1285" t="s">
        <v>8497</v>
      </c>
      <c r="H1285" t="s">
        <v>9940</v>
      </c>
      <c r="I1285" t="s">
        <v>11201</v>
      </c>
      <c r="J1285" t="s">
        <v>1641</v>
      </c>
      <c r="K1285">
        <v>10468</v>
      </c>
      <c r="L1285" t="s">
        <v>1670</v>
      </c>
      <c r="M1285" t="s">
        <v>1670</v>
      </c>
      <c r="O1285" t="s">
        <v>1675</v>
      </c>
      <c r="P1285" t="s">
        <v>1958</v>
      </c>
      <c r="Q1285" t="s">
        <v>1965</v>
      </c>
      <c r="R1285" t="s">
        <v>50</v>
      </c>
      <c r="S1285" t="s">
        <v>1671</v>
      </c>
      <c r="U1285" t="s">
        <v>1972</v>
      </c>
      <c r="W1285" t="s">
        <v>224</v>
      </c>
      <c r="X1285" t="s">
        <v>13051</v>
      </c>
      <c r="Y1285" t="s">
        <v>2006</v>
      </c>
      <c r="Z1285" t="s">
        <v>2015</v>
      </c>
      <c r="AA1285" t="s">
        <v>2029</v>
      </c>
      <c r="AB1285" t="s">
        <v>13958</v>
      </c>
      <c r="AC1285">
        <v>3268823</v>
      </c>
      <c r="AE1285" t="s">
        <v>13051</v>
      </c>
      <c r="AG1285" t="s">
        <v>2921</v>
      </c>
      <c r="AH1285" t="s">
        <v>13051</v>
      </c>
      <c r="AI1285">
        <v>1</v>
      </c>
      <c r="AJ1285">
        <v>0</v>
      </c>
      <c r="AK1285">
        <v>40.26</v>
      </c>
      <c r="AN1285" t="s">
        <v>2926</v>
      </c>
      <c r="AO1285">
        <v>4888</v>
      </c>
      <c r="AU1285">
        <v>0.25</v>
      </c>
      <c r="AV1285" t="s">
        <v>273</v>
      </c>
      <c r="AW1285" t="s">
        <v>3047</v>
      </c>
    </row>
    <row r="1286" spans="1:50">
      <c r="A1286" s="1" t="s">
        <v>74</v>
      </c>
      <c r="B1286" t="s">
        <v>163</v>
      </c>
      <c r="C1286" t="s">
        <v>4496</v>
      </c>
      <c r="D1286" t="s">
        <v>306</v>
      </c>
      <c r="F1286" t="s">
        <v>7367</v>
      </c>
      <c r="G1286" t="s">
        <v>8492</v>
      </c>
      <c r="H1286" t="s">
        <v>1131</v>
      </c>
      <c r="I1286" t="s">
        <v>1520</v>
      </c>
      <c r="J1286" t="s">
        <v>1641</v>
      </c>
      <c r="K1286">
        <v>10460</v>
      </c>
      <c r="L1286" t="s">
        <v>1670</v>
      </c>
      <c r="M1286" t="s">
        <v>1670</v>
      </c>
      <c r="N1286" t="s">
        <v>1692</v>
      </c>
      <c r="O1286" t="s">
        <v>1939</v>
      </c>
      <c r="P1286" t="s">
        <v>1960</v>
      </c>
      <c r="R1286" t="s">
        <v>50</v>
      </c>
      <c r="S1286" t="s">
        <v>1670</v>
      </c>
      <c r="U1286" t="s">
        <v>1972</v>
      </c>
      <c r="W1286" t="s">
        <v>283</v>
      </c>
      <c r="X1286">
        <v>1000</v>
      </c>
      <c r="Y1286" t="s">
        <v>2006</v>
      </c>
      <c r="Z1286" t="s">
        <v>2015</v>
      </c>
      <c r="AB1286" t="s">
        <v>13946</v>
      </c>
      <c r="AD1286" t="s">
        <v>16386</v>
      </c>
      <c r="AE1286">
        <v>168</v>
      </c>
      <c r="AF1286" t="s">
        <v>2904</v>
      </c>
      <c r="AG1286" t="s">
        <v>1754</v>
      </c>
      <c r="AH1286">
        <v>4</v>
      </c>
      <c r="AI1286">
        <v>1</v>
      </c>
      <c r="AJ1286">
        <v>0</v>
      </c>
      <c r="AK1286">
        <v>40.26</v>
      </c>
      <c r="AN1286" t="s">
        <v>2927</v>
      </c>
      <c r="AO1286">
        <v>4888</v>
      </c>
      <c r="AU1286" t="s">
        <v>13051</v>
      </c>
      <c r="AW1286" t="s">
        <v>3046</v>
      </c>
    </row>
    <row r="1287" spans="1:50">
      <c r="A1287" s="1" t="s">
        <v>144</v>
      </c>
      <c r="B1287" t="s">
        <v>164</v>
      </c>
      <c r="C1287" t="s">
        <v>4497</v>
      </c>
      <c r="D1287" t="s">
        <v>218</v>
      </c>
      <c r="E1287" t="s">
        <v>359</v>
      </c>
      <c r="F1287" t="s">
        <v>6786</v>
      </c>
      <c r="G1287" t="s">
        <v>8498</v>
      </c>
      <c r="H1287" t="s">
        <v>9941</v>
      </c>
      <c r="I1287" t="s">
        <v>1503</v>
      </c>
      <c r="J1287" t="s">
        <v>1641</v>
      </c>
      <c r="K1287">
        <v>10457</v>
      </c>
      <c r="L1287" t="s">
        <v>1670</v>
      </c>
      <c r="M1287" t="s">
        <v>1670</v>
      </c>
      <c r="O1287" t="s">
        <v>1942</v>
      </c>
      <c r="P1287" t="s">
        <v>1962</v>
      </c>
      <c r="Q1287" t="s">
        <v>1965</v>
      </c>
      <c r="R1287" t="s">
        <v>50</v>
      </c>
      <c r="S1287" t="s">
        <v>1671</v>
      </c>
      <c r="U1287" t="s">
        <v>1973</v>
      </c>
      <c r="W1287" t="s">
        <v>178</v>
      </c>
      <c r="X1287">
        <v>1100</v>
      </c>
      <c r="Y1287" t="s">
        <v>2006</v>
      </c>
      <c r="Z1287" t="s">
        <v>2025</v>
      </c>
      <c r="AA1287" t="s">
        <v>2029</v>
      </c>
      <c r="AB1287" t="s">
        <v>13959</v>
      </c>
      <c r="AD1287" t="s">
        <v>16396</v>
      </c>
      <c r="AE1287">
        <v>45</v>
      </c>
      <c r="AF1287" t="s">
        <v>2907</v>
      </c>
      <c r="AG1287" t="s">
        <v>2915</v>
      </c>
      <c r="AH1287">
        <v>3</v>
      </c>
      <c r="AI1287">
        <v>1</v>
      </c>
      <c r="AJ1287">
        <v>0</v>
      </c>
      <c r="AK1287">
        <v>40.72</v>
      </c>
      <c r="AN1287" t="s">
        <v>2926</v>
      </c>
      <c r="AO1287">
        <v>4944</v>
      </c>
      <c r="AP1287" t="s">
        <v>18267</v>
      </c>
      <c r="AU1287">
        <v>8.9</v>
      </c>
      <c r="AV1287" t="s">
        <v>319</v>
      </c>
      <c r="AW1287" t="s">
        <v>3066</v>
      </c>
    </row>
    <row r="1288" spans="1:50">
      <c r="A1288" s="1" t="s">
        <v>69</v>
      </c>
      <c r="B1288" t="s">
        <v>164</v>
      </c>
      <c r="C1288" t="s">
        <v>4498</v>
      </c>
      <c r="D1288" t="s">
        <v>356</v>
      </c>
      <c r="E1288" t="s">
        <v>165</v>
      </c>
      <c r="F1288" t="s">
        <v>6827</v>
      </c>
      <c r="G1288" t="s">
        <v>956</v>
      </c>
      <c r="H1288" t="s">
        <v>9942</v>
      </c>
      <c r="I1288" t="s">
        <v>1488</v>
      </c>
      <c r="J1288" t="s">
        <v>1644</v>
      </c>
      <c r="K1288">
        <v>11226</v>
      </c>
      <c r="L1288" t="s">
        <v>1671</v>
      </c>
      <c r="M1288" t="s">
        <v>1672</v>
      </c>
      <c r="P1288" t="s">
        <v>1958</v>
      </c>
      <c r="Q1288" t="s">
        <v>1965</v>
      </c>
      <c r="R1288" t="s">
        <v>50</v>
      </c>
      <c r="U1288" t="s">
        <v>1972</v>
      </c>
      <c r="W1288" t="s">
        <v>356</v>
      </c>
      <c r="X1288" t="s">
        <v>13051</v>
      </c>
      <c r="Y1288" t="s">
        <v>2009</v>
      </c>
      <c r="Z1288" t="s">
        <v>2012</v>
      </c>
      <c r="AA1288" t="s">
        <v>2029</v>
      </c>
      <c r="AB1288" t="s">
        <v>13960</v>
      </c>
      <c r="AD1288" t="s">
        <v>16397</v>
      </c>
      <c r="AE1288" t="s">
        <v>13051</v>
      </c>
      <c r="AH1288" t="s">
        <v>13051</v>
      </c>
      <c r="AI1288">
        <v>2</v>
      </c>
      <c r="AJ1288">
        <v>0</v>
      </c>
      <c r="AK1288">
        <v>40.83</v>
      </c>
      <c r="AL1288" t="s">
        <v>2923</v>
      </c>
      <c r="AM1288" t="s">
        <v>2924</v>
      </c>
      <c r="AN1288" t="s">
        <v>2926</v>
      </c>
      <c r="AO1288">
        <v>6720</v>
      </c>
      <c r="AP1288" t="s">
        <v>18268</v>
      </c>
      <c r="AU1288">
        <v>5.2</v>
      </c>
      <c r="AV1288" t="s">
        <v>165</v>
      </c>
      <c r="AW1288" t="s">
        <v>69</v>
      </c>
    </row>
    <row r="1289" spans="1:50">
      <c r="A1289" s="1" t="s">
        <v>135</v>
      </c>
      <c r="B1289" t="s">
        <v>163</v>
      </c>
      <c r="C1289" t="s">
        <v>4499</v>
      </c>
      <c r="D1289" t="s">
        <v>241</v>
      </c>
      <c r="F1289" t="s">
        <v>491</v>
      </c>
      <c r="G1289" t="s">
        <v>8499</v>
      </c>
      <c r="H1289" t="s">
        <v>9943</v>
      </c>
      <c r="I1289" t="s">
        <v>1508</v>
      </c>
      <c r="J1289" t="s">
        <v>1644</v>
      </c>
      <c r="K1289">
        <v>11233</v>
      </c>
      <c r="L1289" t="s">
        <v>1670</v>
      </c>
      <c r="M1289" t="s">
        <v>1670</v>
      </c>
      <c r="N1289" t="s">
        <v>12190</v>
      </c>
      <c r="O1289" t="s">
        <v>1940</v>
      </c>
      <c r="P1289" t="s">
        <v>1960</v>
      </c>
      <c r="R1289" t="s">
        <v>50</v>
      </c>
      <c r="S1289" t="s">
        <v>1671</v>
      </c>
      <c r="U1289" t="s">
        <v>1972</v>
      </c>
      <c r="V1289" t="s">
        <v>1984</v>
      </c>
      <c r="W1289" t="s">
        <v>241</v>
      </c>
      <c r="X1289">
        <v>650.39</v>
      </c>
      <c r="Y1289" t="s">
        <v>2009</v>
      </c>
      <c r="Z1289" t="s">
        <v>2020</v>
      </c>
      <c r="AB1289" t="s">
        <v>13961</v>
      </c>
      <c r="AC1289" t="s">
        <v>15147</v>
      </c>
      <c r="AD1289" t="s">
        <v>16398</v>
      </c>
      <c r="AE1289">
        <v>23</v>
      </c>
      <c r="AF1289" t="s">
        <v>2902</v>
      </c>
      <c r="AG1289" t="s">
        <v>2920</v>
      </c>
      <c r="AH1289">
        <v>4</v>
      </c>
      <c r="AI1289">
        <v>1</v>
      </c>
      <c r="AJ1289">
        <v>0</v>
      </c>
      <c r="AK1289">
        <v>41.19</v>
      </c>
      <c r="AN1289" t="s">
        <v>2926</v>
      </c>
      <c r="AO1289">
        <v>5000</v>
      </c>
      <c r="AU1289">
        <v>62.3</v>
      </c>
      <c r="AV1289" t="s">
        <v>401</v>
      </c>
      <c r="AW1289" t="s">
        <v>135</v>
      </c>
    </row>
    <row r="1290" spans="1:50">
      <c r="A1290" s="1" t="s">
        <v>74</v>
      </c>
      <c r="B1290" t="s">
        <v>163</v>
      </c>
      <c r="C1290" t="s">
        <v>4500</v>
      </c>
      <c r="D1290" t="s">
        <v>375</v>
      </c>
      <c r="F1290" t="s">
        <v>6827</v>
      </c>
      <c r="G1290" t="s">
        <v>8496</v>
      </c>
      <c r="H1290" t="s">
        <v>1131</v>
      </c>
      <c r="I1290" t="s">
        <v>11200</v>
      </c>
      <c r="J1290" t="s">
        <v>1641</v>
      </c>
      <c r="K1290">
        <v>10460</v>
      </c>
      <c r="L1290" t="s">
        <v>1670</v>
      </c>
      <c r="M1290" t="s">
        <v>1670</v>
      </c>
      <c r="N1290" t="s">
        <v>1692</v>
      </c>
      <c r="O1290" t="s">
        <v>1939</v>
      </c>
      <c r="P1290" t="s">
        <v>1960</v>
      </c>
      <c r="R1290" t="s">
        <v>50</v>
      </c>
      <c r="S1290" t="s">
        <v>1670</v>
      </c>
      <c r="U1290" t="s">
        <v>1972</v>
      </c>
      <c r="W1290" t="s">
        <v>375</v>
      </c>
      <c r="X1290">
        <v>1300</v>
      </c>
      <c r="Y1290" t="s">
        <v>2006</v>
      </c>
      <c r="Z1290" t="s">
        <v>2015</v>
      </c>
      <c r="AB1290" t="s">
        <v>13955</v>
      </c>
      <c r="AD1290" t="s">
        <v>16394</v>
      </c>
      <c r="AE1290">
        <v>168</v>
      </c>
      <c r="AF1290" t="s">
        <v>2903</v>
      </c>
      <c r="AG1290" t="s">
        <v>2915</v>
      </c>
      <c r="AH1290">
        <v>19</v>
      </c>
      <c r="AI1290">
        <v>1</v>
      </c>
      <c r="AJ1290">
        <v>0</v>
      </c>
      <c r="AK1290">
        <v>41.19</v>
      </c>
      <c r="AN1290" t="s">
        <v>2926</v>
      </c>
      <c r="AO1290">
        <v>5000</v>
      </c>
      <c r="AU1290" t="s">
        <v>13051</v>
      </c>
      <c r="AW1290" t="s">
        <v>76</v>
      </c>
    </row>
    <row r="1291" spans="1:50">
      <c r="A1291" s="1" t="s">
        <v>90</v>
      </c>
      <c r="B1291" t="s">
        <v>164</v>
      </c>
      <c r="C1291" t="s">
        <v>4501</v>
      </c>
      <c r="D1291" t="s">
        <v>215</v>
      </c>
      <c r="E1291" t="s">
        <v>269</v>
      </c>
      <c r="F1291" t="s">
        <v>662</v>
      </c>
      <c r="G1291" t="s">
        <v>780</v>
      </c>
      <c r="H1291" t="s">
        <v>9944</v>
      </c>
      <c r="I1291" t="s">
        <v>11202</v>
      </c>
      <c r="J1291" t="s">
        <v>1646</v>
      </c>
      <c r="K1291">
        <v>10310</v>
      </c>
      <c r="L1291" t="s">
        <v>1670</v>
      </c>
      <c r="M1291" t="s">
        <v>1670</v>
      </c>
      <c r="N1291" t="s">
        <v>12191</v>
      </c>
      <c r="O1291" t="s">
        <v>1940</v>
      </c>
      <c r="P1291" t="s">
        <v>1960</v>
      </c>
      <c r="Q1291" t="s">
        <v>1969</v>
      </c>
      <c r="R1291" t="s">
        <v>50</v>
      </c>
      <c r="S1291" t="s">
        <v>1671</v>
      </c>
      <c r="U1291" t="s">
        <v>1972</v>
      </c>
      <c r="V1291" t="s">
        <v>1984</v>
      </c>
      <c r="W1291" t="s">
        <v>216</v>
      </c>
      <c r="X1291">
        <v>2168</v>
      </c>
      <c r="Y1291" t="s">
        <v>2010</v>
      </c>
      <c r="Z1291" t="s">
        <v>2015</v>
      </c>
      <c r="AA1291" t="s">
        <v>2033</v>
      </c>
      <c r="AB1291" t="s">
        <v>13962</v>
      </c>
      <c r="AD1291" t="s">
        <v>16399</v>
      </c>
      <c r="AE1291">
        <v>2</v>
      </c>
      <c r="AF1291" t="s">
        <v>2903</v>
      </c>
      <c r="AG1291" t="s">
        <v>2915</v>
      </c>
      <c r="AH1291">
        <v>10</v>
      </c>
      <c r="AI1291">
        <v>3</v>
      </c>
      <c r="AJ1291">
        <v>0</v>
      </c>
      <c r="AK1291">
        <v>41.29</v>
      </c>
      <c r="AN1291" t="s">
        <v>2927</v>
      </c>
      <c r="AO1291">
        <v>8580</v>
      </c>
      <c r="AU1291">
        <v>5.6</v>
      </c>
      <c r="AV1291" t="s">
        <v>294</v>
      </c>
      <c r="AW1291" t="s">
        <v>3062</v>
      </c>
    </row>
    <row r="1292" spans="1:50">
      <c r="A1292" s="1" t="s">
        <v>54</v>
      </c>
      <c r="B1292" t="s">
        <v>164</v>
      </c>
      <c r="C1292" t="s">
        <v>4502</v>
      </c>
      <c r="D1292" t="s">
        <v>180</v>
      </c>
      <c r="E1292" t="s">
        <v>349</v>
      </c>
      <c r="F1292" t="s">
        <v>438</v>
      </c>
      <c r="G1292" t="s">
        <v>870</v>
      </c>
      <c r="H1292" t="s">
        <v>9945</v>
      </c>
      <c r="I1292" t="s">
        <v>1520</v>
      </c>
      <c r="J1292" t="s">
        <v>1643</v>
      </c>
      <c r="K1292">
        <v>10033</v>
      </c>
      <c r="L1292" t="s">
        <v>1670</v>
      </c>
      <c r="M1292" t="s">
        <v>1670</v>
      </c>
      <c r="O1292" t="s">
        <v>1675</v>
      </c>
      <c r="P1292" t="s">
        <v>1958</v>
      </c>
      <c r="Q1292" t="s">
        <v>1965</v>
      </c>
      <c r="R1292" t="s">
        <v>50</v>
      </c>
      <c r="S1292" t="s">
        <v>1671</v>
      </c>
      <c r="U1292" t="s">
        <v>1972</v>
      </c>
      <c r="W1292" t="s">
        <v>180</v>
      </c>
      <c r="X1292">
        <v>841.77</v>
      </c>
      <c r="Y1292" t="s">
        <v>2008</v>
      </c>
      <c r="Z1292" t="s">
        <v>2013</v>
      </c>
      <c r="AA1292" t="s">
        <v>2029</v>
      </c>
      <c r="AB1292" t="s">
        <v>13963</v>
      </c>
      <c r="AE1292">
        <v>39</v>
      </c>
      <c r="AF1292" t="s">
        <v>2902</v>
      </c>
      <c r="AG1292" t="s">
        <v>2915</v>
      </c>
      <c r="AH1292">
        <v>25</v>
      </c>
      <c r="AI1292">
        <v>4</v>
      </c>
      <c r="AJ1292">
        <v>0</v>
      </c>
      <c r="AK1292">
        <v>41.59</v>
      </c>
      <c r="AN1292" t="s">
        <v>2927</v>
      </c>
      <c r="AO1292">
        <v>10440</v>
      </c>
      <c r="AU1292">
        <v>1</v>
      </c>
      <c r="AV1292" t="s">
        <v>349</v>
      </c>
      <c r="AW1292" t="s">
        <v>3042</v>
      </c>
    </row>
    <row r="1293" spans="1:50">
      <c r="A1293" s="1" t="s">
        <v>3155</v>
      </c>
      <c r="B1293" t="s">
        <v>163</v>
      </c>
      <c r="C1293" t="s">
        <v>4503</v>
      </c>
      <c r="D1293" t="s">
        <v>287</v>
      </c>
      <c r="F1293" t="s">
        <v>7374</v>
      </c>
      <c r="G1293" t="s">
        <v>8500</v>
      </c>
      <c r="H1293" t="s">
        <v>9946</v>
      </c>
      <c r="I1293">
        <v>5</v>
      </c>
      <c r="J1293" t="s">
        <v>1644</v>
      </c>
      <c r="K1293">
        <v>11233</v>
      </c>
      <c r="L1293" t="s">
        <v>1670</v>
      </c>
      <c r="M1293" t="s">
        <v>1670</v>
      </c>
      <c r="N1293" t="s">
        <v>12192</v>
      </c>
      <c r="O1293" t="s">
        <v>1936</v>
      </c>
      <c r="P1293" t="s">
        <v>1960</v>
      </c>
      <c r="R1293" t="s">
        <v>50</v>
      </c>
      <c r="S1293" t="s">
        <v>1671</v>
      </c>
      <c r="U1293" t="s">
        <v>1972</v>
      </c>
      <c r="W1293" t="s">
        <v>184</v>
      </c>
      <c r="X1293">
        <v>1350</v>
      </c>
      <c r="Y1293" t="s">
        <v>2009</v>
      </c>
      <c r="Z1293" t="s">
        <v>2023</v>
      </c>
      <c r="AB1293" t="s">
        <v>13662</v>
      </c>
      <c r="AC1293" t="s">
        <v>2904</v>
      </c>
      <c r="AD1293" t="s">
        <v>16400</v>
      </c>
      <c r="AE1293">
        <v>7</v>
      </c>
      <c r="AF1293" t="s">
        <v>2902</v>
      </c>
      <c r="AG1293" t="s">
        <v>1754</v>
      </c>
      <c r="AH1293">
        <v>5</v>
      </c>
      <c r="AI1293">
        <v>2</v>
      </c>
      <c r="AJ1293">
        <v>0</v>
      </c>
      <c r="AK1293">
        <v>41.92</v>
      </c>
      <c r="AN1293" t="s">
        <v>2926</v>
      </c>
      <c r="AO1293">
        <v>6900</v>
      </c>
      <c r="AP1293" t="s">
        <v>18269</v>
      </c>
      <c r="AU1293">
        <v>23.1</v>
      </c>
      <c r="AV1293" t="s">
        <v>237</v>
      </c>
      <c r="AW1293" t="s">
        <v>3084</v>
      </c>
    </row>
    <row r="1294" spans="1:50">
      <c r="A1294" s="1" t="s">
        <v>101</v>
      </c>
      <c r="B1294" t="s">
        <v>163</v>
      </c>
      <c r="C1294" t="s">
        <v>4504</v>
      </c>
      <c r="D1294" t="s">
        <v>376</v>
      </c>
      <c r="F1294" t="s">
        <v>7375</v>
      </c>
      <c r="G1294" t="s">
        <v>8501</v>
      </c>
      <c r="H1294" t="s">
        <v>9947</v>
      </c>
      <c r="I1294" t="s">
        <v>1525</v>
      </c>
      <c r="J1294" t="s">
        <v>1643</v>
      </c>
      <c r="K1294">
        <v>10029</v>
      </c>
      <c r="L1294" t="s">
        <v>1670</v>
      </c>
      <c r="M1294" t="s">
        <v>1670</v>
      </c>
      <c r="N1294" t="s">
        <v>12193</v>
      </c>
      <c r="O1294" t="s">
        <v>1940</v>
      </c>
      <c r="P1294" t="s">
        <v>1960</v>
      </c>
      <c r="R1294" t="s">
        <v>50</v>
      </c>
      <c r="S1294" t="s">
        <v>1671</v>
      </c>
      <c r="U1294" t="s">
        <v>1972</v>
      </c>
      <c r="V1294" t="s">
        <v>1984</v>
      </c>
      <c r="W1294" t="s">
        <v>376</v>
      </c>
      <c r="X1294">
        <v>250</v>
      </c>
      <c r="Y1294" t="s">
        <v>2008</v>
      </c>
      <c r="Z1294" t="s">
        <v>2020</v>
      </c>
      <c r="AB1294" t="s">
        <v>13964</v>
      </c>
      <c r="AD1294" t="s">
        <v>16401</v>
      </c>
      <c r="AE1294">
        <v>10</v>
      </c>
      <c r="AF1294" t="s">
        <v>2902</v>
      </c>
      <c r="AG1294" t="s">
        <v>1754</v>
      </c>
      <c r="AH1294">
        <v>45</v>
      </c>
      <c r="AI1294">
        <v>2</v>
      </c>
      <c r="AJ1294">
        <v>0</v>
      </c>
      <c r="AK1294">
        <v>42.07</v>
      </c>
      <c r="AN1294" t="s">
        <v>2926</v>
      </c>
      <c r="AO1294">
        <v>6924</v>
      </c>
      <c r="AU1294">
        <v>23.2</v>
      </c>
      <c r="AV1294" t="s">
        <v>397</v>
      </c>
      <c r="AW1294" t="s">
        <v>3051</v>
      </c>
      <c r="AX1294" t="s">
        <v>18685</v>
      </c>
    </row>
    <row r="1295" spans="1:50">
      <c r="A1295" s="1" t="s">
        <v>52</v>
      </c>
      <c r="B1295" t="s">
        <v>164</v>
      </c>
      <c r="C1295" t="s">
        <v>4505</v>
      </c>
      <c r="D1295" t="s">
        <v>176</v>
      </c>
      <c r="E1295" t="s">
        <v>326</v>
      </c>
      <c r="F1295" t="s">
        <v>544</v>
      </c>
      <c r="G1295" t="s">
        <v>780</v>
      </c>
      <c r="H1295" t="s">
        <v>9948</v>
      </c>
      <c r="I1295" t="s">
        <v>1487</v>
      </c>
      <c r="J1295" t="s">
        <v>1641</v>
      </c>
      <c r="K1295">
        <v>10453</v>
      </c>
      <c r="L1295" t="s">
        <v>1670</v>
      </c>
      <c r="M1295" t="s">
        <v>1670</v>
      </c>
      <c r="O1295" t="s">
        <v>1943</v>
      </c>
      <c r="P1295" t="s">
        <v>1959</v>
      </c>
      <c r="Q1295" t="s">
        <v>1968</v>
      </c>
      <c r="R1295" t="s">
        <v>50</v>
      </c>
      <c r="S1295" t="s">
        <v>1671</v>
      </c>
      <c r="U1295" t="s">
        <v>1973</v>
      </c>
      <c r="W1295" t="s">
        <v>176</v>
      </c>
      <c r="X1295">
        <v>227</v>
      </c>
      <c r="Y1295" t="s">
        <v>2006</v>
      </c>
      <c r="Z1295" t="s">
        <v>2020</v>
      </c>
      <c r="AA1295" t="s">
        <v>2030</v>
      </c>
      <c r="AB1295" t="s">
        <v>13965</v>
      </c>
      <c r="AC1295" t="s">
        <v>15148</v>
      </c>
      <c r="AD1295" t="s">
        <v>16402</v>
      </c>
      <c r="AE1295">
        <v>27</v>
      </c>
      <c r="AF1295" t="s">
        <v>2902</v>
      </c>
      <c r="AG1295" t="s">
        <v>2915</v>
      </c>
      <c r="AH1295">
        <v>26</v>
      </c>
      <c r="AI1295">
        <v>3</v>
      </c>
      <c r="AJ1295">
        <v>0</v>
      </c>
      <c r="AK1295">
        <v>42.33</v>
      </c>
      <c r="AN1295" t="s">
        <v>2926</v>
      </c>
      <c r="AO1295">
        <v>8796</v>
      </c>
      <c r="AU1295">
        <v>0.5</v>
      </c>
      <c r="AV1295" t="s">
        <v>304</v>
      </c>
      <c r="AW1295" t="s">
        <v>3046</v>
      </c>
    </row>
    <row r="1296" spans="1:50">
      <c r="A1296" s="1" t="s">
        <v>91</v>
      </c>
      <c r="B1296" t="s">
        <v>163</v>
      </c>
      <c r="C1296" t="s">
        <v>4506</v>
      </c>
      <c r="D1296" t="s">
        <v>226</v>
      </c>
      <c r="F1296" t="s">
        <v>685</v>
      </c>
      <c r="G1296" t="s">
        <v>8502</v>
      </c>
      <c r="H1296" t="s">
        <v>9949</v>
      </c>
      <c r="I1296" t="s">
        <v>1507</v>
      </c>
      <c r="J1296" t="s">
        <v>1643</v>
      </c>
      <c r="K1296">
        <v>10033</v>
      </c>
      <c r="L1296" t="s">
        <v>1670</v>
      </c>
      <c r="M1296" t="s">
        <v>1670</v>
      </c>
      <c r="O1296" t="s">
        <v>1941</v>
      </c>
      <c r="P1296" t="s">
        <v>1960</v>
      </c>
      <c r="R1296" t="s">
        <v>50</v>
      </c>
      <c r="S1296" t="s">
        <v>1671</v>
      </c>
      <c r="U1296" t="s">
        <v>1972</v>
      </c>
      <c r="W1296" t="s">
        <v>226</v>
      </c>
      <c r="X1296">
        <v>740</v>
      </c>
      <c r="Y1296" t="s">
        <v>2008</v>
      </c>
      <c r="Z1296" t="s">
        <v>2013</v>
      </c>
      <c r="AB1296" t="s">
        <v>13966</v>
      </c>
      <c r="AD1296" t="s">
        <v>16403</v>
      </c>
      <c r="AE1296">
        <v>29</v>
      </c>
      <c r="AF1296" t="s">
        <v>2902</v>
      </c>
      <c r="AG1296" t="s">
        <v>1754</v>
      </c>
      <c r="AH1296">
        <v>24</v>
      </c>
      <c r="AI1296">
        <v>3</v>
      </c>
      <c r="AJ1296">
        <v>0</v>
      </c>
      <c r="AK1296">
        <v>42.42</v>
      </c>
      <c r="AN1296" t="s">
        <v>2927</v>
      </c>
      <c r="AO1296">
        <v>9048</v>
      </c>
      <c r="AU1296">
        <v>3.1</v>
      </c>
      <c r="AV1296" t="s">
        <v>396</v>
      </c>
      <c r="AW1296" t="s">
        <v>3042</v>
      </c>
    </row>
    <row r="1297" spans="1:50">
      <c r="A1297" s="1" t="s">
        <v>82</v>
      </c>
      <c r="B1297" t="s">
        <v>163</v>
      </c>
      <c r="C1297" t="s">
        <v>4507</v>
      </c>
      <c r="D1297" t="s">
        <v>220</v>
      </c>
      <c r="F1297" t="s">
        <v>677</v>
      </c>
      <c r="G1297" t="s">
        <v>877</v>
      </c>
      <c r="H1297" t="s">
        <v>9482</v>
      </c>
      <c r="I1297" t="s">
        <v>11203</v>
      </c>
      <c r="J1297" t="s">
        <v>1644</v>
      </c>
      <c r="K1297">
        <v>11233</v>
      </c>
      <c r="L1297" t="s">
        <v>1670</v>
      </c>
      <c r="M1297" t="s">
        <v>1671</v>
      </c>
      <c r="O1297" t="s">
        <v>1937</v>
      </c>
      <c r="P1297" t="s">
        <v>1962</v>
      </c>
      <c r="R1297" t="s">
        <v>50</v>
      </c>
      <c r="S1297" t="s">
        <v>1670</v>
      </c>
      <c r="U1297" t="s">
        <v>1972</v>
      </c>
      <c r="V1297" t="s">
        <v>1984</v>
      </c>
      <c r="W1297" t="s">
        <v>221</v>
      </c>
      <c r="X1297">
        <v>1000</v>
      </c>
      <c r="Y1297" t="s">
        <v>2009</v>
      </c>
      <c r="Z1297" t="s">
        <v>2017</v>
      </c>
      <c r="AB1297" t="s">
        <v>13967</v>
      </c>
      <c r="AE1297">
        <v>359</v>
      </c>
      <c r="AF1297" t="s">
        <v>2902</v>
      </c>
      <c r="AH1297">
        <v>25</v>
      </c>
      <c r="AI1297">
        <v>2</v>
      </c>
      <c r="AJ1297">
        <v>0</v>
      </c>
      <c r="AK1297">
        <v>42.58</v>
      </c>
      <c r="AN1297" t="s">
        <v>2926</v>
      </c>
      <c r="AO1297">
        <v>7200</v>
      </c>
      <c r="AP1297" t="s">
        <v>18270</v>
      </c>
      <c r="AU1297" t="s">
        <v>13051</v>
      </c>
      <c r="AW1297" t="s">
        <v>3059</v>
      </c>
    </row>
    <row r="1298" spans="1:50">
      <c r="A1298" s="1" t="s">
        <v>131</v>
      </c>
      <c r="B1298" t="s">
        <v>164</v>
      </c>
      <c r="C1298" t="s">
        <v>4508</v>
      </c>
      <c r="D1298" t="s">
        <v>393</v>
      </c>
      <c r="E1298" t="s">
        <v>3030</v>
      </c>
      <c r="F1298" t="s">
        <v>7376</v>
      </c>
      <c r="G1298" t="s">
        <v>784</v>
      </c>
      <c r="H1298" t="s">
        <v>9950</v>
      </c>
      <c r="I1298" t="s">
        <v>1548</v>
      </c>
      <c r="J1298" t="s">
        <v>1643</v>
      </c>
      <c r="K1298">
        <v>10035</v>
      </c>
      <c r="L1298" t="s">
        <v>1670</v>
      </c>
      <c r="M1298" t="s">
        <v>1672</v>
      </c>
      <c r="O1298" t="s">
        <v>1944</v>
      </c>
      <c r="P1298" t="s">
        <v>1959</v>
      </c>
      <c r="Q1298" t="s">
        <v>1966</v>
      </c>
      <c r="R1298" t="s">
        <v>50</v>
      </c>
      <c r="S1298" t="s">
        <v>1671</v>
      </c>
      <c r="U1298" t="s">
        <v>1976</v>
      </c>
      <c r="V1298" t="s">
        <v>1984</v>
      </c>
      <c r="W1298" t="s">
        <v>354</v>
      </c>
      <c r="X1298">
        <v>115.2</v>
      </c>
      <c r="Y1298" t="s">
        <v>2008</v>
      </c>
      <c r="Z1298" t="s">
        <v>2021</v>
      </c>
      <c r="AA1298" t="s">
        <v>2039</v>
      </c>
      <c r="AB1298" t="s">
        <v>13968</v>
      </c>
      <c r="AD1298" t="s">
        <v>16404</v>
      </c>
      <c r="AE1298">
        <v>72</v>
      </c>
      <c r="AF1298" t="s">
        <v>2909</v>
      </c>
      <c r="AG1298" t="s">
        <v>2915</v>
      </c>
      <c r="AH1298">
        <v>22</v>
      </c>
      <c r="AI1298">
        <v>2</v>
      </c>
      <c r="AJ1298">
        <v>0</v>
      </c>
      <c r="AK1298">
        <v>42.58</v>
      </c>
      <c r="AN1298" t="s">
        <v>2927</v>
      </c>
      <c r="AO1298">
        <v>7200</v>
      </c>
      <c r="AU1298">
        <v>10.75</v>
      </c>
      <c r="AV1298" t="s">
        <v>346</v>
      </c>
      <c r="AW1298" t="s">
        <v>3051</v>
      </c>
      <c r="AX1298" t="s">
        <v>18685</v>
      </c>
    </row>
    <row r="1299" spans="1:50">
      <c r="A1299" s="1" t="s">
        <v>82</v>
      </c>
      <c r="B1299" t="s">
        <v>163</v>
      </c>
      <c r="C1299" t="s">
        <v>4509</v>
      </c>
      <c r="D1299" t="s">
        <v>220</v>
      </c>
      <c r="F1299" t="s">
        <v>677</v>
      </c>
      <c r="G1299" t="s">
        <v>877</v>
      </c>
      <c r="H1299" t="s">
        <v>9482</v>
      </c>
      <c r="I1299" t="s">
        <v>11203</v>
      </c>
      <c r="J1299" t="s">
        <v>1644</v>
      </c>
      <c r="K1299">
        <v>11233</v>
      </c>
      <c r="L1299" t="s">
        <v>1670</v>
      </c>
      <c r="M1299" t="s">
        <v>1671</v>
      </c>
      <c r="O1299" t="s">
        <v>1938</v>
      </c>
      <c r="P1299" t="s">
        <v>1961</v>
      </c>
      <c r="R1299" t="s">
        <v>50</v>
      </c>
      <c r="S1299" t="s">
        <v>1670</v>
      </c>
      <c r="U1299" t="s">
        <v>1972</v>
      </c>
      <c r="V1299" t="s">
        <v>1984</v>
      </c>
      <c r="W1299" t="s">
        <v>248</v>
      </c>
      <c r="X1299">
        <v>1000</v>
      </c>
      <c r="Y1299" t="s">
        <v>2009</v>
      </c>
      <c r="Z1299" t="s">
        <v>2017</v>
      </c>
      <c r="AB1299" t="s">
        <v>13967</v>
      </c>
      <c r="AE1299">
        <v>359</v>
      </c>
      <c r="AF1299" t="s">
        <v>2902</v>
      </c>
      <c r="AH1299">
        <v>25</v>
      </c>
      <c r="AI1299">
        <v>2</v>
      </c>
      <c r="AJ1299">
        <v>0</v>
      </c>
      <c r="AK1299">
        <v>42.58</v>
      </c>
      <c r="AN1299" t="s">
        <v>2926</v>
      </c>
      <c r="AO1299">
        <v>7200</v>
      </c>
      <c r="AP1299" t="s">
        <v>18071</v>
      </c>
      <c r="AU1299" t="s">
        <v>13051</v>
      </c>
      <c r="AW1299" t="s">
        <v>3059</v>
      </c>
    </row>
    <row r="1300" spans="1:50">
      <c r="A1300" s="1" t="s">
        <v>54</v>
      </c>
      <c r="B1300" t="s">
        <v>164</v>
      </c>
      <c r="C1300" t="s">
        <v>4510</v>
      </c>
      <c r="D1300" t="s">
        <v>175</v>
      </c>
      <c r="E1300" t="s">
        <v>225</v>
      </c>
      <c r="F1300" t="s">
        <v>7377</v>
      </c>
      <c r="G1300" t="s">
        <v>981</v>
      </c>
      <c r="H1300" t="s">
        <v>9951</v>
      </c>
      <c r="I1300" t="s">
        <v>11204</v>
      </c>
      <c r="J1300" t="s">
        <v>1643</v>
      </c>
      <c r="K1300">
        <v>10034</v>
      </c>
      <c r="L1300" t="s">
        <v>1670</v>
      </c>
      <c r="M1300" t="s">
        <v>1670</v>
      </c>
      <c r="O1300" t="s">
        <v>1936</v>
      </c>
      <c r="P1300" t="s">
        <v>1958</v>
      </c>
      <c r="Q1300" t="s">
        <v>1965</v>
      </c>
      <c r="R1300" t="s">
        <v>50</v>
      </c>
      <c r="S1300" t="s">
        <v>1671</v>
      </c>
      <c r="U1300" t="s">
        <v>1972</v>
      </c>
      <c r="W1300" t="s">
        <v>175</v>
      </c>
      <c r="X1300">
        <v>882.02</v>
      </c>
      <c r="Y1300" t="s">
        <v>2008</v>
      </c>
      <c r="Z1300" t="s">
        <v>2013</v>
      </c>
      <c r="AA1300" t="s">
        <v>2029</v>
      </c>
      <c r="AB1300" t="s">
        <v>13969</v>
      </c>
      <c r="AD1300" t="s">
        <v>16405</v>
      </c>
      <c r="AE1300">
        <v>31</v>
      </c>
      <c r="AF1300" t="s">
        <v>2902</v>
      </c>
      <c r="AG1300" t="s">
        <v>2919</v>
      </c>
      <c r="AH1300">
        <v>32</v>
      </c>
      <c r="AI1300">
        <v>1</v>
      </c>
      <c r="AJ1300">
        <v>0</v>
      </c>
      <c r="AK1300">
        <v>42.7</v>
      </c>
      <c r="AN1300" t="s">
        <v>2927</v>
      </c>
      <c r="AO1300">
        <v>5184</v>
      </c>
      <c r="AU1300">
        <v>2.98</v>
      </c>
      <c r="AV1300" t="s">
        <v>321</v>
      </c>
      <c r="AW1300" t="s">
        <v>3042</v>
      </c>
    </row>
    <row r="1301" spans="1:50">
      <c r="A1301" s="1" t="s">
        <v>62</v>
      </c>
      <c r="B1301" t="s">
        <v>163</v>
      </c>
      <c r="C1301" t="s">
        <v>4511</v>
      </c>
      <c r="D1301" t="s">
        <v>6175</v>
      </c>
      <c r="F1301" t="s">
        <v>6796</v>
      </c>
      <c r="G1301" t="s">
        <v>8503</v>
      </c>
      <c r="H1301" t="s">
        <v>9952</v>
      </c>
      <c r="I1301" t="s">
        <v>1543</v>
      </c>
      <c r="J1301" t="s">
        <v>1644</v>
      </c>
      <c r="K1301">
        <v>11209</v>
      </c>
      <c r="L1301" t="s">
        <v>1670</v>
      </c>
      <c r="M1301" t="s">
        <v>1672</v>
      </c>
      <c r="N1301" t="s">
        <v>12194</v>
      </c>
      <c r="O1301" t="s">
        <v>1939</v>
      </c>
      <c r="P1301" t="s">
        <v>1960</v>
      </c>
      <c r="R1301" t="s">
        <v>50</v>
      </c>
      <c r="U1301" t="s">
        <v>1972</v>
      </c>
      <c r="W1301" t="s">
        <v>13036</v>
      </c>
      <c r="X1301" t="s">
        <v>13051</v>
      </c>
      <c r="Y1301" t="s">
        <v>2009</v>
      </c>
      <c r="AB1301" t="s">
        <v>13970</v>
      </c>
      <c r="AD1301" t="s">
        <v>16406</v>
      </c>
      <c r="AE1301" t="s">
        <v>13051</v>
      </c>
      <c r="AH1301" t="s">
        <v>13051</v>
      </c>
      <c r="AI1301">
        <v>1</v>
      </c>
      <c r="AJ1301">
        <v>0</v>
      </c>
      <c r="AK1301">
        <v>42.79</v>
      </c>
      <c r="AN1301" t="s">
        <v>2926</v>
      </c>
      <c r="AO1301">
        <v>5160</v>
      </c>
      <c r="AU1301">
        <v>46.9</v>
      </c>
      <c r="AV1301" t="s">
        <v>405</v>
      </c>
      <c r="AW1301" t="s">
        <v>18659</v>
      </c>
      <c r="AX1301" t="s">
        <v>18685</v>
      </c>
    </row>
    <row r="1302" spans="1:50">
      <c r="A1302" s="1" t="s">
        <v>74</v>
      </c>
      <c r="B1302" t="s">
        <v>164</v>
      </c>
      <c r="C1302" t="s">
        <v>4512</v>
      </c>
      <c r="D1302" t="s">
        <v>300</v>
      </c>
      <c r="E1302" t="s">
        <v>308</v>
      </c>
      <c r="F1302" t="s">
        <v>732</v>
      </c>
      <c r="G1302" t="s">
        <v>8504</v>
      </c>
      <c r="H1302" t="s">
        <v>9953</v>
      </c>
      <c r="I1302" t="s">
        <v>11101</v>
      </c>
      <c r="J1302" t="s">
        <v>1641</v>
      </c>
      <c r="K1302">
        <v>10451</v>
      </c>
      <c r="L1302" t="s">
        <v>1670</v>
      </c>
      <c r="M1302" t="s">
        <v>1670</v>
      </c>
      <c r="O1302" t="s">
        <v>1943</v>
      </c>
      <c r="P1302" t="s">
        <v>1959</v>
      </c>
      <c r="Q1302" t="s">
        <v>1970</v>
      </c>
      <c r="R1302" t="s">
        <v>50</v>
      </c>
      <c r="U1302" t="s">
        <v>1973</v>
      </c>
      <c r="W1302" t="s">
        <v>300</v>
      </c>
      <c r="X1302">
        <v>1644.26</v>
      </c>
      <c r="Y1302" t="s">
        <v>2006</v>
      </c>
      <c r="Z1302" t="s">
        <v>2021</v>
      </c>
      <c r="AA1302" t="s">
        <v>2036</v>
      </c>
      <c r="AB1302" t="s">
        <v>13854</v>
      </c>
      <c r="AD1302" t="s">
        <v>16407</v>
      </c>
      <c r="AE1302">
        <v>82</v>
      </c>
      <c r="AF1302" t="s">
        <v>2902</v>
      </c>
      <c r="AG1302" t="s">
        <v>2915</v>
      </c>
      <c r="AH1302">
        <v>25</v>
      </c>
      <c r="AI1302">
        <v>1</v>
      </c>
      <c r="AJ1302">
        <v>0</v>
      </c>
      <c r="AK1302">
        <v>42.9</v>
      </c>
      <c r="AN1302" t="s">
        <v>2927</v>
      </c>
      <c r="AO1302">
        <v>5208</v>
      </c>
      <c r="AP1302" t="s">
        <v>18271</v>
      </c>
      <c r="AU1302">
        <v>1.5</v>
      </c>
      <c r="AV1302" t="s">
        <v>380</v>
      </c>
      <c r="AW1302" t="s">
        <v>74</v>
      </c>
    </row>
    <row r="1303" spans="1:50">
      <c r="A1303" s="1" t="s">
        <v>58</v>
      </c>
      <c r="B1303" t="s">
        <v>164</v>
      </c>
      <c r="C1303" t="s">
        <v>4513</v>
      </c>
      <c r="D1303" t="s">
        <v>290</v>
      </c>
      <c r="E1303" t="s">
        <v>334</v>
      </c>
      <c r="F1303" t="s">
        <v>7223</v>
      </c>
      <c r="G1303" t="s">
        <v>8329</v>
      </c>
      <c r="H1303" t="s">
        <v>9737</v>
      </c>
      <c r="I1303">
        <v>29</v>
      </c>
      <c r="J1303" t="s">
        <v>1641</v>
      </c>
      <c r="K1303">
        <v>10456</v>
      </c>
      <c r="L1303" t="s">
        <v>1670</v>
      </c>
      <c r="M1303" t="s">
        <v>1672</v>
      </c>
      <c r="P1303" t="s">
        <v>1958</v>
      </c>
      <c r="Q1303" t="s">
        <v>1965</v>
      </c>
      <c r="R1303" t="s">
        <v>50</v>
      </c>
      <c r="S1303" t="s">
        <v>1671</v>
      </c>
      <c r="U1303" t="s">
        <v>1972</v>
      </c>
      <c r="W1303" t="s">
        <v>1991</v>
      </c>
      <c r="X1303">
        <v>50</v>
      </c>
      <c r="Y1303" t="s">
        <v>2006</v>
      </c>
      <c r="Z1303" t="s">
        <v>2016</v>
      </c>
      <c r="AA1303" t="s">
        <v>2029</v>
      </c>
      <c r="AB1303" t="s">
        <v>13709</v>
      </c>
      <c r="AD1303" t="s">
        <v>16180</v>
      </c>
      <c r="AE1303">
        <v>54</v>
      </c>
      <c r="AF1303" t="s">
        <v>2902</v>
      </c>
      <c r="AG1303" t="s">
        <v>1754</v>
      </c>
      <c r="AH1303">
        <v>-1</v>
      </c>
      <c r="AI1303">
        <v>2</v>
      </c>
      <c r="AJ1303">
        <v>0</v>
      </c>
      <c r="AK1303">
        <v>43.05</v>
      </c>
      <c r="AO1303">
        <v>7280</v>
      </c>
      <c r="AU1303">
        <v>1</v>
      </c>
      <c r="AV1303" t="s">
        <v>249</v>
      </c>
      <c r="AW1303" t="s">
        <v>3045</v>
      </c>
      <c r="AX1303" t="s">
        <v>18685</v>
      </c>
    </row>
    <row r="1304" spans="1:50">
      <c r="A1304" s="1" t="s">
        <v>3188</v>
      </c>
      <c r="B1304" t="s">
        <v>163</v>
      </c>
      <c r="C1304" t="s">
        <v>4514</v>
      </c>
      <c r="D1304" t="s">
        <v>2004</v>
      </c>
      <c r="F1304" t="s">
        <v>526</v>
      </c>
      <c r="G1304" t="s">
        <v>993</v>
      </c>
      <c r="H1304" t="s">
        <v>9954</v>
      </c>
      <c r="I1304" t="s">
        <v>10957</v>
      </c>
      <c r="J1304" t="s">
        <v>1644</v>
      </c>
      <c r="K1304">
        <v>11215</v>
      </c>
      <c r="L1304" t="s">
        <v>1670</v>
      </c>
      <c r="M1304" t="s">
        <v>1672</v>
      </c>
      <c r="N1304" t="s">
        <v>12195</v>
      </c>
      <c r="P1304" t="s">
        <v>1959</v>
      </c>
      <c r="R1304" t="s">
        <v>50</v>
      </c>
      <c r="U1304" t="s">
        <v>1974</v>
      </c>
      <c r="W1304" t="s">
        <v>275</v>
      </c>
      <c r="X1304">
        <v>884</v>
      </c>
      <c r="Y1304" t="s">
        <v>2009</v>
      </c>
      <c r="Z1304" t="s">
        <v>2018</v>
      </c>
      <c r="AB1304" t="s">
        <v>13971</v>
      </c>
      <c r="AD1304" t="s">
        <v>16408</v>
      </c>
      <c r="AE1304">
        <v>6</v>
      </c>
      <c r="AH1304">
        <v>37</v>
      </c>
      <c r="AI1304">
        <v>3</v>
      </c>
      <c r="AJ1304">
        <v>0</v>
      </c>
      <c r="AK1304">
        <v>43.32</v>
      </c>
      <c r="AN1304" t="s">
        <v>2926</v>
      </c>
      <c r="AO1304">
        <v>9002.4</v>
      </c>
      <c r="AU1304">
        <v>3.3</v>
      </c>
      <c r="AV1304" t="s">
        <v>277</v>
      </c>
      <c r="AW1304" t="s">
        <v>3063</v>
      </c>
      <c r="AX1304" t="s">
        <v>18685</v>
      </c>
    </row>
    <row r="1305" spans="1:50">
      <c r="A1305" s="1" t="s">
        <v>135</v>
      </c>
      <c r="B1305" t="s">
        <v>164</v>
      </c>
      <c r="C1305" t="s">
        <v>4515</v>
      </c>
      <c r="D1305" t="s">
        <v>283</v>
      </c>
      <c r="E1305" t="s">
        <v>399</v>
      </c>
      <c r="F1305" t="s">
        <v>6782</v>
      </c>
      <c r="G1305" t="s">
        <v>8493</v>
      </c>
      <c r="H1305" t="s">
        <v>9955</v>
      </c>
      <c r="I1305">
        <v>2</v>
      </c>
      <c r="J1305" t="s">
        <v>1644</v>
      </c>
      <c r="K1305">
        <v>11233</v>
      </c>
      <c r="L1305" t="s">
        <v>1670</v>
      </c>
      <c r="M1305" t="s">
        <v>1670</v>
      </c>
      <c r="N1305" t="s">
        <v>12196</v>
      </c>
      <c r="O1305" t="s">
        <v>1940</v>
      </c>
      <c r="P1305" t="s">
        <v>1962</v>
      </c>
      <c r="Q1305" t="s">
        <v>1968</v>
      </c>
      <c r="R1305" t="s">
        <v>50</v>
      </c>
      <c r="U1305" t="s">
        <v>1972</v>
      </c>
      <c r="V1305" t="s">
        <v>1984</v>
      </c>
      <c r="W1305" t="s">
        <v>239</v>
      </c>
      <c r="X1305">
        <v>530</v>
      </c>
      <c r="Y1305" t="s">
        <v>2009</v>
      </c>
      <c r="Z1305" t="s">
        <v>2026</v>
      </c>
      <c r="AA1305" t="s">
        <v>2034</v>
      </c>
      <c r="AB1305" t="s">
        <v>13972</v>
      </c>
      <c r="AD1305" t="s">
        <v>16409</v>
      </c>
      <c r="AE1305">
        <v>3</v>
      </c>
      <c r="AF1305" t="s">
        <v>2904</v>
      </c>
      <c r="AG1305" t="s">
        <v>1754</v>
      </c>
      <c r="AH1305">
        <v>16</v>
      </c>
      <c r="AI1305">
        <v>2</v>
      </c>
      <c r="AJ1305">
        <v>0</v>
      </c>
      <c r="AK1305">
        <v>43.57</v>
      </c>
      <c r="AN1305" t="s">
        <v>2926</v>
      </c>
      <c r="AO1305">
        <v>7368</v>
      </c>
      <c r="AU1305">
        <v>4.5</v>
      </c>
      <c r="AV1305" t="s">
        <v>179</v>
      </c>
      <c r="AW1305" t="s">
        <v>3083</v>
      </c>
    </row>
    <row r="1306" spans="1:50">
      <c r="A1306" s="1" t="s">
        <v>79</v>
      </c>
      <c r="B1306" t="s">
        <v>164</v>
      </c>
      <c r="C1306" t="s">
        <v>4516</v>
      </c>
      <c r="D1306" t="s">
        <v>307</v>
      </c>
      <c r="E1306" t="s">
        <v>271</v>
      </c>
      <c r="F1306" t="s">
        <v>7378</v>
      </c>
      <c r="G1306" t="s">
        <v>8505</v>
      </c>
      <c r="H1306" t="s">
        <v>9956</v>
      </c>
      <c r="I1306" t="s">
        <v>11205</v>
      </c>
      <c r="J1306" t="s">
        <v>1644</v>
      </c>
      <c r="K1306">
        <v>11213</v>
      </c>
      <c r="L1306" t="s">
        <v>1670</v>
      </c>
      <c r="M1306" t="s">
        <v>1670</v>
      </c>
      <c r="O1306" t="s">
        <v>1936</v>
      </c>
      <c r="P1306" t="s">
        <v>1962</v>
      </c>
      <c r="Q1306" t="s">
        <v>1965</v>
      </c>
      <c r="R1306" t="s">
        <v>50</v>
      </c>
      <c r="S1306" t="s">
        <v>1671</v>
      </c>
      <c r="U1306" t="s">
        <v>1972</v>
      </c>
      <c r="W1306" t="s">
        <v>243</v>
      </c>
      <c r="X1306">
        <v>1186</v>
      </c>
      <c r="Y1306" t="s">
        <v>2009</v>
      </c>
      <c r="Z1306" t="s">
        <v>2017</v>
      </c>
      <c r="AA1306" t="s">
        <v>2029</v>
      </c>
      <c r="AB1306" t="s">
        <v>13973</v>
      </c>
      <c r="AC1306" t="s">
        <v>15149</v>
      </c>
      <c r="AD1306" t="s">
        <v>16410</v>
      </c>
      <c r="AE1306">
        <v>28</v>
      </c>
      <c r="AF1306" t="s">
        <v>2902</v>
      </c>
      <c r="AG1306" t="s">
        <v>2919</v>
      </c>
      <c r="AH1306">
        <v>31</v>
      </c>
      <c r="AI1306">
        <v>2</v>
      </c>
      <c r="AJ1306">
        <v>0</v>
      </c>
      <c r="AK1306">
        <v>43.67</v>
      </c>
      <c r="AN1306" t="s">
        <v>2926</v>
      </c>
      <c r="AO1306">
        <v>7188</v>
      </c>
      <c r="AU1306">
        <v>0.2</v>
      </c>
      <c r="AV1306" t="s">
        <v>271</v>
      </c>
      <c r="AW1306" t="s">
        <v>3059</v>
      </c>
    </row>
    <row r="1307" spans="1:50">
      <c r="A1307" s="1" t="s">
        <v>126</v>
      </c>
      <c r="B1307" t="s">
        <v>163</v>
      </c>
      <c r="C1307" t="s">
        <v>4517</v>
      </c>
      <c r="D1307" t="s">
        <v>209</v>
      </c>
      <c r="F1307" t="s">
        <v>427</v>
      </c>
      <c r="G1307" t="s">
        <v>888</v>
      </c>
      <c r="H1307" t="s">
        <v>9627</v>
      </c>
      <c r="I1307" t="s">
        <v>11206</v>
      </c>
      <c r="J1307" t="s">
        <v>1641</v>
      </c>
      <c r="K1307">
        <v>10451</v>
      </c>
      <c r="L1307" t="s">
        <v>1670</v>
      </c>
      <c r="M1307" t="s">
        <v>1670</v>
      </c>
      <c r="N1307" t="s">
        <v>11981</v>
      </c>
      <c r="O1307" t="s">
        <v>1939</v>
      </c>
      <c r="P1307" t="s">
        <v>1960</v>
      </c>
      <c r="R1307" t="s">
        <v>50</v>
      </c>
      <c r="S1307" t="s">
        <v>1670</v>
      </c>
      <c r="U1307" t="s">
        <v>1972</v>
      </c>
      <c r="W1307" t="s">
        <v>359</v>
      </c>
      <c r="X1307">
        <v>1100</v>
      </c>
      <c r="Y1307" t="s">
        <v>2006</v>
      </c>
      <c r="Z1307" t="s">
        <v>2015</v>
      </c>
      <c r="AB1307" t="s">
        <v>13974</v>
      </c>
      <c r="AD1307" t="s">
        <v>16411</v>
      </c>
      <c r="AE1307">
        <v>100</v>
      </c>
      <c r="AF1307" t="s">
        <v>2908</v>
      </c>
      <c r="AG1307" t="s">
        <v>2917</v>
      </c>
      <c r="AH1307">
        <v>16</v>
      </c>
      <c r="AI1307">
        <v>2</v>
      </c>
      <c r="AJ1307">
        <v>0</v>
      </c>
      <c r="AK1307">
        <v>43.74</v>
      </c>
      <c r="AN1307" t="s">
        <v>2927</v>
      </c>
      <c r="AO1307">
        <v>7200</v>
      </c>
      <c r="AU1307" t="s">
        <v>13051</v>
      </c>
      <c r="AW1307" t="s">
        <v>3047</v>
      </c>
    </row>
    <row r="1308" spans="1:50">
      <c r="A1308" s="1" t="s">
        <v>54</v>
      </c>
      <c r="B1308" t="s">
        <v>164</v>
      </c>
      <c r="C1308" t="s">
        <v>4518</v>
      </c>
      <c r="D1308" t="s">
        <v>252</v>
      </c>
      <c r="E1308" t="s">
        <v>379</v>
      </c>
      <c r="F1308" t="s">
        <v>7379</v>
      </c>
      <c r="G1308" t="s">
        <v>8506</v>
      </c>
      <c r="H1308" t="s">
        <v>9957</v>
      </c>
      <c r="I1308" t="s">
        <v>11207</v>
      </c>
      <c r="J1308" t="s">
        <v>1643</v>
      </c>
      <c r="K1308">
        <v>10032</v>
      </c>
      <c r="L1308" t="s">
        <v>1670</v>
      </c>
      <c r="M1308" t="s">
        <v>1670</v>
      </c>
      <c r="O1308" t="s">
        <v>1675</v>
      </c>
      <c r="P1308" t="s">
        <v>1962</v>
      </c>
      <c r="Q1308" t="s">
        <v>1968</v>
      </c>
      <c r="R1308" t="s">
        <v>50</v>
      </c>
      <c r="S1308" t="s">
        <v>1671</v>
      </c>
      <c r="U1308" t="s">
        <v>1972</v>
      </c>
      <c r="W1308" t="s">
        <v>252</v>
      </c>
      <c r="X1308">
        <v>850</v>
      </c>
      <c r="Y1308" t="s">
        <v>2008</v>
      </c>
      <c r="Z1308" t="s">
        <v>2013</v>
      </c>
      <c r="AA1308" t="s">
        <v>2030</v>
      </c>
      <c r="AB1308" t="s">
        <v>13975</v>
      </c>
      <c r="AD1308" t="s">
        <v>16412</v>
      </c>
      <c r="AE1308">
        <v>68</v>
      </c>
      <c r="AF1308" t="s">
        <v>2902</v>
      </c>
      <c r="AG1308" t="s">
        <v>1754</v>
      </c>
      <c r="AH1308">
        <v>18</v>
      </c>
      <c r="AI1308">
        <v>3</v>
      </c>
      <c r="AJ1308">
        <v>0</v>
      </c>
      <c r="AK1308">
        <v>44.47</v>
      </c>
      <c r="AN1308" t="s">
        <v>2927</v>
      </c>
      <c r="AO1308">
        <v>9240</v>
      </c>
      <c r="AU1308">
        <v>0.5</v>
      </c>
      <c r="AV1308" t="s">
        <v>379</v>
      </c>
      <c r="AW1308" t="s">
        <v>3042</v>
      </c>
      <c r="AX1308" t="s">
        <v>18685</v>
      </c>
    </row>
    <row r="1309" spans="1:50">
      <c r="A1309" s="1" t="s">
        <v>127</v>
      </c>
      <c r="B1309" t="s">
        <v>164</v>
      </c>
      <c r="C1309" t="s">
        <v>4519</v>
      </c>
      <c r="D1309" t="s">
        <v>225</v>
      </c>
      <c r="E1309" t="s">
        <v>306</v>
      </c>
      <c r="F1309" t="s">
        <v>7131</v>
      </c>
      <c r="G1309" t="s">
        <v>852</v>
      </c>
      <c r="H1309" t="s">
        <v>9958</v>
      </c>
      <c r="I1309">
        <v>3</v>
      </c>
      <c r="J1309" t="s">
        <v>1644</v>
      </c>
      <c r="K1309">
        <v>11212</v>
      </c>
      <c r="L1309" t="s">
        <v>1670</v>
      </c>
      <c r="M1309" t="s">
        <v>1670</v>
      </c>
      <c r="O1309" t="s">
        <v>12743</v>
      </c>
      <c r="P1309" t="s">
        <v>1962</v>
      </c>
      <c r="Q1309" t="s">
        <v>1968</v>
      </c>
      <c r="R1309" t="s">
        <v>50</v>
      </c>
      <c r="S1309" t="s">
        <v>1671</v>
      </c>
      <c r="U1309" t="s">
        <v>1972</v>
      </c>
      <c r="V1309" t="s">
        <v>1984</v>
      </c>
      <c r="W1309" t="s">
        <v>225</v>
      </c>
      <c r="X1309">
        <v>1446.65</v>
      </c>
      <c r="Y1309" t="s">
        <v>2009</v>
      </c>
      <c r="Z1309" t="s">
        <v>2020</v>
      </c>
      <c r="AA1309" t="s">
        <v>2034</v>
      </c>
      <c r="AB1309" t="s">
        <v>13976</v>
      </c>
      <c r="AD1309" t="s">
        <v>16413</v>
      </c>
      <c r="AE1309">
        <v>16</v>
      </c>
      <c r="AF1309" t="s">
        <v>2902</v>
      </c>
      <c r="AG1309" t="s">
        <v>2915</v>
      </c>
      <c r="AH1309">
        <v>12</v>
      </c>
      <c r="AI1309">
        <v>1</v>
      </c>
      <c r="AJ1309">
        <v>0</v>
      </c>
      <c r="AK1309">
        <v>44.48</v>
      </c>
      <c r="AN1309" t="s">
        <v>2926</v>
      </c>
      <c r="AO1309">
        <v>5400</v>
      </c>
      <c r="AR1309" t="s">
        <v>2985</v>
      </c>
      <c r="AU1309">
        <v>1.4</v>
      </c>
      <c r="AV1309" t="s">
        <v>306</v>
      </c>
      <c r="AW1309" t="s">
        <v>127</v>
      </c>
    </row>
    <row r="1310" spans="1:50">
      <c r="A1310" s="1" t="s">
        <v>146</v>
      </c>
      <c r="B1310" t="s">
        <v>164</v>
      </c>
      <c r="C1310" t="s">
        <v>4520</v>
      </c>
      <c r="D1310" t="s">
        <v>2003</v>
      </c>
      <c r="E1310" t="s">
        <v>359</v>
      </c>
      <c r="F1310" t="s">
        <v>7380</v>
      </c>
      <c r="G1310" t="s">
        <v>8507</v>
      </c>
      <c r="H1310" t="s">
        <v>9959</v>
      </c>
      <c r="J1310" t="s">
        <v>1641</v>
      </c>
      <c r="K1310">
        <v>10459</v>
      </c>
      <c r="L1310" t="s">
        <v>1670</v>
      </c>
      <c r="M1310" t="s">
        <v>1670</v>
      </c>
      <c r="N1310" t="s">
        <v>12197</v>
      </c>
      <c r="O1310" t="s">
        <v>1939</v>
      </c>
      <c r="P1310" t="s">
        <v>1958</v>
      </c>
      <c r="Q1310" t="s">
        <v>1965</v>
      </c>
      <c r="R1310" t="s">
        <v>50</v>
      </c>
      <c r="S1310" t="s">
        <v>1671</v>
      </c>
      <c r="U1310" t="s">
        <v>1972</v>
      </c>
      <c r="W1310" t="s">
        <v>2003</v>
      </c>
      <c r="X1310">
        <v>1032</v>
      </c>
      <c r="Y1310" t="s">
        <v>2006</v>
      </c>
      <c r="Z1310" t="s">
        <v>2015</v>
      </c>
      <c r="AA1310" t="s">
        <v>2029</v>
      </c>
      <c r="AB1310" t="s">
        <v>13977</v>
      </c>
      <c r="AD1310" t="s">
        <v>16414</v>
      </c>
      <c r="AE1310">
        <v>11</v>
      </c>
      <c r="AF1310" t="s">
        <v>2902</v>
      </c>
      <c r="AG1310" t="s">
        <v>2919</v>
      </c>
      <c r="AH1310">
        <v>27</v>
      </c>
      <c r="AI1310">
        <v>3</v>
      </c>
      <c r="AJ1310">
        <v>0</v>
      </c>
      <c r="AK1310">
        <v>44.64</v>
      </c>
      <c r="AN1310" t="s">
        <v>2927</v>
      </c>
      <c r="AO1310">
        <v>9276</v>
      </c>
      <c r="AU1310">
        <v>1</v>
      </c>
      <c r="AV1310" t="s">
        <v>2003</v>
      </c>
      <c r="AW1310" t="s">
        <v>3203</v>
      </c>
    </row>
    <row r="1311" spans="1:50">
      <c r="A1311" s="1" t="s">
        <v>68</v>
      </c>
      <c r="B1311" t="s">
        <v>163</v>
      </c>
      <c r="C1311" t="s">
        <v>4521</v>
      </c>
      <c r="D1311" t="s">
        <v>317</v>
      </c>
      <c r="F1311" t="s">
        <v>7068</v>
      </c>
      <c r="G1311" t="s">
        <v>8508</v>
      </c>
      <c r="H1311" t="s">
        <v>9960</v>
      </c>
      <c r="I1311" t="s">
        <v>1508</v>
      </c>
      <c r="J1311" t="s">
        <v>1643</v>
      </c>
      <c r="K1311">
        <v>10033</v>
      </c>
      <c r="L1311" t="s">
        <v>1670</v>
      </c>
      <c r="M1311" t="s">
        <v>1670</v>
      </c>
      <c r="P1311" t="s">
        <v>1960</v>
      </c>
      <c r="R1311" t="s">
        <v>50</v>
      </c>
      <c r="S1311" t="s">
        <v>1671</v>
      </c>
      <c r="U1311" t="s">
        <v>1972</v>
      </c>
      <c r="W1311" t="s">
        <v>317</v>
      </c>
      <c r="X1311">
        <v>990</v>
      </c>
      <c r="Y1311" t="s">
        <v>2008</v>
      </c>
      <c r="Z1311" t="s">
        <v>2013</v>
      </c>
      <c r="AB1311" t="s">
        <v>13978</v>
      </c>
      <c r="AD1311" t="s">
        <v>16415</v>
      </c>
      <c r="AE1311">
        <v>47</v>
      </c>
      <c r="AF1311" t="s">
        <v>2902</v>
      </c>
      <c r="AG1311" t="s">
        <v>1754</v>
      </c>
      <c r="AH1311">
        <v>40</v>
      </c>
      <c r="AI1311">
        <v>1</v>
      </c>
      <c r="AJ1311">
        <v>0</v>
      </c>
      <c r="AK1311">
        <v>44.76</v>
      </c>
      <c r="AN1311" t="s">
        <v>2926</v>
      </c>
      <c r="AO1311">
        <v>5590</v>
      </c>
      <c r="AU1311">
        <v>45.25</v>
      </c>
      <c r="AV1311" t="s">
        <v>289</v>
      </c>
      <c r="AW1311" t="s">
        <v>3042</v>
      </c>
    </row>
    <row r="1312" spans="1:50">
      <c r="A1312" s="1" t="s">
        <v>73</v>
      </c>
      <c r="B1312" t="s">
        <v>164</v>
      </c>
      <c r="C1312" t="s">
        <v>4522</v>
      </c>
      <c r="D1312" t="s">
        <v>344</v>
      </c>
      <c r="E1312" t="s">
        <v>292</v>
      </c>
      <c r="F1312" t="s">
        <v>7205</v>
      </c>
      <c r="G1312" t="s">
        <v>8509</v>
      </c>
      <c r="H1312" t="s">
        <v>9961</v>
      </c>
      <c r="I1312" t="s">
        <v>11208</v>
      </c>
      <c r="J1312" t="s">
        <v>11751</v>
      </c>
      <c r="K1312">
        <v>11375</v>
      </c>
      <c r="L1312" t="s">
        <v>1670</v>
      </c>
      <c r="M1312" t="s">
        <v>1670</v>
      </c>
      <c r="N1312" t="s">
        <v>12198</v>
      </c>
      <c r="O1312" t="s">
        <v>1940</v>
      </c>
      <c r="P1312" t="s">
        <v>1958</v>
      </c>
      <c r="Q1312" t="s">
        <v>1965</v>
      </c>
      <c r="R1312" t="s">
        <v>50</v>
      </c>
      <c r="S1312" t="s">
        <v>1671</v>
      </c>
      <c r="U1312" t="s">
        <v>1972</v>
      </c>
      <c r="V1312" t="s">
        <v>1984</v>
      </c>
      <c r="W1312" t="s">
        <v>292</v>
      </c>
      <c r="X1312">
        <v>897.47</v>
      </c>
      <c r="Y1312" t="s">
        <v>2007</v>
      </c>
      <c r="Z1312" t="s">
        <v>2014</v>
      </c>
      <c r="AA1312" t="s">
        <v>2029</v>
      </c>
      <c r="AB1312" t="s">
        <v>13979</v>
      </c>
      <c r="AC1312" t="s">
        <v>15150</v>
      </c>
      <c r="AD1312" t="s">
        <v>16416</v>
      </c>
      <c r="AE1312">
        <v>105</v>
      </c>
      <c r="AF1312" t="s">
        <v>2902</v>
      </c>
      <c r="AG1312" t="s">
        <v>1754</v>
      </c>
      <c r="AH1312">
        <v>20</v>
      </c>
      <c r="AI1312">
        <v>2</v>
      </c>
      <c r="AJ1312">
        <v>0</v>
      </c>
      <c r="AK1312">
        <v>45.57</v>
      </c>
      <c r="AN1312" t="s">
        <v>2926</v>
      </c>
      <c r="AO1312">
        <v>7500</v>
      </c>
      <c r="AU1312">
        <v>1.1</v>
      </c>
      <c r="AV1312" t="s">
        <v>292</v>
      </c>
      <c r="AW1312" t="s">
        <v>85</v>
      </c>
    </row>
    <row r="1313" spans="1:50">
      <c r="A1313" s="1" t="s">
        <v>64</v>
      </c>
      <c r="B1313" t="s">
        <v>164</v>
      </c>
      <c r="C1313" t="s">
        <v>4523</v>
      </c>
      <c r="D1313" t="s">
        <v>323</v>
      </c>
      <c r="E1313" t="s">
        <v>333</v>
      </c>
      <c r="F1313" t="s">
        <v>724</v>
      </c>
      <c r="G1313" t="s">
        <v>770</v>
      </c>
      <c r="H1313" t="s">
        <v>9962</v>
      </c>
      <c r="I1313">
        <v>3</v>
      </c>
      <c r="J1313" t="s">
        <v>1643</v>
      </c>
      <c r="K1313">
        <v>10034</v>
      </c>
      <c r="L1313" t="s">
        <v>1670</v>
      </c>
      <c r="M1313" t="s">
        <v>1670</v>
      </c>
      <c r="O1313" t="s">
        <v>1939</v>
      </c>
      <c r="P1313" t="s">
        <v>1958</v>
      </c>
      <c r="Q1313" t="s">
        <v>1965</v>
      </c>
      <c r="R1313" t="s">
        <v>50</v>
      </c>
      <c r="S1313" t="s">
        <v>1671</v>
      </c>
      <c r="U1313" t="s">
        <v>1972</v>
      </c>
      <c r="W1313" t="s">
        <v>323</v>
      </c>
      <c r="X1313">
        <v>865.62</v>
      </c>
      <c r="Y1313" t="s">
        <v>2008</v>
      </c>
      <c r="Z1313" t="s">
        <v>2020</v>
      </c>
      <c r="AA1313" t="s">
        <v>2029</v>
      </c>
      <c r="AB1313" t="s">
        <v>13980</v>
      </c>
      <c r="AD1313" t="s">
        <v>16417</v>
      </c>
      <c r="AE1313">
        <v>29</v>
      </c>
      <c r="AF1313" t="s">
        <v>2902</v>
      </c>
      <c r="AG1313" t="s">
        <v>1754</v>
      </c>
      <c r="AH1313">
        <v>38</v>
      </c>
      <c r="AI1313">
        <v>3</v>
      </c>
      <c r="AJ1313">
        <v>0</v>
      </c>
      <c r="AK1313">
        <v>45.62</v>
      </c>
      <c r="AN1313" t="s">
        <v>2927</v>
      </c>
      <c r="AO1313">
        <v>9480</v>
      </c>
      <c r="AU1313">
        <v>0.9</v>
      </c>
      <c r="AV1313" t="s">
        <v>318</v>
      </c>
      <c r="AW1313" t="s">
        <v>3042</v>
      </c>
      <c r="AX1313" t="s">
        <v>18685</v>
      </c>
    </row>
    <row r="1314" spans="1:50">
      <c r="A1314" s="1" t="s">
        <v>57</v>
      </c>
      <c r="B1314" t="s">
        <v>163</v>
      </c>
      <c r="C1314" t="s">
        <v>4524</v>
      </c>
      <c r="D1314" t="s">
        <v>247</v>
      </c>
      <c r="F1314" t="s">
        <v>431</v>
      </c>
      <c r="G1314" t="s">
        <v>8510</v>
      </c>
      <c r="H1314" t="s">
        <v>9963</v>
      </c>
      <c r="I1314" t="s">
        <v>1502</v>
      </c>
      <c r="J1314" t="s">
        <v>1641</v>
      </c>
      <c r="K1314">
        <v>10463</v>
      </c>
      <c r="L1314" t="s">
        <v>1670</v>
      </c>
      <c r="M1314" t="s">
        <v>1670</v>
      </c>
      <c r="O1314" t="s">
        <v>1938</v>
      </c>
      <c r="P1314" t="s">
        <v>1962</v>
      </c>
      <c r="R1314" t="s">
        <v>50</v>
      </c>
      <c r="U1314" t="s">
        <v>1972</v>
      </c>
      <c r="W1314" t="s">
        <v>247</v>
      </c>
      <c r="X1314" t="s">
        <v>13051</v>
      </c>
      <c r="Y1314" t="s">
        <v>2006</v>
      </c>
      <c r="AB1314" t="s">
        <v>13981</v>
      </c>
      <c r="AD1314" t="s">
        <v>16418</v>
      </c>
      <c r="AE1314" t="s">
        <v>13051</v>
      </c>
      <c r="AH1314" t="s">
        <v>13051</v>
      </c>
      <c r="AI1314">
        <v>2</v>
      </c>
      <c r="AJ1314">
        <v>0</v>
      </c>
      <c r="AK1314">
        <v>45.86</v>
      </c>
      <c r="AN1314" t="s">
        <v>2926</v>
      </c>
      <c r="AO1314">
        <v>7548</v>
      </c>
      <c r="AU1314">
        <v>1</v>
      </c>
      <c r="AV1314" t="s">
        <v>247</v>
      </c>
      <c r="AW1314" t="s">
        <v>128</v>
      </c>
    </row>
    <row r="1315" spans="1:50">
      <c r="A1315" s="1" t="s">
        <v>127</v>
      </c>
      <c r="B1315" t="s">
        <v>164</v>
      </c>
      <c r="C1315" t="s">
        <v>4525</v>
      </c>
      <c r="D1315" t="s">
        <v>248</v>
      </c>
      <c r="E1315" t="s">
        <v>256</v>
      </c>
      <c r="F1315" t="s">
        <v>7214</v>
      </c>
      <c r="G1315" t="s">
        <v>1054</v>
      </c>
      <c r="H1315" t="s">
        <v>9964</v>
      </c>
      <c r="I1315">
        <v>1</v>
      </c>
      <c r="J1315" t="s">
        <v>1644</v>
      </c>
      <c r="K1315">
        <v>11233</v>
      </c>
      <c r="L1315" t="s">
        <v>1670</v>
      </c>
      <c r="M1315" t="s">
        <v>1670</v>
      </c>
      <c r="N1315" t="s">
        <v>12199</v>
      </c>
      <c r="O1315" t="s">
        <v>1940</v>
      </c>
      <c r="P1315" t="s">
        <v>1962</v>
      </c>
      <c r="Q1315" t="s">
        <v>1968</v>
      </c>
      <c r="R1315" t="s">
        <v>50</v>
      </c>
      <c r="S1315" t="s">
        <v>1671</v>
      </c>
      <c r="U1315" t="s">
        <v>1972</v>
      </c>
      <c r="V1315" t="s">
        <v>1984</v>
      </c>
      <c r="W1315" t="s">
        <v>316</v>
      </c>
      <c r="X1315">
        <v>650</v>
      </c>
      <c r="Y1315" t="s">
        <v>2009</v>
      </c>
      <c r="Z1315" t="s">
        <v>2019</v>
      </c>
      <c r="AA1315" t="s">
        <v>2034</v>
      </c>
      <c r="AB1315" t="s">
        <v>13982</v>
      </c>
      <c r="AD1315" t="s">
        <v>16419</v>
      </c>
      <c r="AE1315">
        <v>5</v>
      </c>
      <c r="AF1315" t="s">
        <v>2903</v>
      </c>
      <c r="AG1315" t="s">
        <v>1754</v>
      </c>
      <c r="AH1315">
        <v>3</v>
      </c>
      <c r="AI1315">
        <v>2</v>
      </c>
      <c r="AJ1315">
        <v>0</v>
      </c>
      <c r="AK1315">
        <v>46.13</v>
      </c>
      <c r="AN1315" t="s">
        <v>2926</v>
      </c>
      <c r="AO1315">
        <v>7800</v>
      </c>
      <c r="AT1315" t="s">
        <v>18542</v>
      </c>
      <c r="AU1315">
        <v>1.8</v>
      </c>
      <c r="AV1315" t="s">
        <v>316</v>
      </c>
      <c r="AW1315" t="s">
        <v>3060</v>
      </c>
    </row>
    <row r="1316" spans="1:50">
      <c r="A1316" s="1" t="s">
        <v>111</v>
      </c>
      <c r="B1316" t="s">
        <v>163</v>
      </c>
      <c r="C1316" t="s">
        <v>4526</v>
      </c>
      <c r="D1316" t="s">
        <v>174</v>
      </c>
      <c r="F1316" t="s">
        <v>7381</v>
      </c>
      <c r="G1316" t="s">
        <v>8511</v>
      </c>
      <c r="H1316" t="s">
        <v>1260</v>
      </c>
      <c r="I1316" t="s">
        <v>11209</v>
      </c>
      <c r="J1316" t="s">
        <v>1641</v>
      </c>
      <c r="K1316">
        <v>10453</v>
      </c>
      <c r="L1316" t="s">
        <v>1670</v>
      </c>
      <c r="M1316" t="s">
        <v>1670</v>
      </c>
      <c r="O1316" t="s">
        <v>1675</v>
      </c>
      <c r="P1316" t="s">
        <v>1959</v>
      </c>
      <c r="R1316" t="s">
        <v>50</v>
      </c>
      <c r="S1316" t="s">
        <v>1670</v>
      </c>
      <c r="U1316" t="s">
        <v>1972</v>
      </c>
      <c r="W1316" t="s">
        <v>174</v>
      </c>
      <c r="X1316">
        <v>713.8</v>
      </c>
      <c r="Y1316" t="s">
        <v>2006</v>
      </c>
      <c r="Z1316" t="s">
        <v>2015</v>
      </c>
      <c r="AB1316" t="s">
        <v>13983</v>
      </c>
      <c r="AD1316" t="s">
        <v>16420</v>
      </c>
      <c r="AE1316">
        <v>44</v>
      </c>
      <c r="AF1316" t="s">
        <v>2902</v>
      </c>
      <c r="AG1316" t="s">
        <v>1754</v>
      </c>
      <c r="AH1316">
        <v>28</v>
      </c>
      <c r="AI1316">
        <v>2</v>
      </c>
      <c r="AJ1316">
        <v>0</v>
      </c>
      <c r="AK1316">
        <v>46.13</v>
      </c>
      <c r="AN1316" t="s">
        <v>2927</v>
      </c>
      <c r="AO1316">
        <v>7800</v>
      </c>
      <c r="AU1316" t="s">
        <v>13051</v>
      </c>
      <c r="AW1316" t="s">
        <v>3047</v>
      </c>
    </row>
    <row r="1317" spans="1:50">
      <c r="A1317" s="1" t="s">
        <v>111</v>
      </c>
      <c r="B1317" t="s">
        <v>163</v>
      </c>
      <c r="C1317" t="s">
        <v>4527</v>
      </c>
      <c r="D1317" t="s">
        <v>174</v>
      </c>
      <c r="F1317" t="s">
        <v>7381</v>
      </c>
      <c r="G1317" t="s">
        <v>8511</v>
      </c>
      <c r="H1317" t="s">
        <v>1260</v>
      </c>
      <c r="I1317" t="s">
        <v>11209</v>
      </c>
      <c r="J1317" t="s">
        <v>1641</v>
      </c>
      <c r="K1317">
        <v>10453</v>
      </c>
      <c r="L1317" t="s">
        <v>1670</v>
      </c>
      <c r="M1317" t="s">
        <v>1670</v>
      </c>
      <c r="N1317" t="s">
        <v>1778</v>
      </c>
      <c r="O1317" t="s">
        <v>1939</v>
      </c>
      <c r="P1317" t="s">
        <v>1960</v>
      </c>
      <c r="R1317" t="s">
        <v>50</v>
      </c>
      <c r="S1317" t="s">
        <v>1670</v>
      </c>
      <c r="U1317" t="s">
        <v>1972</v>
      </c>
      <c r="W1317" t="s">
        <v>283</v>
      </c>
      <c r="X1317">
        <v>713.8</v>
      </c>
      <c r="Y1317" t="s">
        <v>2006</v>
      </c>
      <c r="Z1317" t="s">
        <v>2015</v>
      </c>
      <c r="AB1317" t="s">
        <v>13983</v>
      </c>
      <c r="AD1317" t="s">
        <v>16420</v>
      </c>
      <c r="AE1317">
        <v>44</v>
      </c>
      <c r="AF1317" t="s">
        <v>2902</v>
      </c>
      <c r="AG1317" t="s">
        <v>1754</v>
      </c>
      <c r="AH1317">
        <v>28</v>
      </c>
      <c r="AI1317">
        <v>2</v>
      </c>
      <c r="AJ1317">
        <v>0</v>
      </c>
      <c r="AK1317">
        <v>46.13</v>
      </c>
      <c r="AN1317" t="s">
        <v>2927</v>
      </c>
      <c r="AO1317">
        <v>7800</v>
      </c>
      <c r="AU1317" t="s">
        <v>13051</v>
      </c>
      <c r="AW1317" t="s">
        <v>3047</v>
      </c>
    </row>
    <row r="1318" spans="1:50">
      <c r="A1318" s="1" t="s">
        <v>3080</v>
      </c>
      <c r="B1318" t="s">
        <v>164</v>
      </c>
      <c r="C1318" t="s">
        <v>4528</v>
      </c>
      <c r="D1318" t="s">
        <v>242</v>
      </c>
      <c r="E1318" t="s">
        <v>174</v>
      </c>
      <c r="F1318" t="s">
        <v>739</v>
      </c>
      <c r="G1318" t="s">
        <v>6844</v>
      </c>
      <c r="H1318" t="s">
        <v>9965</v>
      </c>
      <c r="I1318" t="s">
        <v>1520</v>
      </c>
      <c r="J1318" t="s">
        <v>1641</v>
      </c>
      <c r="K1318">
        <v>10468</v>
      </c>
      <c r="L1318" t="s">
        <v>1670</v>
      </c>
      <c r="M1318" t="s">
        <v>1670</v>
      </c>
      <c r="O1318" t="s">
        <v>1675</v>
      </c>
      <c r="P1318" t="s">
        <v>1958</v>
      </c>
      <c r="Q1318" t="s">
        <v>1965</v>
      </c>
      <c r="R1318" t="s">
        <v>51</v>
      </c>
      <c r="S1318" t="s">
        <v>1671</v>
      </c>
      <c r="U1318" t="s">
        <v>1972</v>
      </c>
      <c r="W1318" t="s">
        <v>242</v>
      </c>
      <c r="X1318">
        <v>1175</v>
      </c>
      <c r="Y1318" t="s">
        <v>2006</v>
      </c>
      <c r="Z1318" t="s">
        <v>2012</v>
      </c>
      <c r="AA1318" t="s">
        <v>2029</v>
      </c>
      <c r="AB1318" t="s">
        <v>13984</v>
      </c>
      <c r="AD1318" t="s">
        <v>16421</v>
      </c>
      <c r="AE1318">
        <v>76</v>
      </c>
      <c r="AF1318" t="s">
        <v>2902</v>
      </c>
      <c r="AG1318" t="s">
        <v>1754</v>
      </c>
      <c r="AH1318">
        <v>6</v>
      </c>
      <c r="AI1318">
        <v>3</v>
      </c>
      <c r="AJ1318">
        <v>0</v>
      </c>
      <c r="AK1318">
        <v>46.2</v>
      </c>
      <c r="AL1318" t="s">
        <v>2923</v>
      </c>
      <c r="AM1318" t="s">
        <v>2924</v>
      </c>
      <c r="AN1318" t="s">
        <v>2926</v>
      </c>
      <c r="AO1318">
        <v>9600</v>
      </c>
      <c r="AU1318">
        <v>1.5</v>
      </c>
      <c r="AV1318" t="s">
        <v>243</v>
      </c>
      <c r="AW1318" t="s">
        <v>3080</v>
      </c>
    </row>
    <row r="1319" spans="1:50">
      <c r="A1319" s="1" t="s">
        <v>78</v>
      </c>
      <c r="B1319" t="s">
        <v>163</v>
      </c>
      <c r="C1319" t="s">
        <v>4529</v>
      </c>
      <c r="D1319" t="s">
        <v>237</v>
      </c>
      <c r="F1319" t="s">
        <v>972</v>
      </c>
      <c r="G1319" t="s">
        <v>8512</v>
      </c>
      <c r="H1319" t="s">
        <v>1423</v>
      </c>
      <c r="I1319" t="s">
        <v>1522</v>
      </c>
      <c r="J1319" t="s">
        <v>1646</v>
      </c>
      <c r="K1319">
        <v>10304</v>
      </c>
      <c r="L1319" t="s">
        <v>1670</v>
      </c>
      <c r="M1319" t="s">
        <v>1670</v>
      </c>
      <c r="N1319" t="s">
        <v>12200</v>
      </c>
      <c r="O1319" t="s">
        <v>1936</v>
      </c>
      <c r="P1319" t="s">
        <v>1960</v>
      </c>
      <c r="R1319" t="s">
        <v>50</v>
      </c>
      <c r="S1319" t="s">
        <v>1671</v>
      </c>
      <c r="U1319" t="s">
        <v>1973</v>
      </c>
      <c r="V1319" t="s">
        <v>1985</v>
      </c>
      <c r="W1319" t="s">
        <v>237</v>
      </c>
      <c r="X1319">
        <v>1300</v>
      </c>
      <c r="Y1319" t="s">
        <v>2010</v>
      </c>
      <c r="Z1319" t="s">
        <v>2011</v>
      </c>
      <c r="AB1319" t="s">
        <v>13985</v>
      </c>
      <c r="AD1319" t="s">
        <v>16422</v>
      </c>
      <c r="AE1319">
        <v>115</v>
      </c>
      <c r="AF1319" t="s">
        <v>2909</v>
      </c>
      <c r="AG1319" t="s">
        <v>2915</v>
      </c>
      <c r="AH1319">
        <v>18</v>
      </c>
      <c r="AI1319">
        <v>2</v>
      </c>
      <c r="AJ1319">
        <v>0</v>
      </c>
      <c r="AK1319">
        <v>46.29</v>
      </c>
      <c r="AN1319" t="s">
        <v>2926</v>
      </c>
      <c r="AO1319">
        <v>7620</v>
      </c>
      <c r="AU1319">
        <v>4.75</v>
      </c>
      <c r="AV1319" t="s">
        <v>6191</v>
      </c>
      <c r="AW1319" t="s">
        <v>3057</v>
      </c>
    </row>
    <row r="1320" spans="1:50">
      <c r="A1320" s="1" t="s">
        <v>94</v>
      </c>
      <c r="B1320" t="s">
        <v>163</v>
      </c>
      <c r="C1320" t="s">
        <v>4530</v>
      </c>
      <c r="D1320" t="s">
        <v>348</v>
      </c>
      <c r="F1320" t="s">
        <v>427</v>
      </c>
      <c r="G1320" t="s">
        <v>1020</v>
      </c>
      <c r="H1320" t="s">
        <v>9407</v>
      </c>
      <c r="I1320" t="s">
        <v>11044</v>
      </c>
      <c r="J1320" t="s">
        <v>1643</v>
      </c>
      <c r="K1320">
        <v>10040</v>
      </c>
      <c r="L1320" t="s">
        <v>1670</v>
      </c>
      <c r="M1320" t="s">
        <v>1670</v>
      </c>
      <c r="O1320" t="s">
        <v>1938</v>
      </c>
      <c r="P1320" t="s">
        <v>1960</v>
      </c>
      <c r="R1320" t="s">
        <v>50</v>
      </c>
      <c r="S1320" t="s">
        <v>1670</v>
      </c>
      <c r="U1320" t="s">
        <v>1972</v>
      </c>
      <c r="W1320" t="s">
        <v>348</v>
      </c>
      <c r="X1320">
        <v>102536</v>
      </c>
      <c r="Y1320" t="s">
        <v>2008</v>
      </c>
      <c r="Z1320" t="s">
        <v>2016</v>
      </c>
      <c r="AB1320" t="s">
        <v>13260</v>
      </c>
      <c r="AD1320" t="s">
        <v>16423</v>
      </c>
      <c r="AE1320">
        <v>88</v>
      </c>
      <c r="AF1320" t="s">
        <v>2902</v>
      </c>
      <c r="AG1320" t="s">
        <v>2919</v>
      </c>
      <c r="AH1320">
        <v>26</v>
      </c>
      <c r="AI1320">
        <v>1</v>
      </c>
      <c r="AJ1320">
        <v>0</v>
      </c>
      <c r="AK1320">
        <v>46.46</v>
      </c>
      <c r="AN1320" t="s">
        <v>2927</v>
      </c>
      <c r="AO1320">
        <v>5640</v>
      </c>
      <c r="AU1320" t="s">
        <v>13051</v>
      </c>
      <c r="AW1320" t="s">
        <v>3042</v>
      </c>
    </row>
    <row r="1321" spans="1:50">
      <c r="A1321" s="1" t="s">
        <v>97</v>
      </c>
      <c r="B1321" t="s">
        <v>164</v>
      </c>
      <c r="C1321" t="s">
        <v>4531</v>
      </c>
      <c r="D1321" t="s">
        <v>307</v>
      </c>
      <c r="E1321" t="s">
        <v>307</v>
      </c>
      <c r="F1321" t="s">
        <v>7222</v>
      </c>
      <c r="G1321" t="s">
        <v>8513</v>
      </c>
      <c r="H1321" t="s">
        <v>9507</v>
      </c>
      <c r="I1321">
        <v>25</v>
      </c>
      <c r="J1321" t="s">
        <v>1643</v>
      </c>
      <c r="K1321">
        <v>10034</v>
      </c>
      <c r="L1321" t="s">
        <v>1670</v>
      </c>
      <c r="M1321" t="s">
        <v>1670</v>
      </c>
      <c r="O1321" t="s">
        <v>1941</v>
      </c>
      <c r="P1321" t="s">
        <v>1958</v>
      </c>
      <c r="Q1321" t="s">
        <v>1965</v>
      </c>
      <c r="R1321" t="s">
        <v>50</v>
      </c>
      <c r="S1321" t="s">
        <v>1671</v>
      </c>
      <c r="U1321" t="s">
        <v>1972</v>
      </c>
      <c r="W1321" t="s">
        <v>307</v>
      </c>
      <c r="X1321">
        <v>1008.29</v>
      </c>
      <c r="Y1321" t="s">
        <v>2008</v>
      </c>
      <c r="Z1321" t="s">
        <v>2013</v>
      </c>
      <c r="AA1321" t="s">
        <v>2029</v>
      </c>
      <c r="AB1321" t="s">
        <v>13986</v>
      </c>
      <c r="AD1321" t="s">
        <v>16424</v>
      </c>
      <c r="AE1321">
        <v>25</v>
      </c>
      <c r="AF1321" t="s">
        <v>2902</v>
      </c>
      <c r="AG1321" t="s">
        <v>1754</v>
      </c>
      <c r="AH1321">
        <v>25</v>
      </c>
      <c r="AI1321">
        <v>4</v>
      </c>
      <c r="AJ1321">
        <v>0</v>
      </c>
      <c r="AK1321">
        <v>46.49</v>
      </c>
      <c r="AN1321" t="s">
        <v>2927</v>
      </c>
      <c r="AO1321">
        <v>11668.28</v>
      </c>
      <c r="AU1321">
        <v>1.82</v>
      </c>
      <c r="AV1321" t="s">
        <v>307</v>
      </c>
      <c r="AW1321" t="s">
        <v>3042</v>
      </c>
      <c r="AX1321" t="s">
        <v>18685</v>
      </c>
    </row>
    <row r="1322" spans="1:50">
      <c r="A1322" s="1" t="s">
        <v>94</v>
      </c>
      <c r="B1322" t="s">
        <v>163</v>
      </c>
      <c r="C1322" t="s">
        <v>4532</v>
      </c>
      <c r="D1322" t="s">
        <v>236</v>
      </c>
      <c r="F1322" t="s">
        <v>7382</v>
      </c>
      <c r="G1322" t="s">
        <v>8514</v>
      </c>
      <c r="H1322" t="s">
        <v>9792</v>
      </c>
      <c r="I1322">
        <v>63</v>
      </c>
      <c r="J1322" t="s">
        <v>1643</v>
      </c>
      <c r="K1322">
        <v>10032</v>
      </c>
      <c r="L1322" t="s">
        <v>1670</v>
      </c>
      <c r="M1322" t="s">
        <v>1670</v>
      </c>
      <c r="N1322" t="s">
        <v>12201</v>
      </c>
      <c r="O1322" t="s">
        <v>1936</v>
      </c>
      <c r="P1322" t="s">
        <v>1960</v>
      </c>
      <c r="R1322" t="s">
        <v>50</v>
      </c>
      <c r="S1322" t="s">
        <v>1671</v>
      </c>
      <c r="U1322" t="s">
        <v>1972</v>
      </c>
      <c r="V1322" t="s">
        <v>1984</v>
      </c>
      <c r="W1322" t="s">
        <v>237</v>
      </c>
      <c r="X1322">
        <v>481</v>
      </c>
      <c r="Y1322" t="s">
        <v>2008</v>
      </c>
      <c r="Z1322" t="s">
        <v>2013</v>
      </c>
      <c r="AB1322" t="s">
        <v>13987</v>
      </c>
      <c r="AD1322" t="s">
        <v>16425</v>
      </c>
      <c r="AE1322">
        <v>35</v>
      </c>
      <c r="AF1322" t="s">
        <v>2908</v>
      </c>
      <c r="AH1322">
        <v>50</v>
      </c>
      <c r="AI1322">
        <v>2</v>
      </c>
      <c r="AJ1322">
        <v>0</v>
      </c>
      <c r="AK1322">
        <v>46.49</v>
      </c>
      <c r="AN1322" t="s">
        <v>2926</v>
      </c>
      <c r="AO1322">
        <v>7860.96</v>
      </c>
      <c r="AU1322">
        <v>13.9</v>
      </c>
      <c r="AV1322" t="s">
        <v>269</v>
      </c>
      <c r="AW1322" t="s">
        <v>94</v>
      </c>
    </row>
    <row r="1323" spans="1:50">
      <c r="A1323" s="1" t="s">
        <v>108</v>
      </c>
      <c r="B1323" t="s">
        <v>163</v>
      </c>
      <c r="C1323" t="s">
        <v>4533</v>
      </c>
      <c r="D1323" t="s">
        <v>287</v>
      </c>
      <c r="F1323" t="s">
        <v>689</v>
      </c>
      <c r="G1323" t="s">
        <v>8515</v>
      </c>
      <c r="H1323" t="s">
        <v>9966</v>
      </c>
      <c r="I1323" t="s">
        <v>1556</v>
      </c>
      <c r="J1323" t="s">
        <v>1668</v>
      </c>
      <c r="K1323">
        <v>11358</v>
      </c>
      <c r="L1323" t="s">
        <v>1670</v>
      </c>
      <c r="M1323" t="s">
        <v>1670</v>
      </c>
      <c r="N1323" t="s">
        <v>12202</v>
      </c>
      <c r="O1323" t="s">
        <v>1940</v>
      </c>
      <c r="P1323" t="s">
        <v>1960</v>
      </c>
      <c r="R1323" t="s">
        <v>50</v>
      </c>
      <c r="S1323" t="s">
        <v>1671</v>
      </c>
      <c r="U1323" t="s">
        <v>1972</v>
      </c>
      <c r="V1323" t="s">
        <v>1984</v>
      </c>
      <c r="W1323" t="s">
        <v>241</v>
      </c>
      <c r="X1323">
        <v>2000</v>
      </c>
      <c r="Y1323" t="s">
        <v>2007</v>
      </c>
      <c r="Z1323" t="s">
        <v>2014</v>
      </c>
      <c r="AB1323" t="s">
        <v>13988</v>
      </c>
      <c r="AC1323" t="s">
        <v>15151</v>
      </c>
      <c r="AD1323" t="s">
        <v>16426</v>
      </c>
      <c r="AE1323">
        <v>2</v>
      </c>
      <c r="AF1323" t="s">
        <v>2903</v>
      </c>
      <c r="AG1323" t="s">
        <v>1754</v>
      </c>
      <c r="AH1323">
        <v>13</v>
      </c>
      <c r="AI1323">
        <v>2</v>
      </c>
      <c r="AJ1323">
        <v>0</v>
      </c>
      <c r="AK1323">
        <v>46.59</v>
      </c>
      <c r="AN1323" t="s">
        <v>2927</v>
      </c>
      <c r="AO1323">
        <v>7668</v>
      </c>
      <c r="AQ1323" t="s">
        <v>2979</v>
      </c>
      <c r="AR1323" t="s">
        <v>2017</v>
      </c>
      <c r="AS1323" t="s">
        <v>2993</v>
      </c>
      <c r="AT1323" t="s">
        <v>18543</v>
      </c>
      <c r="AU1323">
        <v>2.4</v>
      </c>
      <c r="AV1323" t="s">
        <v>6154</v>
      </c>
      <c r="AW1323" t="s">
        <v>3044</v>
      </c>
    </row>
    <row r="1324" spans="1:50">
      <c r="A1324" s="1" t="s">
        <v>3172</v>
      </c>
      <c r="B1324" t="s">
        <v>163</v>
      </c>
      <c r="C1324" t="s">
        <v>4534</v>
      </c>
      <c r="D1324" t="s">
        <v>393</v>
      </c>
      <c r="F1324" t="s">
        <v>6855</v>
      </c>
      <c r="G1324" t="s">
        <v>1048</v>
      </c>
      <c r="H1324" t="s">
        <v>9612</v>
      </c>
      <c r="I1324" t="s">
        <v>10963</v>
      </c>
      <c r="J1324" t="s">
        <v>1668</v>
      </c>
      <c r="K1324">
        <v>11354</v>
      </c>
      <c r="L1324" t="s">
        <v>1670</v>
      </c>
      <c r="M1324" t="s">
        <v>1672</v>
      </c>
      <c r="N1324" t="s">
        <v>12203</v>
      </c>
      <c r="O1324" t="s">
        <v>1938</v>
      </c>
      <c r="P1324" t="s">
        <v>1961</v>
      </c>
      <c r="R1324" t="s">
        <v>50</v>
      </c>
      <c r="S1324" t="s">
        <v>1670</v>
      </c>
      <c r="U1324" t="s">
        <v>1972</v>
      </c>
      <c r="V1324" t="s">
        <v>1984</v>
      </c>
      <c r="W1324" t="s">
        <v>222</v>
      </c>
      <c r="X1324">
        <v>817.99</v>
      </c>
      <c r="Y1324" t="s">
        <v>2007</v>
      </c>
      <c r="Z1324" t="s">
        <v>2026</v>
      </c>
      <c r="AB1324" t="s">
        <v>13989</v>
      </c>
      <c r="AE1324">
        <v>91</v>
      </c>
      <c r="AF1324" t="s">
        <v>2902</v>
      </c>
      <c r="AG1324" t="s">
        <v>1754</v>
      </c>
      <c r="AH1324">
        <v>40</v>
      </c>
      <c r="AI1324">
        <v>4</v>
      </c>
      <c r="AJ1324">
        <v>0</v>
      </c>
      <c r="AK1324">
        <v>46.6</v>
      </c>
      <c r="AN1324" t="s">
        <v>2927</v>
      </c>
      <c r="AO1324">
        <v>12000</v>
      </c>
      <c r="AU1324">
        <v>0.15</v>
      </c>
      <c r="AV1324" t="s">
        <v>393</v>
      </c>
      <c r="AW1324" t="s">
        <v>3172</v>
      </c>
      <c r="AX1324" t="s">
        <v>18685</v>
      </c>
    </row>
    <row r="1325" spans="1:50">
      <c r="A1325" s="1" t="s">
        <v>104</v>
      </c>
      <c r="B1325" t="s">
        <v>163</v>
      </c>
      <c r="C1325" t="s">
        <v>4535</v>
      </c>
      <c r="D1325" t="s">
        <v>217</v>
      </c>
      <c r="F1325" t="s">
        <v>7383</v>
      </c>
      <c r="G1325" t="s">
        <v>8516</v>
      </c>
      <c r="H1325" t="s">
        <v>9967</v>
      </c>
      <c r="I1325">
        <v>1</v>
      </c>
      <c r="J1325" t="s">
        <v>1646</v>
      </c>
      <c r="K1325">
        <v>10304</v>
      </c>
      <c r="L1325" t="s">
        <v>1670</v>
      </c>
      <c r="M1325" t="s">
        <v>1672</v>
      </c>
      <c r="N1325" t="s">
        <v>12204</v>
      </c>
      <c r="O1325" t="s">
        <v>1940</v>
      </c>
      <c r="P1325" t="s">
        <v>1960</v>
      </c>
      <c r="R1325" t="s">
        <v>50</v>
      </c>
      <c r="S1325" t="s">
        <v>1671</v>
      </c>
      <c r="U1325" t="s">
        <v>1972</v>
      </c>
      <c r="V1325" t="s">
        <v>1984</v>
      </c>
      <c r="W1325" t="s">
        <v>217</v>
      </c>
      <c r="X1325">
        <v>2200</v>
      </c>
      <c r="Y1325" t="s">
        <v>2010</v>
      </c>
      <c r="Z1325" t="s">
        <v>2011</v>
      </c>
      <c r="AA1325" t="s">
        <v>2033</v>
      </c>
      <c r="AB1325" t="s">
        <v>13990</v>
      </c>
      <c r="AD1325" t="s">
        <v>16427</v>
      </c>
      <c r="AE1325">
        <v>3</v>
      </c>
      <c r="AF1325" t="s">
        <v>2903</v>
      </c>
      <c r="AG1325" t="s">
        <v>2915</v>
      </c>
      <c r="AH1325">
        <v>4</v>
      </c>
      <c r="AI1325">
        <v>4</v>
      </c>
      <c r="AJ1325">
        <v>0</v>
      </c>
      <c r="AK1325">
        <v>46.6</v>
      </c>
      <c r="AN1325" t="s">
        <v>2926</v>
      </c>
      <c r="AO1325">
        <v>12000</v>
      </c>
      <c r="AQ1325" t="s">
        <v>2979</v>
      </c>
      <c r="AU1325">
        <v>11.6</v>
      </c>
      <c r="AV1325" t="s">
        <v>388</v>
      </c>
      <c r="AW1325" t="s">
        <v>3050</v>
      </c>
      <c r="AX1325" t="s">
        <v>18685</v>
      </c>
    </row>
    <row r="1326" spans="1:50">
      <c r="A1326" s="1" t="s">
        <v>82</v>
      </c>
      <c r="B1326" t="s">
        <v>163</v>
      </c>
      <c r="C1326" t="s">
        <v>4536</v>
      </c>
      <c r="D1326" t="s">
        <v>179</v>
      </c>
      <c r="F1326" t="s">
        <v>7337</v>
      </c>
      <c r="G1326" t="s">
        <v>8517</v>
      </c>
      <c r="H1326" t="s">
        <v>9420</v>
      </c>
      <c r="I1326" t="s">
        <v>11210</v>
      </c>
      <c r="J1326" t="s">
        <v>1644</v>
      </c>
      <c r="K1326">
        <v>11233</v>
      </c>
      <c r="L1326" t="s">
        <v>1670</v>
      </c>
      <c r="M1326" t="s">
        <v>1672</v>
      </c>
      <c r="N1326" t="s">
        <v>1687</v>
      </c>
      <c r="O1326" t="s">
        <v>1937</v>
      </c>
      <c r="P1326" t="s">
        <v>1962</v>
      </c>
      <c r="R1326" t="s">
        <v>50</v>
      </c>
      <c r="S1326" t="s">
        <v>1670</v>
      </c>
      <c r="U1326" t="s">
        <v>1972</v>
      </c>
      <c r="V1326" t="s">
        <v>1984</v>
      </c>
      <c r="W1326" t="s">
        <v>221</v>
      </c>
      <c r="X1326">
        <v>1375</v>
      </c>
      <c r="Y1326" t="s">
        <v>2009</v>
      </c>
      <c r="Z1326" t="s">
        <v>2017</v>
      </c>
      <c r="AB1326" t="s">
        <v>13991</v>
      </c>
      <c r="AE1326">
        <v>359</v>
      </c>
      <c r="AF1326" t="s">
        <v>2902</v>
      </c>
      <c r="AH1326">
        <v>10</v>
      </c>
      <c r="AI1326">
        <v>2</v>
      </c>
      <c r="AJ1326">
        <v>0</v>
      </c>
      <c r="AK1326">
        <v>47.31</v>
      </c>
      <c r="AN1326" t="s">
        <v>2926</v>
      </c>
      <c r="AO1326">
        <v>8000</v>
      </c>
      <c r="AP1326" t="s">
        <v>18272</v>
      </c>
      <c r="AU1326" t="s">
        <v>13051</v>
      </c>
      <c r="AW1326" t="s">
        <v>3059</v>
      </c>
      <c r="AX1326" t="s">
        <v>1754</v>
      </c>
    </row>
    <row r="1327" spans="1:50">
      <c r="A1327" s="1" t="s">
        <v>91</v>
      </c>
      <c r="B1327" t="s">
        <v>163</v>
      </c>
      <c r="C1327" t="s">
        <v>4537</v>
      </c>
      <c r="D1327" t="s">
        <v>369</v>
      </c>
      <c r="F1327" t="s">
        <v>6811</v>
      </c>
      <c r="G1327" t="s">
        <v>8518</v>
      </c>
      <c r="H1327" t="s">
        <v>9968</v>
      </c>
      <c r="I1327" t="s">
        <v>1551</v>
      </c>
      <c r="J1327" t="s">
        <v>1643</v>
      </c>
      <c r="K1327">
        <v>10034</v>
      </c>
      <c r="L1327" t="s">
        <v>1670</v>
      </c>
      <c r="M1327" t="s">
        <v>1672</v>
      </c>
      <c r="P1327" t="s">
        <v>1962</v>
      </c>
      <c r="R1327" t="s">
        <v>50</v>
      </c>
      <c r="S1327" t="s">
        <v>1671</v>
      </c>
      <c r="U1327" t="s">
        <v>1972</v>
      </c>
      <c r="W1327" t="s">
        <v>369</v>
      </c>
      <c r="X1327">
        <v>149</v>
      </c>
      <c r="Y1327" t="s">
        <v>2008</v>
      </c>
      <c r="Z1327" t="s">
        <v>2020</v>
      </c>
      <c r="AB1327" t="s">
        <v>13992</v>
      </c>
      <c r="AD1327" t="s">
        <v>16428</v>
      </c>
      <c r="AE1327">
        <v>95</v>
      </c>
      <c r="AF1327" t="s">
        <v>2902</v>
      </c>
      <c r="AG1327" t="s">
        <v>1754</v>
      </c>
      <c r="AH1327">
        <v>5</v>
      </c>
      <c r="AI1327">
        <v>2</v>
      </c>
      <c r="AJ1327">
        <v>0</v>
      </c>
      <c r="AK1327">
        <v>47.31</v>
      </c>
      <c r="AN1327" t="s">
        <v>2927</v>
      </c>
      <c r="AO1327">
        <v>8000</v>
      </c>
      <c r="AU1327">
        <v>2.3</v>
      </c>
      <c r="AV1327" t="s">
        <v>334</v>
      </c>
      <c r="AW1327" t="s">
        <v>3042</v>
      </c>
    </row>
    <row r="1328" spans="1:50">
      <c r="A1328" s="1" t="s">
        <v>82</v>
      </c>
      <c r="B1328" t="s">
        <v>163</v>
      </c>
      <c r="C1328" t="s">
        <v>4538</v>
      </c>
      <c r="D1328" t="s">
        <v>179</v>
      </c>
      <c r="F1328" t="s">
        <v>7337</v>
      </c>
      <c r="G1328" t="s">
        <v>8517</v>
      </c>
      <c r="H1328" t="s">
        <v>9420</v>
      </c>
      <c r="I1328" t="s">
        <v>11210</v>
      </c>
      <c r="J1328" t="s">
        <v>1644</v>
      </c>
      <c r="K1328">
        <v>11233</v>
      </c>
      <c r="L1328" t="s">
        <v>1670</v>
      </c>
      <c r="M1328" t="s">
        <v>1672</v>
      </c>
      <c r="N1328" t="s">
        <v>1754</v>
      </c>
      <c r="O1328" t="s">
        <v>1938</v>
      </c>
      <c r="P1328" t="s">
        <v>1961</v>
      </c>
      <c r="R1328" t="s">
        <v>50</v>
      </c>
      <c r="S1328" t="s">
        <v>1670</v>
      </c>
      <c r="U1328" t="s">
        <v>1972</v>
      </c>
      <c r="V1328" t="s">
        <v>1984</v>
      </c>
      <c r="W1328" t="s">
        <v>248</v>
      </c>
      <c r="X1328">
        <v>1375</v>
      </c>
      <c r="Y1328" t="s">
        <v>2009</v>
      </c>
      <c r="Z1328" t="s">
        <v>2017</v>
      </c>
      <c r="AB1328" t="s">
        <v>13991</v>
      </c>
      <c r="AE1328">
        <v>359</v>
      </c>
      <c r="AF1328" t="s">
        <v>2902</v>
      </c>
      <c r="AH1328">
        <v>10</v>
      </c>
      <c r="AI1328">
        <v>2</v>
      </c>
      <c r="AJ1328">
        <v>0</v>
      </c>
      <c r="AK1328">
        <v>47.31</v>
      </c>
      <c r="AN1328" t="s">
        <v>2926</v>
      </c>
      <c r="AO1328">
        <v>8000</v>
      </c>
      <c r="AP1328" t="s">
        <v>18071</v>
      </c>
      <c r="AU1328" t="s">
        <v>13051</v>
      </c>
      <c r="AW1328" t="s">
        <v>3059</v>
      </c>
      <c r="AX1328" t="s">
        <v>1754</v>
      </c>
    </row>
    <row r="1329" spans="1:50">
      <c r="A1329" s="1" t="s">
        <v>111</v>
      </c>
      <c r="B1329" t="s">
        <v>163</v>
      </c>
      <c r="C1329" t="s">
        <v>4539</v>
      </c>
      <c r="D1329" t="s">
        <v>174</v>
      </c>
      <c r="F1329" t="s">
        <v>7381</v>
      </c>
      <c r="G1329" t="s">
        <v>8511</v>
      </c>
      <c r="H1329" t="s">
        <v>1260</v>
      </c>
      <c r="I1329" t="s">
        <v>11209</v>
      </c>
      <c r="J1329" t="s">
        <v>1641</v>
      </c>
      <c r="K1329">
        <v>10453</v>
      </c>
      <c r="L1329" t="s">
        <v>1670</v>
      </c>
      <c r="M1329" t="s">
        <v>1670</v>
      </c>
      <c r="O1329" t="s">
        <v>1938</v>
      </c>
      <c r="P1329" t="s">
        <v>1961</v>
      </c>
      <c r="R1329" t="s">
        <v>50</v>
      </c>
      <c r="S1329" t="s">
        <v>1670</v>
      </c>
      <c r="U1329" t="s">
        <v>1972</v>
      </c>
      <c r="W1329" t="s">
        <v>283</v>
      </c>
      <c r="X1329">
        <v>713.8</v>
      </c>
      <c r="Y1329" t="s">
        <v>2006</v>
      </c>
      <c r="Z1329" t="s">
        <v>2015</v>
      </c>
      <c r="AB1329" t="s">
        <v>13983</v>
      </c>
      <c r="AD1329" t="s">
        <v>16420</v>
      </c>
      <c r="AE1329">
        <v>44</v>
      </c>
      <c r="AF1329" t="s">
        <v>2902</v>
      </c>
      <c r="AG1329" t="s">
        <v>1754</v>
      </c>
      <c r="AH1329">
        <v>28</v>
      </c>
      <c r="AI1329">
        <v>2</v>
      </c>
      <c r="AJ1329">
        <v>0</v>
      </c>
      <c r="AK1329">
        <v>47.39</v>
      </c>
      <c r="AN1329" t="s">
        <v>2927</v>
      </c>
      <c r="AO1329">
        <v>7800</v>
      </c>
      <c r="AU1329" t="s">
        <v>13051</v>
      </c>
      <c r="AW1329" t="s">
        <v>3047</v>
      </c>
    </row>
    <row r="1330" spans="1:50">
      <c r="A1330" s="1" t="s">
        <v>103</v>
      </c>
      <c r="B1330" t="s">
        <v>163</v>
      </c>
      <c r="C1330" t="s">
        <v>4540</v>
      </c>
      <c r="D1330" t="s">
        <v>283</v>
      </c>
      <c r="F1330" t="s">
        <v>497</v>
      </c>
      <c r="G1330" t="s">
        <v>8519</v>
      </c>
      <c r="H1330" t="s">
        <v>9969</v>
      </c>
      <c r="I1330" t="s">
        <v>1602</v>
      </c>
      <c r="J1330" t="s">
        <v>1644</v>
      </c>
      <c r="K1330">
        <v>11206</v>
      </c>
      <c r="L1330" t="s">
        <v>1670</v>
      </c>
      <c r="M1330" t="s">
        <v>1671</v>
      </c>
      <c r="N1330" t="s">
        <v>12205</v>
      </c>
      <c r="O1330" t="s">
        <v>1936</v>
      </c>
      <c r="P1330" t="s">
        <v>1960</v>
      </c>
      <c r="R1330" t="s">
        <v>50</v>
      </c>
      <c r="S1330" t="s">
        <v>1671</v>
      </c>
      <c r="U1330" t="s">
        <v>1972</v>
      </c>
      <c r="V1330" t="s">
        <v>1984</v>
      </c>
      <c r="W1330" t="s">
        <v>235</v>
      </c>
      <c r="X1330">
        <v>96</v>
      </c>
      <c r="Y1330" t="s">
        <v>2009</v>
      </c>
      <c r="Z1330" t="s">
        <v>2025</v>
      </c>
      <c r="AB1330" t="s">
        <v>13993</v>
      </c>
      <c r="AD1330" t="s">
        <v>16429</v>
      </c>
      <c r="AE1330" t="s">
        <v>13051</v>
      </c>
      <c r="AF1330" t="s">
        <v>2902</v>
      </c>
      <c r="AG1330" t="s">
        <v>2017</v>
      </c>
      <c r="AH1330">
        <v>40</v>
      </c>
      <c r="AI1330">
        <v>1</v>
      </c>
      <c r="AJ1330">
        <v>0</v>
      </c>
      <c r="AK1330">
        <v>48.49</v>
      </c>
      <c r="AN1330" t="s">
        <v>2926</v>
      </c>
      <c r="AO1330">
        <v>6056</v>
      </c>
      <c r="AU1330">
        <v>14.5</v>
      </c>
      <c r="AV1330" t="s">
        <v>388</v>
      </c>
      <c r="AW1330" t="s">
        <v>3059</v>
      </c>
      <c r="AX1330" t="s">
        <v>18685</v>
      </c>
    </row>
    <row r="1331" spans="1:50">
      <c r="A1331" s="1" t="s">
        <v>146</v>
      </c>
      <c r="B1331" t="s">
        <v>164</v>
      </c>
      <c r="C1331" t="s">
        <v>4541</v>
      </c>
      <c r="D1331" t="s">
        <v>370</v>
      </c>
      <c r="E1331" t="s">
        <v>359</v>
      </c>
      <c r="F1331" t="s">
        <v>7362</v>
      </c>
      <c r="G1331" t="s">
        <v>8140</v>
      </c>
      <c r="H1331" t="s">
        <v>9970</v>
      </c>
      <c r="I1331" t="s">
        <v>11211</v>
      </c>
      <c r="J1331" t="s">
        <v>1641</v>
      </c>
      <c r="K1331">
        <v>10453</v>
      </c>
      <c r="L1331" t="s">
        <v>1670</v>
      </c>
      <c r="M1331" t="s">
        <v>1670</v>
      </c>
      <c r="O1331" t="s">
        <v>1675</v>
      </c>
      <c r="P1331" t="s">
        <v>1962</v>
      </c>
      <c r="Q1331" t="s">
        <v>1968</v>
      </c>
      <c r="R1331" t="s">
        <v>50</v>
      </c>
      <c r="S1331" t="s">
        <v>1671</v>
      </c>
      <c r="U1331" t="s">
        <v>1972</v>
      </c>
      <c r="W1331" t="s">
        <v>1992</v>
      </c>
      <c r="X1331">
        <v>1347</v>
      </c>
      <c r="Y1331" t="s">
        <v>2006</v>
      </c>
      <c r="Z1331" t="s">
        <v>2015</v>
      </c>
      <c r="AA1331" t="s">
        <v>2030</v>
      </c>
      <c r="AB1331" t="s">
        <v>13994</v>
      </c>
      <c r="AD1331" t="s">
        <v>16430</v>
      </c>
      <c r="AE1331">
        <v>1654</v>
      </c>
      <c r="AF1331" t="s">
        <v>2909</v>
      </c>
      <c r="AG1331" t="s">
        <v>2915</v>
      </c>
      <c r="AH1331">
        <v>4</v>
      </c>
      <c r="AI1331">
        <v>2</v>
      </c>
      <c r="AJ1331">
        <v>0</v>
      </c>
      <c r="AK1331">
        <v>48.57</v>
      </c>
      <c r="AN1331" t="s">
        <v>2926</v>
      </c>
      <c r="AO1331">
        <v>7995</v>
      </c>
      <c r="AU1331">
        <v>1</v>
      </c>
      <c r="AV1331" t="s">
        <v>370</v>
      </c>
      <c r="AW1331" t="s">
        <v>146</v>
      </c>
    </row>
    <row r="1332" spans="1:50">
      <c r="A1332" s="1" t="s">
        <v>3189</v>
      </c>
      <c r="B1332" t="s">
        <v>164</v>
      </c>
      <c r="C1332" t="s">
        <v>4542</v>
      </c>
      <c r="D1332" t="s">
        <v>6176</v>
      </c>
      <c r="E1332" t="s">
        <v>359</v>
      </c>
      <c r="F1332" t="s">
        <v>7384</v>
      </c>
      <c r="G1332" t="s">
        <v>784</v>
      </c>
      <c r="H1332" t="s">
        <v>9971</v>
      </c>
      <c r="I1332" t="s">
        <v>1477</v>
      </c>
      <c r="J1332" t="s">
        <v>1644</v>
      </c>
      <c r="K1332">
        <v>11237</v>
      </c>
      <c r="L1332" t="s">
        <v>1670</v>
      </c>
      <c r="M1332" t="s">
        <v>1672</v>
      </c>
      <c r="N1332" t="s">
        <v>12206</v>
      </c>
      <c r="O1332" t="s">
        <v>1936</v>
      </c>
      <c r="P1332" t="s">
        <v>1960</v>
      </c>
      <c r="Q1332" t="s">
        <v>1969</v>
      </c>
      <c r="R1332" t="s">
        <v>50</v>
      </c>
      <c r="S1332" t="s">
        <v>1671</v>
      </c>
      <c r="T1332" t="s">
        <v>13028</v>
      </c>
      <c r="U1332" t="s">
        <v>1972</v>
      </c>
      <c r="W1332" t="s">
        <v>1989</v>
      </c>
      <c r="X1332" t="s">
        <v>13051</v>
      </c>
      <c r="Y1332" t="s">
        <v>2009</v>
      </c>
      <c r="AA1332" t="s">
        <v>2032</v>
      </c>
      <c r="AB1332" t="s">
        <v>13995</v>
      </c>
      <c r="AC1332" t="s">
        <v>15152</v>
      </c>
      <c r="AD1332" t="s">
        <v>16431</v>
      </c>
      <c r="AE1332" t="s">
        <v>13051</v>
      </c>
      <c r="AH1332" t="s">
        <v>13051</v>
      </c>
      <c r="AI1332">
        <v>2</v>
      </c>
      <c r="AJ1332">
        <v>0</v>
      </c>
      <c r="AK1332">
        <v>48.69</v>
      </c>
      <c r="AN1332" t="s">
        <v>2926</v>
      </c>
      <c r="AO1332">
        <v>7800</v>
      </c>
      <c r="AS1332" t="s">
        <v>2992</v>
      </c>
      <c r="AT1332" t="s">
        <v>18544</v>
      </c>
      <c r="AU1332">
        <v>8.35</v>
      </c>
      <c r="AV1332" t="s">
        <v>6127</v>
      </c>
      <c r="AW1332" t="s">
        <v>18667</v>
      </c>
      <c r="AX1332" t="s">
        <v>18686</v>
      </c>
    </row>
    <row r="1333" spans="1:50">
      <c r="A1333" s="1" t="s">
        <v>132</v>
      </c>
      <c r="B1333" t="s">
        <v>163</v>
      </c>
      <c r="C1333" t="s">
        <v>4543</v>
      </c>
      <c r="D1333" t="s">
        <v>289</v>
      </c>
      <c r="F1333" t="s">
        <v>662</v>
      </c>
      <c r="G1333" t="s">
        <v>921</v>
      </c>
      <c r="H1333" t="s">
        <v>1248</v>
      </c>
      <c r="I1333" t="s">
        <v>1520</v>
      </c>
      <c r="J1333" t="s">
        <v>1644</v>
      </c>
      <c r="K1333">
        <v>11213</v>
      </c>
      <c r="L1333" t="s">
        <v>1670</v>
      </c>
      <c r="M1333" t="s">
        <v>1672</v>
      </c>
      <c r="N1333" t="s">
        <v>1754</v>
      </c>
      <c r="O1333" t="s">
        <v>1937</v>
      </c>
      <c r="P1333" t="s">
        <v>1962</v>
      </c>
      <c r="R1333" t="s">
        <v>50</v>
      </c>
      <c r="S1333" t="s">
        <v>1670</v>
      </c>
      <c r="U1333" t="s">
        <v>1977</v>
      </c>
      <c r="V1333" t="s">
        <v>1984</v>
      </c>
      <c r="W1333" t="s">
        <v>266</v>
      </c>
      <c r="X1333">
        <v>412</v>
      </c>
      <c r="Y1333" t="s">
        <v>2009</v>
      </c>
      <c r="Z1333" t="s">
        <v>2027</v>
      </c>
      <c r="AB1333" t="s">
        <v>13996</v>
      </c>
      <c r="AD1333" t="s">
        <v>16432</v>
      </c>
      <c r="AE1333">
        <v>19</v>
      </c>
      <c r="AF1333" t="s">
        <v>2902</v>
      </c>
      <c r="AG1333" t="s">
        <v>1754</v>
      </c>
      <c r="AH1333">
        <v>12</v>
      </c>
      <c r="AI1333">
        <v>3</v>
      </c>
      <c r="AJ1333">
        <v>0</v>
      </c>
      <c r="AK1333">
        <v>48.76</v>
      </c>
      <c r="AN1333" t="s">
        <v>2926</v>
      </c>
      <c r="AO1333">
        <v>10400</v>
      </c>
      <c r="AP1333" t="s">
        <v>18273</v>
      </c>
      <c r="AU1333" t="s">
        <v>13051</v>
      </c>
      <c r="AW1333" t="s">
        <v>3059</v>
      </c>
      <c r="AX1333" t="s">
        <v>18685</v>
      </c>
    </row>
    <row r="1334" spans="1:50">
      <c r="A1334" s="1" t="s">
        <v>145</v>
      </c>
      <c r="B1334" t="s">
        <v>163</v>
      </c>
      <c r="C1334" t="s">
        <v>4544</v>
      </c>
      <c r="D1334" t="s">
        <v>326</v>
      </c>
      <c r="F1334" t="s">
        <v>662</v>
      </c>
      <c r="G1334" t="s">
        <v>921</v>
      </c>
      <c r="H1334" t="s">
        <v>1248</v>
      </c>
      <c r="I1334" t="s">
        <v>1520</v>
      </c>
      <c r="J1334" t="s">
        <v>1644</v>
      </c>
      <c r="K1334">
        <v>11213</v>
      </c>
      <c r="L1334" t="s">
        <v>1670</v>
      </c>
      <c r="M1334" t="s">
        <v>1670</v>
      </c>
      <c r="N1334" t="s">
        <v>1754</v>
      </c>
      <c r="O1334" t="s">
        <v>1946</v>
      </c>
      <c r="P1334" t="s">
        <v>1964</v>
      </c>
      <c r="R1334" t="s">
        <v>50</v>
      </c>
      <c r="S1334" t="s">
        <v>1670</v>
      </c>
      <c r="U1334" t="s">
        <v>1978</v>
      </c>
      <c r="W1334" t="s">
        <v>326</v>
      </c>
      <c r="X1334">
        <v>412</v>
      </c>
      <c r="Y1334" t="s">
        <v>2009</v>
      </c>
      <c r="Z1334" t="s">
        <v>2027</v>
      </c>
      <c r="AB1334" t="s">
        <v>13996</v>
      </c>
      <c r="AD1334" t="s">
        <v>16432</v>
      </c>
      <c r="AE1334">
        <v>19</v>
      </c>
      <c r="AF1334" t="s">
        <v>2902</v>
      </c>
      <c r="AG1334" t="s">
        <v>1754</v>
      </c>
      <c r="AH1334">
        <v>12</v>
      </c>
      <c r="AI1334">
        <v>3</v>
      </c>
      <c r="AJ1334">
        <v>0</v>
      </c>
      <c r="AK1334">
        <v>48.76</v>
      </c>
      <c r="AN1334" t="s">
        <v>2926</v>
      </c>
      <c r="AO1334">
        <v>10400</v>
      </c>
      <c r="AU1334">
        <v>6.5</v>
      </c>
      <c r="AV1334" t="s">
        <v>354</v>
      </c>
      <c r="AW1334" t="s">
        <v>3059</v>
      </c>
      <c r="AX1334" t="s">
        <v>18685</v>
      </c>
    </row>
    <row r="1335" spans="1:50">
      <c r="A1335" s="1" t="s">
        <v>145</v>
      </c>
      <c r="B1335" t="s">
        <v>163</v>
      </c>
      <c r="C1335" t="s">
        <v>4545</v>
      </c>
      <c r="D1335" t="s">
        <v>230</v>
      </c>
      <c r="F1335" t="s">
        <v>662</v>
      </c>
      <c r="G1335" t="s">
        <v>921</v>
      </c>
      <c r="H1335" t="s">
        <v>1248</v>
      </c>
      <c r="I1335" t="s">
        <v>1520</v>
      </c>
      <c r="J1335" t="s">
        <v>1644</v>
      </c>
      <c r="K1335">
        <v>11213</v>
      </c>
      <c r="L1335" t="s">
        <v>1670</v>
      </c>
      <c r="M1335" t="s">
        <v>1672</v>
      </c>
      <c r="N1335" t="s">
        <v>12207</v>
      </c>
      <c r="O1335" t="s">
        <v>1936</v>
      </c>
      <c r="P1335" t="s">
        <v>1960</v>
      </c>
      <c r="R1335" t="s">
        <v>50</v>
      </c>
      <c r="S1335" t="s">
        <v>1671</v>
      </c>
      <c r="U1335" t="s">
        <v>1972</v>
      </c>
      <c r="W1335" t="s">
        <v>249</v>
      </c>
      <c r="X1335">
        <v>412</v>
      </c>
      <c r="Y1335" t="s">
        <v>2009</v>
      </c>
      <c r="Z1335" t="s">
        <v>2027</v>
      </c>
      <c r="AB1335" t="s">
        <v>13996</v>
      </c>
      <c r="AC1335" t="s">
        <v>15153</v>
      </c>
      <c r="AD1335" t="s">
        <v>16432</v>
      </c>
      <c r="AE1335">
        <v>19</v>
      </c>
      <c r="AF1335" t="s">
        <v>2902</v>
      </c>
      <c r="AH1335">
        <v>12</v>
      </c>
      <c r="AI1335">
        <v>3</v>
      </c>
      <c r="AJ1335">
        <v>0</v>
      </c>
      <c r="AK1335">
        <v>48.76</v>
      </c>
      <c r="AN1335" t="s">
        <v>2926</v>
      </c>
      <c r="AO1335">
        <v>10400</v>
      </c>
      <c r="AU1335">
        <v>7.5</v>
      </c>
      <c r="AV1335" t="s">
        <v>393</v>
      </c>
      <c r="AW1335" t="s">
        <v>3060</v>
      </c>
      <c r="AX1335" t="s">
        <v>18685</v>
      </c>
    </row>
    <row r="1336" spans="1:50">
      <c r="A1336" s="1" t="s">
        <v>52</v>
      </c>
      <c r="B1336" t="s">
        <v>163</v>
      </c>
      <c r="C1336" t="s">
        <v>4546</v>
      </c>
      <c r="D1336" t="s">
        <v>208</v>
      </c>
      <c r="F1336" t="s">
        <v>6868</v>
      </c>
      <c r="G1336" t="s">
        <v>8416</v>
      </c>
      <c r="H1336" t="s">
        <v>9841</v>
      </c>
      <c r="I1336" t="s">
        <v>1549</v>
      </c>
      <c r="J1336" t="s">
        <v>1641</v>
      </c>
      <c r="K1336">
        <v>10459</v>
      </c>
      <c r="L1336" t="s">
        <v>1670</v>
      </c>
      <c r="M1336" t="s">
        <v>1670</v>
      </c>
      <c r="N1336" t="s">
        <v>12113</v>
      </c>
      <c r="O1336" t="s">
        <v>1940</v>
      </c>
      <c r="P1336" t="s">
        <v>1960</v>
      </c>
      <c r="R1336" t="s">
        <v>50</v>
      </c>
      <c r="S1336" t="s">
        <v>1671</v>
      </c>
      <c r="U1336" t="s">
        <v>1972</v>
      </c>
      <c r="V1336" t="s">
        <v>1987</v>
      </c>
      <c r="W1336" t="s">
        <v>208</v>
      </c>
      <c r="X1336">
        <v>915</v>
      </c>
      <c r="Y1336" t="s">
        <v>2006</v>
      </c>
      <c r="Z1336" t="s">
        <v>13055</v>
      </c>
      <c r="AB1336" t="s">
        <v>13839</v>
      </c>
      <c r="AE1336">
        <v>20</v>
      </c>
      <c r="AF1336" t="s">
        <v>2902</v>
      </c>
      <c r="AG1336" t="s">
        <v>1754</v>
      </c>
      <c r="AH1336">
        <v>23</v>
      </c>
      <c r="AI1336">
        <v>2</v>
      </c>
      <c r="AJ1336">
        <v>0</v>
      </c>
      <c r="AK1336">
        <v>49.08</v>
      </c>
      <c r="AN1336" t="s">
        <v>2927</v>
      </c>
      <c r="AO1336">
        <v>8300</v>
      </c>
      <c r="AU1336">
        <v>26.35</v>
      </c>
      <c r="AV1336" t="s">
        <v>397</v>
      </c>
      <c r="AW1336" t="s">
        <v>3068</v>
      </c>
      <c r="AX1336" t="s">
        <v>18685</v>
      </c>
    </row>
    <row r="1337" spans="1:50">
      <c r="A1337" s="1" t="s">
        <v>3146</v>
      </c>
      <c r="B1337" t="s">
        <v>163</v>
      </c>
      <c r="C1337" t="s">
        <v>4547</v>
      </c>
      <c r="D1337" t="s">
        <v>337</v>
      </c>
      <c r="F1337" t="s">
        <v>415</v>
      </c>
      <c r="G1337" t="s">
        <v>8520</v>
      </c>
      <c r="H1337" t="s">
        <v>9972</v>
      </c>
      <c r="I1337" t="s">
        <v>1475</v>
      </c>
      <c r="J1337" t="s">
        <v>1641</v>
      </c>
      <c r="K1337">
        <v>10460</v>
      </c>
      <c r="L1337" t="s">
        <v>1670</v>
      </c>
      <c r="M1337" t="s">
        <v>1672</v>
      </c>
      <c r="O1337" t="s">
        <v>1956</v>
      </c>
      <c r="P1337" t="s">
        <v>1959</v>
      </c>
      <c r="R1337" t="s">
        <v>50</v>
      </c>
      <c r="S1337" t="s">
        <v>1671</v>
      </c>
      <c r="U1337" t="s">
        <v>13033</v>
      </c>
      <c r="W1337" t="s">
        <v>1991</v>
      </c>
      <c r="X1337">
        <v>187</v>
      </c>
      <c r="Y1337" t="s">
        <v>2006</v>
      </c>
      <c r="Z1337" t="s">
        <v>2020</v>
      </c>
      <c r="AB1337" t="s">
        <v>13997</v>
      </c>
      <c r="AD1337" t="s">
        <v>16433</v>
      </c>
      <c r="AE1337">
        <v>23</v>
      </c>
      <c r="AF1337" t="s">
        <v>2902</v>
      </c>
      <c r="AG1337" t="s">
        <v>2922</v>
      </c>
      <c r="AH1337">
        <v>6</v>
      </c>
      <c r="AI1337">
        <v>2</v>
      </c>
      <c r="AJ1337">
        <v>0</v>
      </c>
      <c r="AK1337">
        <v>49.24</v>
      </c>
      <c r="AN1337" t="s">
        <v>2926</v>
      </c>
      <c r="AO1337">
        <v>8326.799999999999</v>
      </c>
      <c r="AU1337">
        <v>1</v>
      </c>
      <c r="AV1337" t="s">
        <v>337</v>
      </c>
      <c r="AW1337" t="s">
        <v>3146</v>
      </c>
      <c r="AX1337" t="s">
        <v>18685</v>
      </c>
    </row>
    <row r="1338" spans="1:50">
      <c r="A1338" s="1" t="s">
        <v>126</v>
      </c>
      <c r="B1338" t="s">
        <v>164</v>
      </c>
      <c r="C1338" t="s">
        <v>4548</v>
      </c>
      <c r="D1338" t="s">
        <v>366</v>
      </c>
      <c r="E1338" t="s">
        <v>341</v>
      </c>
      <c r="F1338" t="s">
        <v>689</v>
      </c>
      <c r="G1338" t="s">
        <v>8521</v>
      </c>
      <c r="H1338" t="s">
        <v>9973</v>
      </c>
      <c r="I1338" t="s">
        <v>1517</v>
      </c>
      <c r="J1338" t="s">
        <v>1641</v>
      </c>
      <c r="K1338">
        <v>10452</v>
      </c>
      <c r="L1338" t="s">
        <v>1670</v>
      </c>
      <c r="M1338" t="s">
        <v>1670</v>
      </c>
      <c r="N1338" t="s">
        <v>12208</v>
      </c>
      <c r="O1338" t="s">
        <v>1940</v>
      </c>
      <c r="P1338" t="s">
        <v>1958</v>
      </c>
      <c r="Q1338" t="s">
        <v>1965</v>
      </c>
      <c r="R1338" t="s">
        <v>50</v>
      </c>
      <c r="S1338" t="s">
        <v>1671</v>
      </c>
      <c r="U1338" t="s">
        <v>1972</v>
      </c>
      <c r="W1338" t="s">
        <v>218</v>
      </c>
      <c r="X1338" t="s">
        <v>13051</v>
      </c>
      <c r="Y1338" t="s">
        <v>2006</v>
      </c>
      <c r="Z1338" t="s">
        <v>2018</v>
      </c>
      <c r="AA1338" t="s">
        <v>2029</v>
      </c>
      <c r="AB1338" t="s">
        <v>13998</v>
      </c>
      <c r="AD1338" t="s">
        <v>16434</v>
      </c>
      <c r="AE1338">
        <v>283</v>
      </c>
      <c r="AF1338" t="s">
        <v>2902</v>
      </c>
      <c r="AH1338">
        <v>3</v>
      </c>
      <c r="AI1338">
        <v>1</v>
      </c>
      <c r="AJ1338">
        <v>0</v>
      </c>
      <c r="AK1338">
        <v>49.42</v>
      </c>
      <c r="AN1338" t="s">
        <v>2926</v>
      </c>
      <c r="AO1338">
        <v>6000</v>
      </c>
      <c r="AU1338">
        <v>5</v>
      </c>
      <c r="AV1338" t="s">
        <v>215</v>
      </c>
      <c r="AW1338" t="s">
        <v>3047</v>
      </c>
    </row>
    <row r="1339" spans="1:50">
      <c r="A1339" s="1" t="s">
        <v>94</v>
      </c>
      <c r="B1339" t="s">
        <v>163</v>
      </c>
      <c r="C1339" t="s">
        <v>4549</v>
      </c>
      <c r="D1339" t="s">
        <v>348</v>
      </c>
      <c r="F1339" t="s">
        <v>6937</v>
      </c>
      <c r="G1339" t="s">
        <v>8522</v>
      </c>
      <c r="H1339" t="s">
        <v>9407</v>
      </c>
      <c r="I1339" t="s">
        <v>1548</v>
      </c>
      <c r="J1339" t="s">
        <v>1643</v>
      </c>
      <c r="K1339">
        <v>10040</v>
      </c>
      <c r="L1339" t="s">
        <v>1670</v>
      </c>
      <c r="M1339" t="s">
        <v>1670</v>
      </c>
      <c r="O1339" t="s">
        <v>1938</v>
      </c>
      <c r="P1339" t="s">
        <v>1960</v>
      </c>
      <c r="R1339" t="s">
        <v>50</v>
      </c>
      <c r="S1339" t="s">
        <v>1670</v>
      </c>
      <c r="U1339" t="s">
        <v>1972</v>
      </c>
      <c r="W1339" t="s">
        <v>348</v>
      </c>
      <c r="X1339">
        <v>1155</v>
      </c>
      <c r="Y1339" t="s">
        <v>2008</v>
      </c>
      <c r="Z1339" t="s">
        <v>2016</v>
      </c>
      <c r="AB1339" t="s">
        <v>13118</v>
      </c>
      <c r="AC1339" t="s">
        <v>15154</v>
      </c>
      <c r="AD1339" t="s">
        <v>16435</v>
      </c>
      <c r="AE1339">
        <v>88</v>
      </c>
      <c r="AF1339" t="s">
        <v>2902</v>
      </c>
      <c r="AG1339" t="s">
        <v>1754</v>
      </c>
      <c r="AH1339">
        <v>8</v>
      </c>
      <c r="AI1339">
        <v>1</v>
      </c>
      <c r="AJ1339">
        <v>0</v>
      </c>
      <c r="AK1339">
        <v>49.42</v>
      </c>
      <c r="AN1339" t="s">
        <v>2926</v>
      </c>
      <c r="AO1339">
        <v>6000</v>
      </c>
      <c r="AU1339" t="s">
        <v>13051</v>
      </c>
      <c r="AW1339" t="s">
        <v>3042</v>
      </c>
    </row>
    <row r="1340" spans="1:50">
      <c r="A1340" s="1" t="s">
        <v>145</v>
      </c>
      <c r="B1340" t="s">
        <v>164</v>
      </c>
      <c r="C1340" t="s">
        <v>4550</v>
      </c>
      <c r="D1340" t="s">
        <v>3039</v>
      </c>
      <c r="E1340" t="s">
        <v>3039</v>
      </c>
      <c r="F1340" t="s">
        <v>7273</v>
      </c>
      <c r="G1340" t="s">
        <v>8523</v>
      </c>
      <c r="H1340" t="s">
        <v>9974</v>
      </c>
      <c r="I1340" t="s">
        <v>1539</v>
      </c>
      <c r="J1340" t="s">
        <v>1644</v>
      </c>
      <c r="K1340">
        <v>11212</v>
      </c>
      <c r="L1340" t="s">
        <v>1670</v>
      </c>
      <c r="M1340" t="s">
        <v>1672</v>
      </c>
      <c r="O1340" t="s">
        <v>1937</v>
      </c>
      <c r="P1340" t="s">
        <v>1962</v>
      </c>
      <c r="Q1340" t="s">
        <v>1968</v>
      </c>
      <c r="R1340" t="s">
        <v>50</v>
      </c>
      <c r="S1340" t="s">
        <v>1670</v>
      </c>
      <c r="U1340" t="s">
        <v>1972</v>
      </c>
      <c r="W1340" t="s">
        <v>269</v>
      </c>
      <c r="X1340">
        <v>1500</v>
      </c>
      <c r="Y1340" t="s">
        <v>2009</v>
      </c>
      <c r="Z1340" t="s">
        <v>2020</v>
      </c>
      <c r="AA1340" t="s">
        <v>2031</v>
      </c>
      <c r="AB1340" t="s">
        <v>13999</v>
      </c>
      <c r="AD1340" t="s">
        <v>16436</v>
      </c>
      <c r="AE1340">
        <v>6</v>
      </c>
      <c r="AF1340" t="s">
        <v>2902</v>
      </c>
      <c r="AH1340">
        <v>2</v>
      </c>
      <c r="AI1340">
        <v>2</v>
      </c>
      <c r="AJ1340">
        <v>0</v>
      </c>
      <c r="AK1340">
        <v>49.67</v>
      </c>
      <c r="AN1340" t="s">
        <v>2926</v>
      </c>
      <c r="AO1340">
        <v>8400</v>
      </c>
      <c r="AU1340">
        <v>0.5</v>
      </c>
      <c r="AV1340" t="s">
        <v>3039</v>
      </c>
      <c r="AW1340" t="s">
        <v>3060</v>
      </c>
      <c r="AX1340" t="s">
        <v>18685</v>
      </c>
    </row>
    <row r="1341" spans="1:50">
      <c r="A1341" s="1" t="s">
        <v>152</v>
      </c>
      <c r="B1341" t="s">
        <v>163</v>
      </c>
      <c r="C1341" t="s">
        <v>4551</v>
      </c>
      <c r="D1341" t="s">
        <v>328</v>
      </c>
      <c r="F1341" t="s">
        <v>7385</v>
      </c>
      <c r="G1341" t="s">
        <v>8524</v>
      </c>
      <c r="H1341" t="s">
        <v>9975</v>
      </c>
      <c r="J1341" t="s">
        <v>1644</v>
      </c>
      <c r="K1341">
        <v>11229</v>
      </c>
      <c r="L1341" t="s">
        <v>1670</v>
      </c>
      <c r="M1341" t="s">
        <v>1672</v>
      </c>
      <c r="O1341" t="s">
        <v>1675</v>
      </c>
      <c r="P1341" t="s">
        <v>1962</v>
      </c>
      <c r="R1341" t="s">
        <v>50</v>
      </c>
      <c r="S1341" t="s">
        <v>1671</v>
      </c>
      <c r="U1341" t="s">
        <v>1972</v>
      </c>
      <c r="W1341" t="s">
        <v>328</v>
      </c>
      <c r="X1341" t="s">
        <v>13051</v>
      </c>
      <c r="Y1341" t="s">
        <v>2008</v>
      </c>
      <c r="Z1341" t="s">
        <v>2016</v>
      </c>
      <c r="AB1341" t="s">
        <v>13499</v>
      </c>
      <c r="AE1341" t="s">
        <v>13051</v>
      </c>
      <c r="AF1341" t="s">
        <v>2904</v>
      </c>
      <c r="AG1341" t="s">
        <v>1754</v>
      </c>
      <c r="AH1341" t="s">
        <v>13051</v>
      </c>
      <c r="AI1341">
        <v>2</v>
      </c>
      <c r="AJ1341">
        <v>0</v>
      </c>
      <c r="AK1341">
        <v>49.67</v>
      </c>
      <c r="AN1341" t="s">
        <v>18038</v>
      </c>
      <c r="AO1341">
        <v>8400</v>
      </c>
      <c r="AU1341" t="s">
        <v>13051</v>
      </c>
      <c r="AW1341" t="s">
        <v>3048</v>
      </c>
      <c r="AX1341" t="s">
        <v>18685</v>
      </c>
    </row>
    <row r="1342" spans="1:50">
      <c r="A1342" s="1" t="s">
        <v>132</v>
      </c>
      <c r="B1342" t="s">
        <v>163</v>
      </c>
      <c r="C1342" t="s">
        <v>4552</v>
      </c>
      <c r="D1342" t="s">
        <v>365</v>
      </c>
      <c r="F1342" t="s">
        <v>7386</v>
      </c>
      <c r="G1342" t="s">
        <v>8525</v>
      </c>
      <c r="H1342" t="s">
        <v>1385</v>
      </c>
      <c r="I1342" t="s">
        <v>10957</v>
      </c>
      <c r="J1342" t="s">
        <v>1644</v>
      </c>
      <c r="K1342">
        <v>11213</v>
      </c>
      <c r="L1342" t="s">
        <v>1670</v>
      </c>
      <c r="M1342" t="s">
        <v>1670</v>
      </c>
      <c r="N1342" t="s">
        <v>1675</v>
      </c>
      <c r="O1342" t="s">
        <v>1937</v>
      </c>
      <c r="P1342" t="s">
        <v>1962</v>
      </c>
      <c r="R1342" t="s">
        <v>50</v>
      </c>
      <c r="S1342" t="s">
        <v>1670</v>
      </c>
      <c r="U1342" t="s">
        <v>1972</v>
      </c>
      <c r="W1342" t="s">
        <v>345</v>
      </c>
      <c r="X1342">
        <v>551</v>
      </c>
      <c r="Y1342" t="s">
        <v>2009</v>
      </c>
      <c r="Z1342" t="s">
        <v>2015</v>
      </c>
      <c r="AB1342" t="s">
        <v>14000</v>
      </c>
      <c r="AD1342" t="s">
        <v>16437</v>
      </c>
      <c r="AE1342">
        <v>6</v>
      </c>
      <c r="AF1342" t="s">
        <v>2902</v>
      </c>
      <c r="AG1342" t="s">
        <v>1754</v>
      </c>
      <c r="AH1342">
        <v>15</v>
      </c>
      <c r="AI1342">
        <v>2</v>
      </c>
      <c r="AJ1342">
        <v>0</v>
      </c>
      <c r="AK1342">
        <v>49.67</v>
      </c>
      <c r="AN1342" t="s">
        <v>2926</v>
      </c>
      <c r="AO1342">
        <v>8400</v>
      </c>
      <c r="AU1342" t="s">
        <v>13051</v>
      </c>
      <c r="AW1342" t="s">
        <v>3059</v>
      </c>
      <c r="AX1342" t="s">
        <v>18685</v>
      </c>
    </row>
    <row r="1343" spans="1:50">
      <c r="A1343" s="1" t="s">
        <v>132</v>
      </c>
      <c r="B1343" t="s">
        <v>163</v>
      </c>
      <c r="C1343" t="s">
        <v>4553</v>
      </c>
      <c r="D1343" t="s">
        <v>365</v>
      </c>
      <c r="F1343" t="s">
        <v>7386</v>
      </c>
      <c r="G1343" t="s">
        <v>8525</v>
      </c>
      <c r="H1343" t="s">
        <v>1385</v>
      </c>
      <c r="I1343" t="s">
        <v>10957</v>
      </c>
      <c r="J1343" t="s">
        <v>1644</v>
      </c>
      <c r="K1343">
        <v>11213</v>
      </c>
      <c r="L1343" t="s">
        <v>1670</v>
      </c>
      <c r="M1343" t="s">
        <v>1670</v>
      </c>
      <c r="N1343" t="s">
        <v>1687</v>
      </c>
      <c r="O1343" t="s">
        <v>1937</v>
      </c>
      <c r="P1343" t="s">
        <v>1962</v>
      </c>
      <c r="R1343" t="s">
        <v>50</v>
      </c>
      <c r="S1343" t="s">
        <v>1670</v>
      </c>
      <c r="U1343" t="s">
        <v>1972</v>
      </c>
      <c r="W1343" t="s">
        <v>255</v>
      </c>
      <c r="X1343">
        <v>551</v>
      </c>
      <c r="Y1343" t="s">
        <v>2009</v>
      </c>
      <c r="Z1343" t="s">
        <v>2015</v>
      </c>
      <c r="AB1343" t="s">
        <v>14000</v>
      </c>
      <c r="AD1343" t="s">
        <v>16437</v>
      </c>
      <c r="AE1343">
        <v>6</v>
      </c>
      <c r="AF1343" t="s">
        <v>2902</v>
      </c>
      <c r="AG1343" t="s">
        <v>1754</v>
      </c>
      <c r="AH1343">
        <v>15</v>
      </c>
      <c r="AI1343">
        <v>2</v>
      </c>
      <c r="AJ1343">
        <v>0</v>
      </c>
      <c r="AK1343">
        <v>49.67</v>
      </c>
      <c r="AN1343" t="s">
        <v>2926</v>
      </c>
      <c r="AO1343">
        <v>8400</v>
      </c>
      <c r="AP1343" t="s">
        <v>18274</v>
      </c>
      <c r="AU1343">
        <v>1.5</v>
      </c>
      <c r="AV1343" t="s">
        <v>18647</v>
      </c>
      <c r="AW1343" t="s">
        <v>3059</v>
      </c>
      <c r="AX1343" t="s">
        <v>18685</v>
      </c>
    </row>
    <row r="1344" spans="1:50">
      <c r="A1344" s="1" t="s">
        <v>132</v>
      </c>
      <c r="B1344" t="s">
        <v>163</v>
      </c>
      <c r="C1344" t="s">
        <v>4554</v>
      </c>
      <c r="D1344" t="s">
        <v>365</v>
      </c>
      <c r="F1344" t="s">
        <v>7386</v>
      </c>
      <c r="G1344" t="s">
        <v>8525</v>
      </c>
      <c r="H1344" t="s">
        <v>1385</v>
      </c>
      <c r="I1344" t="s">
        <v>10957</v>
      </c>
      <c r="J1344" t="s">
        <v>1644</v>
      </c>
      <c r="K1344">
        <v>11213</v>
      </c>
      <c r="L1344" t="s">
        <v>1670</v>
      </c>
      <c r="M1344" t="s">
        <v>1670</v>
      </c>
      <c r="N1344" t="s">
        <v>12014</v>
      </c>
      <c r="O1344" t="s">
        <v>1938</v>
      </c>
      <c r="P1344" t="s">
        <v>1961</v>
      </c>
      <c r="R1344" t="s">
        <v>50</v>
      </c>
      <c r="S1344" t="s">
        <v>1670</v>
      </c>
      <c r="U1344" t="s">
        <v>1972</v>
      </c>
      <c r="W1344" t="s">
        <v>266</v>
      </c>
      <c r="X1344">
        <v>551</v>
      </c>
      <c r="Y1344" t="s">
        <v>2009</v>
      </c>
      <c r="Z1344" t="s">
        <v>2015</v>
      </c>
      <c r="AB1344" t="s">
        <v>14000</v>
      </c>
      <c r="AD1344" t="s">
        <v>16437</v>
      </c>
      <c r="AE1344">
        <v>6</v>
      </c>
      <c r="AF1344" t="s">
        <v>2902</v>
      </c>
      <c r="AG1344" t="s">
        <v>1754</v>
      </c>
      <c r="AH1344">
        <v>15</v>
      </c>
      <c r="AI1344">
        <v>2</v>
      </c>
      <c r="AJ1344">
        <v>0</v>
      </c>
      <c r="AK1344">
        <v>49.67</v>
      </c>
      <c r="AN1344" t="s">
        <v>2926</v>
      </c>
      <c r="AO1344">
        <v>8400</v>
      </c>
      <c r="AP1344" t="s">
        <v>18274</v>
      </c>
      <c r="AU1344" t="s">
        <v>13051</v>
      </c>
      <c r="AW1344" t="s">
        <v>3059</v>
      </c>
      <c r="AX1344" t="s">
        <v>18685</v>
      </c>
    </row>
    <row r="1345" spans="1:50">
      <c r="A1345" s="1" t="s">
        <v>132</v>
      </c>
      <c r="B1345" t="s">
        <v>163</v>
      </c>
      <c r="C1345" t="s">
        <v>4555</v>
      </c>
      <c r="D1345" t="s">
        <v>365</v>
      </c>
      <c r="F1345" t="s">
        <v>7386</v>
      </c>
      <c r="G1345" t="s">
        <v>8525</v>
      </c>
      <c r="H1345" t="s">
        <v>1385</v>
      </c>
      <c r="I1345" t="s">
        <v>10957</v>
      </c>
      <c r="J1345" t="s">
        <v>1644</v>
      </c>
      <c r="K1345">
        <v>11213</v>
      </c>
      <c r="L1345" t="s">
        <v>1670</v>
      </c>
      <c r="M1345" t="s">
        <v>1670</v>
      </c>
      <c r="N1345" t="s">
        <v>1871</v>
      </c>
      <c r="O1345" t="s">
        <v>1939</v>
      </c>
      <c r="P1345" t="s">
        <v>1960</v>
      </c>
      <c r="R1345" t="s">
        <v>50</v>
      </c>
      <c r="S1345" t="s">
        <v>1670</v>
      </c>
      <c r="U1345" t="s">
        <v>1972</v>
      </c>
      <c r="W1345" t="s">
        <v>266</v>
      </c>
      <c r="X1345">
        <v>551</v>
      </c>
      <c r="Y1345" t="s">
        <v>2009</v>
      </c>
      <c r="Z1345" t="s">
        <v>2015</v>
      </c>
      <c r="AB1345" t="s">
        <v>14000</v>
      </c>
      <c r="AD1345" t="s">
        <v>16437</v>
      </c>
      <c r="AE1345">
        <v>6</v>
      </c>
      <c r="AF1345" t="s">
        <v>2902</v>
      </c>
      <c r="AG1345" t="s">
        <v>1754</v>
      </c>
      <c r="AH1345">
        <v>15</v>
      </c>
      <c r="AI1345">
        <v>2</v>
      </c>
      <c r="AJ1345">
        <v>0</v>
      </c>
      <c r="AK1345">
        <v>49.67</v>
      </c>
      <c r="AN1345" t="s">
        <v>2926</v>
      </c>
      <c r="AO1345">
        <v>8400</v>
      </c>
      <c r="AP1345" t="s">
        <v>18274</v>
      </c>
      <c r="AU1345">
        <v>12</v>
      </c>
      <c r="AV1345" t="s">
        <v>396</v>
      </c>
      <c r="AW1345" t="s">
        <v>3059</v>
      </c>
      <c r="AX1345" t="s">
        <v>18685</v>
      </c>
    </row>
    <row r="1346" spans="1:50">
      <c r="A1346" s="1" t="s">
        <v>88</v>
      </c>
      <c r="B1346" t="s">
        <v>163</v>
      </c>
      <c r="C1346" t="s">
        <v>4556</v>
      </c>
      <c r="D1346" t="s">
        <v>364</v>
      </c>
      <c r="F1346" t="s">
        <v>7386</v>
      </c>
      <c r="G1346" t="s">
        <v>8525</v>
      </c>
      <c r="H1346" t="s">
        <v>1385</v>
      </c>
      <c r="I1346" t="s">
        <v>10957</v>
      </c>
      <c r="J1346" t="s">
        <v>1644</v>
      </c>
      <c r="K1346">
        <v>11213</v>
      </c>
      <c r="L1346" t="s">
        <v>1670</v>
      </c>
      <c r="M1346" t="s">
        <v>1672</v>
      </c>
      <c r="N1346" t="s">
        <v>12209</v>
      </c>
      <c r="O1346" t="s">
        <v>1936</v>
      </c>
      <c r="P1346" t="s">
        <v>1960</v>
      </c>
      <c r="R1346" t="s">
        <v>50</v>
      </c>
      <c r="S1346" t="s">
        <v>1671</v>
      </c>
      <c r="U1346" t="s">
        <v>1972</v>
      </c>
      <c r="V1346" t="s">
        <v>1984</v>
      </c>
      <c r="W1346" t="s">
        <v>327</v>
      </c>
      <c r="X1346">
        <v>551</v>
      </c>
      <c r="Y1346" t="s">
        <v>2009</v>
      </c>
      <c r="Z1346" t="s">
        <v>2020</v>
      </c>
      <c r="AB1346" t="s">
        <v>14000</v>
      </c>
      <c r="AC1346" t="s">
        <v>1691</v>
      </c>
      <c r="AD1346" t="s">
        <v>16437</v>
      </c>
      <c r="AE1346">
        <v>6</v>
      </c>
      <c r="AF1346" t="s">
        <v>2902</v>
      </c>
      <c r="AG1346" t="s">
        <v>1754</v>
      </c>
      <c r="AH1346">
        <v>15</v>
      </c>
      <c r="AI1346">
        <v>2</v>
      </c>
      <c r="AJ1346">
        <v>0</v>
      </c>
      <c r="AK1346">
        <v>49.67</v>
      </c>
      <c r="AN1346" t="s">
        <v>2926</v>
      </c>
      <c r="AO1346">
        <v>8400</v>
      </c>
      <c r="AP1346" t="s">
        <v>18274</v>
      </c>
      <c r="AU1346">
        <v>19.3</v>
      </c>
      <c r="AV1346" t="s">
        <v>3030</v>
      </c>
      <c r="AW1346" t="s">
        <v>3060</v>
      </c>
      <c r="AX1346" t="s">
        <v>18685</v>
      </c>
    </row>
    <row r="1347" spans="1:50">
      <c r="A1347" s="1" t="s">
        <v>145</v>
      </c>
      <c r="B1347" t="s">
        <v>163</v>
      </c>
      <c r="C1347" t="s">
        <v>4557</v>
      </c>
      <c r="D1347" t="s">
        <v>3039</v>
      </c>
      <c r="F1347" t="s">
        <v>7273</v>
      </c>
      <c r="G1347" t="s">
        <v>8523</v>
      </c>
      <c r="H1347" t="s">
        <v>9974</v>
      </c>
      <c r="I1347" t="s">
        <v>1539</v>
      </c>
      <c r="J1347" t="s">
        <v>1644</v>
      </c>
      <c r="K1347">
        <v>11212</v>
      </c>
      <c r="L1347" t="s">
        <v>1670</v>
      </c>
      <c r="M1347" t="s">
        <v>1672</v>
      </c>
      <c r="N1347" t="s">
        <v>12210</v>
      </c>
      <c r="O1347" t="s">
        <v>1952</v>
      </c>
      <c r="P1347" t="s">
        <v>1960</v>
      </c>
      <c r="R1347" t="s">
        <v>50</v>
      </c>
      <c r="U1347" t="s">
        <v>1972</v>
      </c>
      <c r="V1347" t="s">
        <v>1984</v>
      </c>
      <c r="W1347" t="s">
        <v>249</v>
      </c>
      <c r="X1347">
        <v>1500</v>
      </c>
      <c r="Y1347" t="s">
        <v>2009</v>
      </c>
      <c r="Z1347" t="s">
        <v>2020</v>
      </c>
      <c r="AB1347" t="s">
        <v>13999</v>
      </c>
      <c r="AD1347" t="s">
        <v>16436</v>
      </c>
      <c r="AE1347">
        <v>6</v>
      </c>
      <c r="AF1347" t="s">
        <v>2902</v>
      </c>
      <c r="AH1347">
        <v>2</v>
      </c>
      <c r="AI1347">
        <v>2</v>
      </c>
      <c r="AJ1347">
        <v>0</v>
      </c>
      <c r="AK1347">
        <v>49.67</v>
      </c>
      <c r="AN1347" t="s">
        <v>2926</v>
      </c>
      <c r="AO1347">
        <v>8400</v>
      </c>
      <c r="AU1347">
        <v>0.5</v>
      </c>
      <c r="AV1347" t="s">
        <v>1995</v>
      </c>
      <c r="AW1347" t="s">
        <v>3060</v>
      </c>
      <c r="AX1347" t="s">
        <v>18685</v>
      </c>
    </row>
    <row r="1348" spans="1:50">
      <c r="A1348" s="1" t="s">
        <v>143</v>
      </c>
      <c r="B1348" t="s">
        <v>163</v>
      </c>
      <c r="C1348" t="s">
        <v>4558</v>
      </c>
      <c r="D1348" t="s">
        <v>189</v>
      </c>
      <c r="F1348" t="s">
        <v>6955</v>
      </c>
      <c r="G1348" t="s">
        <v>8526</v>
      </c>
      <c r="H1348" t="s">
        <v>9976</v>
      </c>
      <c r="I1348" t="s">
        <v>1575</v>
      </c>
      <c r="J1348" t="s">
        <v>1644</v>
      </c>
      <c r="K1348">
        <v>11221</v>
      </c>
      <c r="L1348" t="s">
        <v>1670</v>
      </c>
      <c r="M1348" t="s">
        <v>1670</v>
      </c>
      <c r="N1348" t="s">
        <v>12211</v>
      </c>
      <c r="O1348" t="s">
        <v>1936</v>
      </c>
      <c r="P1348" t="s">
        <v>1960</v>
      </c>
      <c r="R1348" t="s">
        <v>50</v>
      </c>
      <c r="S1348" t="s">
        <v>1671</v>
      </c>
      <c r="U1348" t="s">
        <v>1972</v>
      </c>
      <c r="V1348" t="s">
        <v>1984</v>
      </c>
      <c r="W1348" t="s">
        <v>266</v>
      </c>
      <c r="X1348">
        <v>1050</v>
      </c>
      <c r="Y1348" t="s">
        <v>2009</v>
      </c>
      <c r="AB1348" t="s">
        <v>14001</v>
      </c>
      <c r="AC1348" t="s">
        <v>15155</v>
      </c>
      <c r="AD1348" t="s">
        <v>16438</v>
      </c>
      <c r="AE1348" t="s">
        <v>13051</v>
      </c>
      <c r="AF1348" t="s">
        <v>2902</v>
      </c>
      <c r="AG1348" t="s">
        <v>2915</v>
      </c>
      <c r="AH1348">
        <v>15</v>
      </c>
      <c r="AI1348">
        <v>2</v>
      </c>
      <c r="AJ1348">
        <v>0</v>
      </c>
      <c r="AK1348">
        <v>49.75</v>
      </c>
      <c r="AO1348">
        <v>8412</v>
      </c>
      <c r="AU1348">
        <v>16.5</v>
      </c>
      <c r="AV1348" t="s">
        <v>230</v>
      </c>
      <c r="AW1348" t="s">
        <v>3060</v>
      </c>
    </row>
    <row r="1349" spans="1:50">
      <c r="A1349" s="1" t="s">
        <v>132</v>
      </c>
      <c r="B1349" t="s">
        <v>164</v>
      </c>
      <c r="C1349" t="s">
        <v>4559</v>
      </c>
      <c r="D1349" t="s">
        <v>373</v>
      </c>
      <c r="E1349" t="s">
        <v>394</v>
      </c>
      <c r="F1349" t="s">
        <v>662</v>
      </c>
      <c r="G1349" t="s">
        <v>921</v>
      </c>
      <c r="H1349" t="s">
        <v>1248</v>
      </c>
      <c r="I1349" t="s">
        <v>1520</v>
      </c>
      <c r="J1349" t="s">
        <v>1644</v>
      </c>
      <c r="K1349">
        <v>11213</v>
      </c>
      <c r="L1349" t="s">
        <v>1670</v>
      </c>
      <c r="M1349" t="s">
        <v>1670</v>
      </c>
      <c r="O1349" t="s">
        <v>1937</v>
      </c>
      <c r="P1349" t="s">
        <v>1962</v>
      </c>
      <c r="Q1349" t="s">
        <v>1968</v>
      </c>
      <c r="R1349" t="s">
        <v>50</v>
      </c>
      <c r="S1349" t="s">
        <v>1670</v>
      </c>
      <c r="U1349" t="s">
        <v>1972</v>
      </c>
      <c r="W1349" t="s">
        <v>323</v>
      </c>
      <c r="X1349">
        <v>412</v>
      </c>
      <c r="Y1349" t="s">
        <v>2009</v>
      </c>
      <c r="Z1349" t="s">
        <v>2027</v>
      </c>
      <c r="AA1349" t="s">
        <v>2031</v>
      </c>
      <c r="AB1349" t="s">
        <v>13996</v>
      </c>
      <c r="AD1349" t="s">
        <v>16432</v>
      </c>
      <c r="AE1349">
        <v>19</v>
      </c>
      <c r="AF1349" t="s">
        <v>2902</v>
      </c>
      <c r="AH1349">
        <v>12</v>
      </c>
      <c r="AI1349">
        <v>3</v>
      </c>
      <c r="AJ1349">
        <v>0</v>
      </c>
      <c r="AK1349">
        <v>50.05</v>
      </c>
      <c r="AN1349" t="s">
        <v>2926</v>
      </c>
      <c r="AO1349">
        <v>10400</v>
      </c>
      <c r="AU1349">
        <v>0.08</v>
      </c>
      <c r="AV1349" t="s">
        <v>332</v>
      </c>
      <c r="AW1349" t="s">
        <v>3059</v>
      </c>
    </row>
    <row r="1350" spans="1:50">
      <c r="A1350" s="1" t="s">
        <v>132</v>
      </c>
      <c r="B1350" t="s">
        <v>163</v>
      </c>
      <c r="C1350" t="s">
        <v>4560</v>
      </c>
      <c r="D1350" t="s">
        <v>176</v>
      </c>
      <c r="F1350" t="s">
        <v>662</v>
      </c>
      <c r="G1350" t="s">
        <v>921</v>
      </c>
      <c r="H1350" t="s">
        <v>1248</v>
      </c>
      <c r="I1350" t="s">
        <v>1520</v>
      </c>
      <c r="J1350" t="s">
        <v>1644</v>
      </c>
      <c r="K1350">
        <v>11213</v>
      </c>
      <c r="L1350" t="s">
        <v>1670</v>
      </c>
      <c r="M1350" t="s">
        <v>1670</v>
      </c>
      <c r="N1350" t="s">
        <v>1754</v>
      </c>
      <c r="O1350" t="s">
        <v>1938</v>
      </c>
      <c r="P1350" t="s">
        <v>1961</v>
      </c>
      <c r="R1350" t="s">
        <v>50</v>
      </c>
      <c r="S1350" t="s">
        <v>1670</v>
      </c>
      <c r="U1350" t="s">
        <v>1972</v>
      </c>
      <c r="W1350" t="s">
        <v>323</v>
      </c>
      <c r="X1350">
        <v>412</v>
      </c>
      <c r="Y1350" t="s">
        <v>2009</v>
      </c>
      <c r="Z1350" t="s">
        <v>2027</v>
      </c>
      <c r="AB1350" t="s">
        <v>13996</v>
      </c>
      <c r="AD1350" t="s">
        <v>16432</v>
      </c>
      <c r="AE1350">
        <v>19</v>
      </c>
      <c r="AF1350" t="s">
        <v>2902</v>
      </c>
      <c r="AH1350">
        <v>12</v>
      </c>
      <c r="AI1350">
        <v>3</v>
      </c>
      <c r="AJ1350">
        <v>0</v>
      </c>
      <c r="AK1350">
        <v>50.05</v>
      </c>
      <c r="AN1350" t="s">
        <v>2926</v>
      </c>
      <c r="AO1350">
        <v>10400</v>
      </c>
      <c r="AU1350" t="s">
        <v>13051</v>
      </c>
      <c r="AW1350" t="s">
        <v>3059</v>
      </c>
    </row>
    <row r="1351" spans="1:50">
      <c r="A1351" s="1" t="s">
        <v>57</v>
      </c>
      <c r="B1351" t="s">
        <v>163</v>
      </c>
      <c r="C1351" t="s">
        <v>4561</v>
      </c>
      <c r="D1351" t="s">
        <v>2002</v>
      </c>
      <c r="F1351" t="s">
        <v>488</v>
      </c>
      <c r="G1351" t="s">
        <v>911</v>
      </c>
      <c r="H1351" t="s">
        <v>1193</v>
      </c>
      <c r="I1351" t="s">
        <v>1548</v>
      </c>
      <c r="J1351" t="s">
        <v>1641</v>
      </c>
      <c r="K1351">
        <v>10456</v>
      </c>
      <c r="L1351" t="s">
        <v>1670</v>
      </c>
      <c r="M1351" t="s">
        <v>1670</v>
      </c>
      <c r="N1351" t="s">
        <v>1735</v>
      </c>
      <c r="O1351" t="s">
        <v>1938</v>
      </c>
      <c r="P1351" t="s">
        <v>1961</v>
      </c>
      <c r="R1351" t="s">
        <v>50</v>
      </c>
      <c r="S1351" t="s">
        <v>1670</v>
      </c>
      <c r="U1351" t="s">
        <v>1972</v>
      </c>
      <c r="W1351" t="s">
        <v>1992</v>
      </c>
      <c r="X1351">
        <v>1380</v>
      </c>
      <c r="Y1351" t="s">
        <v>2006</v>
      </c>
      <c r="Z1351" t="s">
        <v>2015</v>
      </c>
      <c r="AB1351" t="s">
        <v>14002</v>
      </c>
      <c r="AD1351" t="s">
        <v>16439</v>
      </c>
      <c r="AE1351">
        <v>61</v>
      </c>
      <c r="AF1351" t="s">
        <v>2902</v>
      </c>
      <c r="AG1351" t="s">
        <v>2915</v>
      </c>
      <c r="AH1351">
        <v>17</v>
      </c>
      <c r="AI1351">
        <v>3</v>
      </c>
      <c r="AJ1351">
        <v>0</v>
      </c>
      <c r="AK1351">
        <v>50.05</v>
      </c>
      <c r="AN1351" t="s">
        <v>2927</v>
      </c>
      <c r="AO1351">
        <v>10400</v>
      </c>
      <c r="AU1351" t="s">
        <v>13051</v>
      </c>
      <c r="AW1351" t="s">
        <v>3047</v>
      </c>
    </row>
    <row r="1352" spans="1:50">
      <c r="A1352" s="1" t="s">
        <v>132</v>
      </c>
      <c r="B1352" t="s">
        <v>163</v>
      </c>
      <c r="C1352" t="s">
        <v>4562</v>
      </c>
      <c r="D1352" t="s">
        <v>373</v>
      </c>
      <c r="F1352" t="s">
        <v>662</v>
      </c>
      <c r="G1352" t="s">
        <v>921</v>
      </c>
      <c r="H1352" t="s">
        <v>1248</v>
      </c>
      <c r="I1352" t="s">
        <v>1520</v>
      </c>
      <c r="J1352" t="s">
        <v>1644</v>
      </c>
      <c r="K1352">
        <v>11213</v>
      </c>
      <c r="L1352" t="s">
        <v>1670</v>
      </c>
      <c r="M1352" t="s">
        <v>1670</v>
      </c>
      <c r="N1352" t="s">
        <v>1813</v>
      </c>
      <c r="O1352" t="s">
        <v>1939</v>
      </c>
      <c r="P1352" t="s">
        <v>1960</v>
      </c>
      <c r="R1352" t="s">
        <v>50</v>
      </c>
      <c r="S1352" t="s">
        <v>1670</v>
      </c>
      <c r="U1352" t="s">
        <v>1972</v>
      </c>
      <c r="W1352" t="s">
        <v>323</v>
      </c>
      <c r="X1352">
        <v>412</v>
      </c>
      <c r="Y1352" t="s">
        <v>2009</v>
      </c>
      <c r="Z1352" t="s">
        <v>2027</v>
      </c>
      <c r="AB1352" t="s">
        <v>13996</v>
      </c>
      <c r="AD1352" t="s">
        <v>16432</v>
      </c>
      <c r="AE1352">
        <v>19</v>
      </c>
      <c r="AF1352" t="s">
        <v>2902</v>
      </c>
      <c r="AH1352">
        <v>12</v>
      </c>
      <c r="AI1352">
        <v>3</v>
      </c>
      <c r="AJ1352">
        <v>0</v>
      </c>
      <c r="AK1352">
        <v>50.05</v>
      </c>
      <c r="AN1352" t="s">
        <v>2926</v>
      </c>
      <c r="AO1352">
        <v>10400</v>
      </c>
      <c r="AU1352" t="s">
        <v>13051</v>
      </c>
      <c r="AW1352" t="s">
        <v>3059</v>
      </c>
    </row>
    <row r="1353" spans="1:50">
      <c r="A1353" s="1" t="s">
        <v>64</v>
      </c>
      <c r="B1353" t="s">
        <v>164</v>
      </c>
      <c r="C1353" t="s">
        <v>4563</v>
      </c>
      <c r="D1353" t="s">
        <v>305</v>
      </c>
      <c r="E1353" t="s">
        <v>261</v>
      </c>
      <c r="F1353" t="s">
        <v>427</v>
      </c>
      <c r="G1353" t="s">
        <v>8527</v>
      </c>
      <c r="H1353" t="s">
        <v>9977</v>
      </c>
      <c r="I1353" t="s">
        <v>1487</v>
      </c>
      <c r="J1353" t="s">
        <v>1643</v>
      </c>
      <c r="K1353">
        <v>10034</v>
      </c>
      <c r="L1353" t="s">
        <v>1670</v>
      </c>
      <c r="M1353" t="s">
        <v>1670</v>
      </c>
      <c r="O1353" t="s">
        <v>1936</v>
      </c>
      <c r="P1353" t="s">
        <v>1958</v>
      </c>
      <c r="Q1353" t="s">
        <v>1965</v>
      </c>
      <c r="R1353" t="s">
        <v>50</v>
      </c>
      <c r="S1353" t="s">
        <v>1671</v>
      </c>
      <c r="U1353" t="s">
        <v>1972</v>
      </c>
      <c r="W1353" t="s">
        <v>305</v>
      </c>
      <c r="X1353">
        <v>828.3099999999999</v>
      </c>
      <c r="Y1353" t="s">
        <v>2008</v>
      </c>
      <c r="Z1353" t="s">
        <v>2013</v>
      </c>
      <c r="AA1353" t="s">
        <v>2029</v>
      </c>
      <c r="AB1353" t="s">
        <v>14003</v>
      </c>
      <c r="AD1353" t="s">
        <v>16440</v>
      </c>
      <c r="AE1353">
        <v>40</v>
      </c>
      <c r="AF1353" t="s">
        <v>2902</v>
      </c>
      <c r="AG1353" t="s">
        <v>2919</v>
      </c>
      <c r="AH1353">
        <v>44</v>
      </c>
      <c r="AI1353">
        <v>1</v>
      </c>
      <c r="AJ1353">
        <v>0</v>
      </c>
      <c r="AK1353">
        <v>50.33</v>
      </c>
      <c r="AN1353" t="s">
        <v>2926</v>
      </c>
      <c r="AO1353">
        <v>6110.4</v>
      </c>
      <c r="AU1353">
        <v>0.1</v>
      </c>
      <c r="AV1353" t="s">
        <v>360</v>
      </c>
      <c r="AW1353" t="s">
        <v>3042</v>
      </c>
    </row>
    <row r="1354" spans="1:50">
      <c r="A1354" s="1" t="s">
        <v>101</v>
      </c>
      <c r="B1354" t="s">
        <v>163</v>
      </c>
      <c r="C1354" t="s">
        <v>4564</v>
      </c>
      <c r="D1354" t="s">
        <v>308</v>
      </c>
      <c r="F1354" t="s">
        <v>429</v>
      </c>
      <c r="G1354" t="s">
        <v>8528</v>
      </c>
      <c r="H1354" t="s">
        <v>9978</v>
      </c>
      <c r="I1354">
        <v>805</v>
      </c>
      <c r="J1354" t="s">
        <v>1643</v>
      </c>
      <c r="K1354">
        <v>10029</v>
      </c>
      <c r="L1354" t="s">
        <v>1670</v>
      </c>
      <c r="M1354" t="s">
        <v>1670</v>
      </c>
      <c r="N1354" t="s">
        <v>12212</v>
      </c>
      <c r="O1354" t="s">
        <v>1940</v>
      </c>
      <c r="P1354" t="s">
        <v>1960</v>
      </c>
      <c r="R1354" t="s">
        <v>50</v>
      </c>
      <c r="S1354" t="s">
        <v>1671</v>
      </c>
      <c r="U1354" t="s">
        <v>1972</v>
      </c>
      <c r="V1354" t="s">
        <v>1984</v>
      </c>
      <c r="W1354" t="s">
        <v>311</v>
      </c>
      <c r="X1354">
        <v>1600</v>
      </c>
      <c r="Y1354" t="s">
        <v>2008</v>
      </c>
      <c r="Z1354" t="s">
        <v>13055</v>
      </c>
      <c r="AB1354" t="s">
        <v>14004</v>
      </c>
      <c r="AD1354" t="s">
        <v>16441</v>
      </c>
      <c r="AE1354">
        <v>259</v>
      </c>
      <c r="AF1354" t="s">
        <v>2902</v>
      </c>
      <c r="AG1354" t="s">
        <v>2915</v>
      </c>
      <c r="AH1354">
        <v>5</v>
      </c>
      <c r="AI1354">
        <v>2</v>
      </c>
      <c r="AJ1354">
        <v>0</v>
      </c>
      <c r="AK1354">
        <v>50.35</v>
      </c>
      <c r="AN1354" t="s">
        <v>2926</v>
      </c>
      <c r="AO1354">
        <v>8288</v>
      </c>
      <c r="AP1354" t="s">
        <v>18257</v>
      </c>
      <c r="AU1354">
        <v>34.28</v>
      </c>
      <c r="AV1354" t="s">
        <v>268</v>
      </c>
      <c r="AW1354" t="s">
        <v>3052</v>
      </c>
      <c r="AX1354" t="s">
        <v>18685</v>
      </c>
    </row>
    <row r="1355" spans="1:50">
      <c r="A1355" s="1" t="s">
        <v>88</v>
      </c>
      <c r="B1355" t="s">
        <v>163</v>
      </c>
      <c r="C1355" t="s">
        <v>4565</v>
      </c>
      <c r="D1355" t="s">
        <v>243</v>
      </c>
      <c r="F1355" t="s">
        <v>7386</v>
      </c>
      <c r="G1355" t="s">
        <v>8525</v>
      </c>
      <c r="H1355" t="s">
        <v>1385</v>
      </c>
      <c r="J1355" t="s">
        <v>1644</v>
      </c>
      <c r="K1355">
        <v>11213</v>
      </c>
      <c r="L1355" t="s">
        <v>1670</v>
      </c>
      <c r="M1355" t="s">
        <v>1670</v>
      </c>
      <c r="O1355" t="s">
        <v>1939</v>
      </c>
      <c r="P1355" t="s">
        <v>1960</v>
      </c>
      <c r="R1355" t="s">
        <v>50</v>
      </c>
      <c r="S1355" t="s">
        <v>1671</v>
      </c>
      <c r="U1355" t="s">
        <v>1972</v>
      </c>
      <c r="W1355" t="s">
        <v>345</v>
      </c>
      <c r="X1355">
        <v>551</v>
      </c>
      <c r="Y1355" t="s">
        <v>2009</v>
      </c>
      <c r="AB1355" t="s">
        <v>14000</v>
      </c>
      <c r="AD1355" t="s">
        <v>16437</v>
      </c>
      <c r="AE1355">
        <v>6</v>
      </c>
      <c r="AF1355" t="s">
        <v>2902</v>
      </c>
      <c r="AG1355" t="s">
        <v>1754</v>
      </c>
      <c r="AH1355">
        <v>15</v>
      </c>
      <c r="AI1355">
        <v>2</v>
      </c>
      <c r="AJ1355">
        <v>0</v>
      </c>
      <c r="AK1355">
        <v>51.03</v>
      </c>
      <c r="AN1355" t="s">
        <v>2926</v>
      </c>
      <c r="AO1355">
        <v>8400</v>
      </c>
      <c r="AU1355">
        <v>123.05</v>
      </c>
      <c r="AV1355" t="s">
        <v>3035</v>
      </c>
      <c r="AW1355" t="s">
        <v>3059</v>
      </c>
    </row>
    <row r="1356" spans="1:50">
      <c r="A1356" s="1" t="s">
        <v>100</v>
      </c>
      <c r="B1356" t="s">
        <v>164</v>
      </c>
      <c r="C1356" t="s">
        <v>4566</v>
      </c>
      <c r="D1356" t="s">
        <v>170</v>
      </c>
      <c r="E1356" t="s">
        <v>354</v>
      </c>
      <c r="F1356" t="s">
        <v>567</v>
      </c>
      <c r="G1356" t="s">
        <v>8529</v>
      </c>
      <c r="H1356" t="s">
        <v>9979</v>
      </c>
      <c r="I1356" t="s">
        <v>1525</v>
      </c>
      <c r="J1356" t="s">
        <v>1643</v>
      </c>
      <c r="K1356">
        <v>10040</v>
      </c>
      <c r="L1356" t="s">
        <v>1670</v>
      </c>
      <c r="M1356" t="s">
        <v>1670</v>
      </c>
      <c r="P1356" t="s">
        <v>1958</v>
      </c>
      <c r="Q1356" t="s">
        <v>1965</v>
      </c>
      <c r="R1356" t="s">
        <v>50</v>
      </c>
      <c r="S1356" t="s">
        <v>1671</v>
      </c>
      <c r="U1356" t="s">
        <v>1972</v>
      </c>
      <c r="W1356" t="s">
        <v>170</v>
      </c>
      <c r="X1356">
        <v>714</v>
      </c>
      <c r="Y1356" t="s">
        <v>2008</v>
      </c>
      <c r="Z1356" t="s">
        <v>2013</v>
      </c>
      <c r="AA1356" t="s">
        <v>2029</v>
      </c>
      <c r="AB1356" t="s">
        <v>14005</v>
      </c>
      <c r="AD1356" t="s">
        <v>16442</v>
      </c>
      <c r="AE1356">
        <v>68</v>
      </c>
      <c r="AF1356" t="s">
        <v>2902</v>
      </c>
      <c r="AG1356" t="s">
        <v>2919</v>
      </c>
      <c r="AH1356">
        <v>23</v>
      </c>
      <c r="AI1356">
        <v>2</v>
      </c>
      <c r="AJ1356">
        <v>0</v>
      </c>
      <c r="AK1356">
        <v>51.09</v>
      </c>
      <c r="AN1356" t="s">
        <v>2926</v>
      </c>
      <c r="AO1356">
        <v>8640</v>
      </c>
      <c r="AU1356">
        <v>0.2</v>
      </c>
      <c r="AV1356" t="s">
        <v>221</v>
      </c>
      <c r="AW1356" t="s">
        <v>3042</v>
      </c>
      <c r="AX1356" t="s">
        <v>18685</v>
      </c>
    </row>
    <row r="1357" spans="1:50">
      <c r="A1357" s="1" t="s">
        <v>126</v>
      </c>
      <c r="B1357" t="s">
        <v>163</v>
      </c>
      <c r="C1357" t="s">
        <v>4567</v>
      </c>
      <c r="D1357" t="s">
        <v>189</v>
      </c>
      <c r="F1357" t="s">
        <v>7387</v>
      </c>
      <c r="G1357" t="s">
        <v>1003</v>
      </c>
      <c r="H1357" t="s">
        <v>1131</v>
      </c>
      <c r="I1357" t="s">
        <v>1548</v>
      </c>
      <c r="J1357" t="s">
        <v>1641</v>
      </c>
      <c r="K1357">
        <v>10460</v>
      </c>
      <c r="L1357" t="s">
        <v>1670</v>
      </c>
      <c r="M1357" t="s">
        <v>1670</v>
      </c>
      <c r="N1357" t="s">
        <v>12213</v>
      </c>
      <c r="O1357" t="s">
        <v>1936</v>
      </c>
      <c r="P1357" t="s">
        <v>1960</v>
      </c>
      <c r="R1357" t="s">
        <v>50</v>
      </c>
      <c r="S1357" t="s">
        <v>1671</v>
      </c>
      <c r="U1357" t="s">
        <v>1972</v>
      </c>
      <c r="W1357" t="s">
        <v>1991</v>
      </c>
      <c r="X1357">
        <v>1621</v>
      </c>
      <c r="Y1357" t="s">
        <v>2006</v>
      </c>
      <c r="Z1357" t="s">
        <v>2015</v>
      </c>
      <c r="AB1357" t="s">
        <v>14006</v>
      </c>
      <c r="AE1357">
        <v>168</v>
      </c>
      <c r="AF1357" t="s">
        <v>2904</v>
      </c>
      <c r="AG1357" t="s">
        <v>2915</v>
      </c>
      <c r="AH1357">
        <v>2</v>
      </c>
      <c r="AI1357">
        <v>2</v>
      </c>
      <c r="AJ1357">
        <v>0</v>
      </c>
      <c r="AK1357">
        <v>51.09</v>
      </c>
      <c r="AN1357" t="s">
        <v>2926</v>
      </c>
      <c r="AO1357">
        <v>8640</v>
      </c>
      <c r="AP1357" t="s">
        <v>18275</v>
      </c>
      <c r="AU1357">
        <v>12.8</v>
      </c>
      <c r="AV1357" t="s">
        <v>405</v>
      </c>
      <c r="AW1357" t="s">
        <v>3047</v>
      </c>
      <c r="AX1357" t="s">
        <v>18685</v>
      </c>
    </row>
    <row r="1358" spans="1:50">
      <c r="A1358" s="1" t="s">
        <v>115</v>
      </c>
      <c r="B1358" t="s">
        <v>164</v>
      </c>
      <c r="C1358" t="s">
        <v>4568</v>
      </c>
      <c r="D1358" t="s">
        <v>210</v>
      </c>
      <c r="E1358" t="s">
        <v>406</v>
      </c>
      <c r="F1358" t="s">
        <v>6949</v>
      </c>
      <c r="G1358" t="s">
        <v>8530</v>
      </c>
      <c r="H1358" t="s">
        <v>9980</v>
      </c>
      <c r="I1358" t="s">
        <v>1477</v>
      </c>
      <c r="J1358" t="s">
        <v>1641</v>
      </c>
      <c r="K1358">
        <v>10452</v>
      </c>
      <c r="L1358" t="s">
        <v>1670</v>
      </c>
      <c r="M1358" t="s">
        <v>1670</v>
      </c>
      <c r="O1358" t="s">
        <v>1675</v>
      </c>
      <c r="P1358" t="s">
        <v>1958</v>
      </c>
      <c r="Q1358" t="s">
        <v>1965</v>
      </c>
      <c r="R1358" t="s">
        <v>50</v>
      </c>
      <c r="S1358" t="s">
        <v>1671</v>
      </c>
      <c r="U1358" t="s">
        <v>1972</v>
      </c>
      <c r="W1358" t="s">
        <v>381</v>
      </c>
      <c r="X1358">
        <v>573.25</v>
      </c>
      <c r="Y1358" t="s">
        <v>2006</v>
      </c>
      <c r="Z1358" t="s">
        <v>2015</v>
      </c>
      <c r="AA1358" t="s">
        <v>2038</v>
      </c>
      <c r="AB1358" t="s">
        <v>14007</v>
      </c>
      <c r="AE1358" t="s">
        <v>13051</v>
      </c>
      <c r="AF1358" t="s">
        <v>2911</v>
      </c>
      <c r="AG1358" t="s">
        <v>1754</v>
      </c>
      <c r="AH1358">
        <v>23</v>
      </c>
      <c r="AI1358">
        <v>2</v>
      </c>
      <c r="AJ1358">
        <v>0</v>
      </c>
      <c r="AK1358">
        <v>51.31</v>
      </c>
      <c r="AN1358" t="s">
        <v>2927</v>
      </c>
      <c r="AO1358">
        <v>8676</v>
      </c>
      <c r="AU1358">
        <v>2.9</v>
      </c>
      <c r="AV1358" t="s">
        <v>406</v>
      </c>
      <c r="AW1358" t="s">
        <v>115</v>
      </c>
    </row>
    <row r="1359" spans="1:50">
      <c r="A1359" s="1" t="s">
        <v>78</v>
      </c>
      <c r="B1359" t="s">
        <v>164</v>
      </c>
      <c r="C1359" t="s">
        <v>4569</v>
      </c>
      <c r="D1359" t="s">
        <v>259</v>
      </c>
      <c r="E1359" t="s">
        <v>6765</v>
      </c>
      <c r="F1359" t="s">
        <v>7388</v>
      </c>
      <c r="G1359" t="s">
        <v>8531</v>
      </c>
      <c r="H1359" t="s">
        <v>9553</v>
      </c>
      <c r="I1359" t="s">
        <v>1630</v>
      </c>
      <c r="J1359" t="s">
        <v>1646</v>
      </c>
      <c r="K1359">
        <v>10304</v>
      </c>
      <c r="L1359" t="s">
        <v>1670</v>
      </c>
      <c r="M1359" t="s">
        <v>1672</v>
      </c>
      <c r="N1359" t="s">
        <v>12214</v>
      </c>
      <c r="O1359" t="s">
        <v>1936</v>
      </c>
      <c r="P1359" t="s">
        <v>1960</v>
      </c>
      <c r="Q1359" t="s">
        <v>1969</v>
      </c>
      <c r="R1359" t="s">
        <v>50</v>
      </c>
      <c r="U1359" t="s">
        <v>1972</v>
      </c>
      <c r="V1359" t="s">
        <v>1983</v>
      </c>
      <c r="W1359" t="s">
        <v>13036</v>
      </c>
      <c r="X1359">
        <v>574</v>
      </c>
      <c r="Y1359" t="s">
        <v>2010</v>
      </c>
      <c r="AA1359" t="s">
        <v>2033</v>
      </c>
      <c r="AB1359" t="s">
        <v>14008</v>
      </c>
      <c r="AD1359" t="s">
        <v>16443</v>
      </c>
      <c r="AE1359" t="s">
        <v>13051</v>
      </c>
      <c r="AF1359" t="s">
        <v>2909</v>
      </c>
      <c r="AH1359" t="s">
        <v>13051</v>
      </c>
      <c r="AI1359">
        <v>1</v>
      </c>
      <c r="AJ1359">
        <v>0</v>
      </c>
      <c r="AK1359">
        <v>51.4</v>
      </c>
      <c r="AN1359" t="s">
        <v>2926</v>
      </c>
      <c r="AO1359">
        <v>6240</v>
      </c>
      <c r="AQ1359" t="s">
        <v>2978</v>
      </c>
      <c r="AR1359" t="s">
        <v>2982</v>
      </c>
      <c r="AS1359" t="s">
        <v>2992</v>
      </c>
      <c r="AT1359" t="s">
        <v>18542</v>
      </c>
      <c r="AU1359">
        <v>9.1</v>
      </c>
      <c r="AV1359" t="s">
        <v>393</v>
      </c>
      <c r="AW1359" t="s">
        <v>3056</v>
      </c>
      <c r="AX1359" t="s">
        <v>18685</v>
      </c>
    </row>
    <row r="1360" spans="1:50">
      <c r="A1360" s="1" t="s">
        <v>52</v>
      </c>
      <c r="B1360" t="s">
        <v>164</v>
      </c>
      <c r="C1360" t="s">
        <v>4570</v>
      </c>
      <c r="D1360" t="s">
        <v>255</v>
      </c>
      <c r="E1360" t="s">
        <v>326</v>
      </c>
      <c r="F1360" t="s">
        <v>7389</v>
      </c>
      <c r="G1360" t="s">
        <v>1055</v>
      </c>
      <c r="H1360" t="s">
        <v>1312</v>
      </c>
      <c r="I1360" t="s">
        <v>1517</v>
      </c>
      <c r="J1360" t="s">
        <v>1641</v>
      </c>
      <c r="K1360">
        <v>10459</v>
      </c>
      <c r="L1360" t="s">
        <v>1670</v>
      </c>
      <c r="M1360" t="s">
        <v>1670</v>
      </c>
      <c r="N1360" t="s">
        <v>12215</v>
      </c>
      <c r="O1360" t="s">
        <v>1936</v>
      </c>
      <c r="P1360" t="s">
        <v>1958</v>
      </c>
      <c r="Q1360" t="s">
        <v>1965</v>
      </c>
      <c r="R1360" t="s">
        <v>50</v>
      </c>
      <c r="S1360" t="s">
        <v>1671</v>
      </c>
      <c r="U1360" t="s">
        <v>1972</v>
      </c>
      <c r="V1360" t="s">
        <v>1984</v>
      </c>
      <c r="W1360" t="s">
        <v>326</v>
      </c>
      <c r="X1360">
        <v>1442</v>
      </c>
      <c r="Y1360" t="s">
        <v>2006</v>
      </c>
      <c r="Z1360" t="s">
        <v>2015</v>
      </c>
      <c r="AA1360" t="s">
        <v>2029</v>
      </c>
      <c r="AB1360" t="s">
        <v>14009</v>
      </c>
      <c r="AD1360" t="s">
        <v>16444</v>
      </c>
      <c r="AE1360" t="s">
        <v>13051</v>
      </c>
      <c r="AF1360" t="s">
        <v>2909</v>
      </c>
      <c r="AH1360">
        <v>17</v>
      </c>
      <c r="AI1360">
        <v>1</v>
      </c>
      <c r="AJ1360">
        <v>0</v>
      </c>
      <c r="AK1360">
        <v>51.59</v>
      </c>
      <c r="AN1360" t="s">
        <v>2926</v>
      </c>
      <c r="AO1360">
        <v>6444</v>
      </c>
      <c r="AU1360">
        <v>2</v>
      </c>
      <c r="AV1360" t="s">
        <v>326</v>
      </c>
      <c r="AW1360" t="s">
        <v>52</v>
      </c>
    </row>
    <row r="1361" spans="1:50">
      <c r="A1361" s="1" t="s">
        <v>53</v>
      </c>
      <c r="B1361" t="s">
        <v>164</v>
      </c>
      <c r="C1361" t="s">
        <v>4571</v>
      </c>
      <c r="D1361" t="s">
        <v>175</v>
      </c>
      <c r="E1361" t="s">
        <v>323</v>
      </c>
      <c r="F1361" t="s">
        <v>6827</v>
      </c>
      <c r="G1361" t="s">
        <v>8532</v>
      </c>
      <c r="H1361" t="s">
        <v>9981</v>
      </c>
      <c r="J1361" t="s">
        <v>1669</v>
      </c>
      <c r="K1361">
        <v>11411</v>
      </c>
      <c r="L1361" t="s">
        <v>1670</v>
      </c>
      <c r="M1361" t="s">
        <v>1670</v>
      </c>
      <c r="N1361" t="s">
        <v>12216</v>
      </c>
      <c r="O1361" t="s">
        <v>1940</v>
      </c>
      <c r="P1361" t="s">
        <v>1958</v>
      </c>
      <c r="Q1361" t="s">
        <v>1965</v>
      </c>
      <c r="R1361" t="s">
        <v>50</v>
      </c>
      <c r="S1361" t="s">
        <v>1671</v>
      </c>
      <c r="U1361" t="s">
        <v>1972</v>
      </c>
      <c r="V1361" t="s">
        <v>1986</v>
      </c>
      <c r="W1361" t="s">
        <v>175</v>
      </c>
      <c r="X1361">
        <v>200</v>
      </c>
      <c r="Y1361" t="s">
        <v>2007</v>
      </c>
      <c r="Z1361" t="s">
        <v>2014</v>
      </c>
      <c r="AA1361" t="s">
        <v>2029</v>
      </c>
      <c r="AB1361" t="s">
        <v>14010</v>
      </c>
      <c r="AC1361" t="s">
        <v>15156</v>
      </c>
      <c r="AD1361" t="s">
        <v>16445</v>
      </c>
      <c r="AE1361">
        <v>1</v>
      </c>
      <c r="AF1361" t="s">
        <v>2903</v>
      </c>
      <c r="AG1361" t="s">
        <v>1754</v>
      </c>
      <c r="AH1361">
        <v>20</v>
      </c>
      <c r="AI1361">
        <v>1</v>
      </c>
      <c r="AJ1361">
        <v>0</v>
      </c>
      <c r="AK1361">
        <v>51.7</v>
      </c>
      <c r="AN1361" t="s">
        <v>2926</v>
      </c>
      <c r="AO1361">
        <v>6276</v>
      </c>
      <c r="AU1361">
        <v>1</v>
      </c>
      <c r="AV1361" t="s">
        <v>323</v>
      </c>
      <c r="AW1361" t="s">
        <v>3044</v>
      </c>
    </row>
    <row r="1362" spans="1:50">
      <c r="A1362" s="1" t="s">
        <v>123</v>
      </c>
      <c r="B1362" t="s">
        <v>163</v>
      </c>
      <c r="C1362" t="s">
        <v>4572</v>
      </c>
      <c r="D1362" t="s">
        <v>355</v>
      </c>
      <c r="F1362" t="s">
        <v>7379</v>
      </c>
      <c r="G1362" t="s">
        <v>806</v>
      </c>
      <c r="H1362" t="s">
        <v>1234</v>
      </c>
      <c r="I1362" t="s">
        <v>11212</v>
      </c>
      <c r="J1362" t="s">
        <v>1641</v>
      </c>
      <c r="K1362">
        <v>10452</v>
      </c>
      <c r="L1362" t="s">
        <v>1670</v>
      </c>
      <c r="M1362" t="s">
        <v>1672</v>
      </c>
      <c r="N1362" t="s">
        <v>1765</v>
      </c>
      <c r="O1362" t="s">
        <v>1949</v>
      </c>
      <c r="P1362" t="s">
        <v>1961</v>
      </c>
      <c r="R1362" t="s">
        <v>50</v>
      </c>
      <c r="S1362" t="s">
        <v>1670</v>
      </c>
      <c r="U1362" t="s">
        <v>1972</v>
      </c>
      <c r="W1362" t="s">
        <v>1992</v>
      </c>
      <c r="X1362">
        <v>993</v>
      </c>
      <c r="Y1362" t="s">
        <v>2006</v>
      </c>
      <c r="Z1362" t="s">
        <v>2015</v>
      </c>
      <c r="AB1362" t="s">
        <v>14011</v>
      </c>
      <c r="AC1362" t="s">
        <v>15157</v>
      </c>
      <c r="AD1362" t="s">
        <v>16446</v>
      </c>
      <c r="AE1362">
        <v>122</v>
      </c>
      <c r="AF1362" t="s">
        <v>2902</v>
      </c>
      <c r="AG1362" t="s">
        <v>2919</v>
      </c>
      <c r="AH1362">
        <v>25</v>
      </c>
      <c r="AI1362">
        <v>2</v>
      </c>
      <c r="AJ1362">
        <v>0</v>
      </c>
      <c r="AK1362">
        <v>51.72</v>
      </c>
      <c r="AN1362" t="s">
        <v>2927</v>
      </c>
      <c r="AO1362">
        <v>16800</v>
      </c>
      <c r="AU1362" t="s">
        <v>13051</v>
      </c>
      <c r="AW1362" t="s">
        <v>3054</v>
      </c>
    </row>
    <row r="1363" spans="1:50">
      <c r="A1363" s="1" t="s">
        <v>103</v>
      </c>
      <c r="B1363" t="s">
        <v>164</v>
      </c>
      <c r="C1363" t="s">
        <v>4573</v>
      </c>
      <c r="D1363" t="s">
        <v>232</v>
      </c>
      <c r="E1363" t="s">
        <v>270</v>
      </c>
      <c r="F1363" t="s">
        <v>7285</v>
      </c>
      <c r="G1363" t="s">
        <v>890</v>
      </c>
      <c r="H1363" t="s">
        <v>9982</v>
      </c>
      <c r="I1363" t="s">
        <v>1477</v>
      </c>
      <c r="J1363" t="s">
        <v>1644</v>
      </c>
      <c r="K1363">
        <v>11233</v>
      </c>
      <c r="L1363" t="s">
        <v>1670</v>
      </c>
      <c r="M1363" t="s">
        <v>1670</v>
      </c>
      <c r="N1363" t="s">
        <v>12217</v>
      </c>
      <c r="O1363" t="s">
        <v>1940</v>
      </c>
      <c r="P1363" t="s">
        <v>1958</v>
      </c>
      <c r="Q1363" t="s">
        <v>1965</v>
      </c>
      <c r="R1363" t="s">
        <v>50</v>
      </c>
      <c r="S1363" t="s">
        <v>1671</v>
      </c>
      <c r="U1363" t="s">
        <v>1972</v>
      </c>
      <c r="W1363" t="s">
        <v>232</v>
      </c>
      <c r="X1363">
        <v>1000</v>
      </c>
      <c r="Y1363" t="s">
        <v>2009</v>
      </c>
      <c r="Z1363" t="s">
        <v>2020</v>
      </c>
      <c r="AA1363" t="s">
        <v>2029</v>
      </c>
      <c r="AB1363" t="s">
        <v>2355</v>
      </c>
      <c r="AD1363" t="s">
        <v>16447</v>
      </c>
      <c r="AE1363">
        <v>12</v>
      </c>
      <c r="AF1363" t="s">
        <v>2902</v>
      </c>
      <c r="AG1363" t="s">
        <v>2915</v>
      </c>
      <c r="AH1363">
        <v>22</v>
      </c>
      <c r="AI1363">
        <v>2</v>
      </c>
      <c r="AJ1363">
        <v>0</v>
      </c>
      <c r="AK1363">
        <v>51.76</v>
      </c>
      <c r="AN1363" t="s">
        <v>2926</v>
      </c>
      <c r="AO1363">
        <v>8520</v>
      </c>
      <c r="AU1363">
        <v>8.75</v>
      </c>
      <c r="AV1363" t="s">
        <v>278</v>
      </c>
      <c r="AW1363" t="s">
        <v>3060</v>
      </c>
    </row>
    <row r="1364" spans="1:50">
      <c r="A1364" s="1" t="s">
        <v>62</v>
      </c>
      <c r="B1364" t="s">
        <v>163</v>
      </c>
      <c r="C1364" t="s">
        <v>4574</v>
      </c>
      <c r="D1364" t="s">
        <v>221</v>
      </c>
      <c r="F1364" t="s">
        <v>7390</v>
      </c>
      <c r="G1364" t="s">
        <v>8017</v>
      </c>
      <c r="H1364" t="s">
        <v>9933</v>
      </c>
      <c r="I1364" t="s">
        <v>11097</v>
      </c>
      <c r="J1364" t="s">
        <v>1644</v>
      </c>
      <c r="K1364">
        <v>11226</v>
      </c>
      <c r="L1364" t="s">
        <v>1670</v>
      </c>
      <c r="M1364" t="s">
        <v>1670</v>
      </c>
      <c r="P1364" t="s">
        <v>1959</v>
      </c>
      <c r="R1364" t="s">
        <v>50</v>
      </c>
      <c r="U1364" t="s">
        <v>1972</v>
      </c>
      <c r="W1364" t="s">
        <v>320</v>
      </c>
      <c r="X1364" t="s">
        <v>13051</v>
      </c>
      <c r="Y1364" t="s">
        <v>2009</v>
      </c>
      <c r="AB1364" t="s">
        <v>14012</v>
      </c>
      <c r="AD1364" t="s">
        <v>16448</v>
      </c>
      <c r="AE1364" t="s">
        <v>13051</v>
      </c>
      <c r="AH1364" t="s">
        <v>13051</v>
      </c>
      <c r="AI1364">
        <v>1</v>
      </c>
      <c r="AJ1364">
        <v>0</v>
      </c>
      <c r="AK1364">
        <v>51.88</v>
      </c>
      <c r="AN1364" t="s">
        <v>2926</v>
      </c>
      <c r="AO1364">
        <v>6480</v>
      </c>
      <c r="AU1364">
        <v>31.5</v>
      </c>
      <c r="AV1364" t="s">
        <v>289</v>
      </c>
      <c r="AW1364" t="s">
        <v>158</v>
      </c>
    </row>
    <row r="1365" spans="1:50">
      <c r="A1365" s="1" t="s">
        <v>58</v>
      </c>
      <c r="B1365" t="s">
        <v>164</v>
      </c>
      <c r="C1365" t="s">
        <v>4575</v>
      </c>
      <c r="D1365" t="s">
        <v>294</v>
      </c>
      <c r="E1365" t="s">
        <v>195</v>
      </c>
      <c r="F1365" t="s">
        <v>6999</v>
      </c>
      <c r="G1365" t="s">
        <v>864</v>
      </c>
      <c r="H1365" t="s">
        <v>9983</v>
      </c>
      <c r="I1365">
        <v>34</v>
      </c>
      <c r="J1365" t="s">
        <v>1641</v>
      </c>
      <c r="K1365">
        <v>10452</v>
      </c>
      <c r="L1365" t="s">
        <v>1670</v>
      </c>
      <c r="M1365" t="s">
        <v>1670</v>
      </c>
      <c r="O1365" t="s">
        <v>1945</v>
      </c>
      <c r="P1365" t="s">
        <v>1958</v>
      </c>
      <c r="Q1365" t="s">
        <v>1965</v>
      </c>
      <c r="R1365" t="s">
        <v>50</v>
      </c>
      <c r="S1365" t="s">
        <v>1671</v>
      </c>
      <c r="U1365" t="s">
        <v>1972</v>
      </c>
      <c r="W1365" t="s">
        <v>294</v>
      </c>
      <c r="X1365">
        <v>735.92</v>
      </c>
      <c r="Y1365" t="s">
        <v>2006</v>
      </c>
      <c r="Z1365" t="s">
        <v>2015</v>
      </c>
      <c r="AA1365" t="s">
        <v>2029</v>
      </c>
      <c r="AB1365" t="s">
        <v>14013</v>
      </c>
      <c r="AE1365">
        <v>40</v>
      </c>
      <c r="AF1365" t="s">
        <v>2904</v>
      </c>
      <c r="AG1365" t="s">
        <v>1754</v>
      </c>
      <c r="AH1365">
        <v>38</v>
      </c>
      <c r="AI1365">
        <v>2</v>
      </c>
      <c r="AJ1365">
        <v>0</v>
      </c>
      <c r="AK1365">
        <v>52.16</v>
      </c>
      <c r="AN1365" t="s">
        <v>2927</v>
      </c>
      <c r="AO1365">
        <v>8820</v>
      </c>
      <c r="AU1365">
        <v>1</v>
      </c>
      <c r="AV1365" t="s">
        <v>324</v>
      </c>
      <c r="AW1365" t="s">
        <v>3046</v>
      </c>
    </row>
    <row r="1366" spans="1:50">
      <c r="A1366" s="1" t="s">
        <v>54</v>
      </c>
      <c r="B1366" t="s">
        <v>164</v>
      </c>
      <c r="C1366" t="s">
        <v>4576</v>
      </c>
      <c r="D1366" t="s">
        <v>311</v>
      </c>
      <c r="E1366" t="s">
        <v>273</v>
      </c>
      <c r="F1366" t="s">
        <v>7391</v>
      </c>
      <c r="G1366" t="s">
        <v>7901</v>
      </c>
      <c r="H1366" t="s">
        <v>9984</v>
      </c>
      <c r="I1366" t="s">
        <v>1519</v>
      </c>
      <c r="J1366" t="s">
        <v>1643</v>
      </c>
      <c r="K1366">
        <v>10034</v>
      </c>
      <c r="L1366" t="s">
        <v>1670</v>
      </c>
      <c r="M1366" t="s">
        <v>1670</v>
      </c>
      <c r="N1366" t="s">
        <v>12218</v>
      </c>
      <c r="O1366" t="s">
        <v>1936</v>
      </c>
      <c r="P1366" t="s">
        <v>1962</v>
      </c>
      <c r="Q1366" t="s">
        <v>1968</v>
      </c>
      <c r="R1366" t="s">
        <v>50</v>
      </c>
      <c r="S1366" t="s">
        <v>1671</v>
      </c>
      <c r="U1366" t="s">
        <v>1972</v>
      </c>
      <c r="V1366" t="s">
        <v>1984</v>
      </c>
      <c r="W1366" t="s">
        <v>311</v>
      </c>
      <c r="X1366">
        <v>1060</v>
      </c>
      <c r="Y1366" t="s">
        <v>2008</v>
      </c>
      <c r="Z1366" t="s">
        <v>2014</v>
      </c>
      <c r="AA1366" t="s">
        <v>2029</v>
      </c>
      <c r="AB1366" t="s">
        <v>14014</v>
      </c>
      <c r="AD1366" t="s">
        <v>16449</v>
      </c>
      <c r="AE1366">
        <v>26</v>
      </c>
      <c r="AF1366" t="s">
        <v>2902</v>
      </c>
      <c r="AG1366" t="s">
        <v>2919</v>
      </c>
      <c r="AH1366">
        <v>7</v>
      </c>
      <c r="AI1366">
        <v>1</v>
      </c>
      <c r="AJ1366">
        <v>0</v>
      </c>
      <c r="AK1366">
        <v>52.44</v>
      </c>
      <c r="AN1366" t="s">
        <v>2926</v>
      </c>
      <c r="AO1366">
        <v>6366</v>
      </c>
      <c r="AU1366">
        <v>1.7</v>
      </c>
      <c r="AV1366" t="s">
        <v>273</v>
      </c>
      <c r="AW1366" t="s">
        <v>3048</v>
      </c>
    </row>
    <row r="1367" spans="1:50">
      <c r="A1367" s="1" t="s">
        <v>103</v>
      </c>
      <c r="B1367" t="s">
        <v>164</v>
      </c>
      <c r="C1367" t="s">
        <v>4577</v>
      </c>
      <c r="D1367" t="s">
        <v>311</v>
      </c>
      <c r="E1367" t="s">
        <v>270</v>
      </c>
      <c r="F1367" t="s">
        <v>7392</v>
      </c>
      <c r="G1367" t="s">
        <v>8533</v>
      </c>
      <c r="H1367" t="s">
        <v>9985</v>
      </c>
      <c r="I1367" t="s">
        <v>11139</v>
      </c>
      <c r="J1367" t="s">
        <v>1644</v>
      </c>
      <c r="K1367">
        <v>11212</v>
      </c>
      <c r="L1367" t="s">
        <v>1670</v>
      </c>
      <c r="M1367" t="s">
        <v>1670</v>
      </c>
      <c r="N1367" t="s">
        <v>12219</v>
      </c>
      <c r="O1367" t="s">
        <v>1936</v>
      </c>
      <c r="P1367" t="s">
        <v>1958</v>
      </c>
      <c r="Q1367" t="s">
        <v>1965</v>
      </c>
      <c r="R1367" t="s">
        <v>50</v>
      </c>
      <c r="S1367" t="s">
        <v>1671</v>
      </c>
      <c r="U1367" t="s">
        <v>1972</v>
      </c>
      <c r="V1367" t="s">
        <v>1984</v>
      </c>
      <c r="W1367" t="s">
        <v>311</v>
      </c>
      <c r="X1367">
        <v>900</v>
      </c>
      <c r="Y1367" t="s">
        <v>2009</v>
      </c>
      <c r="AA1367" t="s">
        <v>2029</v>
      </c>
      <c r="AB1367" t="s">
        <v>2058</v>
      </c>
      <c r="AC1367" t="s">
        <v>15155</v>
      </c>
      <c r="AD1367" t="s">
        <v>16450</v>
      </c>
      <c r="AE1367">
        <v>3</v>
      </c>
      <c r="AF1367" t="s">
        <v>2904</v>
      </c>
      <c r="AG1367" t="s">
        <v>2917</v>
      </c>
      <c r="AH1367">
        <v>4</v>
      </c>
      <c r="AI1367">
        <v>3</v>
      </c>
      <c r="AJ1367">
        <v>0</v>
      </c>
      <c r="AK1367">
        <v>52.49</v>
      </c>
      <c r="AN1367" t="s">
        <v>2926</v>
      </c>
      <c r="AO1367">
        <v>10908</v>
      </c>
      <c r="AU1367">
        <v>2.2</v>
      </c>
      <c r="AV1367" t="s">
        <v>281</v>
      </c>
      <c r="AW1367" t="s">
        <v>3068</v>
      </c>
    </row>
    <row r="1368" spans="1:50">
      <c r="A1368" s="1" t="s">
        <v>95</v>
      </c>
      <c r="B1368" t="s">
        <v>163</v>
      </c>
      <c r="C1368" t="s">
        <v>4578</v>
      </c>
      <c r="D1368" t="s">
        <v>3039</v>
      </c>
      <c r="F1368" t="s">
        <v>604</v>
      </c>
      <c r="G1368" t="s">
        <v>7978</v>
      </c>
      <c r="H1368" t="s">
        <v>9484</v>
      </c>
      <c r="I1368">
        <v>205</v>
      </c>
      <c r="J1368" t="s">
        <v>1641</v>
      </c>
      <c r="K1368">
        <v>10457</v>
      </c>
      <c r="L1368" t="s">
        <v>1670</v>
      </c>
      <c r="M1368" t="s">
        <v>1672</v>
      </c>
      <c r="O1368" t="s">
        <v>1675</v>
      </c>
      <c r="P1368" t="s">
        <v>1958</v>
      </c>
      <c r="R1368" t="s">
        <v>50</v>
      </c>
      <c r="S1368" t="s">
        <v>1671</v>
      </c>
      <c r="U1368" t="s">
        <v>1972</v>
      </c>
      <c r="W1368" t="s">
        <v>1991</v>
      </c>
      <c r="X1368">
        <v>574</v>
      </c>
      <c r="Y1368" t="s">
        <v>2006</v>
      </c>
      <c r="Z1368" t="s">
        <v>2015</v>
      </c>
      <c r="AB1368" t="s">
        <v>14015</v>
      </c>
      <c r="AD1368" t="s">
        <v>16451</v>
      </c>
      <c r="AE1368" t="s">
        <v>13051</v>
      </c>
      <c r="AF1368" t="s">
        <v>2904</v>
      </c>
      <c r="AG1368" t="s">
        <v>2915</v>
      </c>
      <c r="AH1368">
        <v>5</v>
      </c>
      <c r="AI1368">
        <v>2</v>
      </c>
      <c r="AJ1368">
        <v>0</v>
      </c>
      <c r="AK1368">
        <v>52.55</v>
      </c>
      <c r="AN1368" t="s">
        <v>18044</v>
      </c>
      <c r="AO1368">
        <v>8887</v>
      </c>
      <c r="AU1368">
        <v>3</v>
      </c>
      <c r="AV1368" t="s">
        <v>222</v>
      </c>
      <c r="AW1368" t="s">
        <v>95</v>
      </c>
      <c r="AX1368" t="s">
        <v>18685</v>
      </c>
    </row>
    <row r="1369" spans="1:50">
      <c r="A1369" s="1" t="s">
        <v>94</v>
      </c>
      <c r="B1369" t="s">
        <v>164</v>
      </c>
      <c r="C1369" t="s">
        <v>4579</v>
      </c>
      <c r="D1369" t="s">
        <v>208</v>
      </c>
      <c r="E1369" t="s">
        <v>256</v>
      </c>
      <c r="F1369" t="s">
        <v>7393</v>
      </c>
      <c r="G1369" t="s">
        <v>1003</v>
      </c>
      <c r="H1369" t="s">
        <v>9986</v>
      </c>
      <c r="I1369">
        <v>53</v>
      </c>
      <c r="J1369" t="s">
        <v>1643</v>
      </c>
      <c r="K1369">
        <v>10034</v>
      </c>
      <c r="L1369" t="s">
        <v>1670</v>
      </c>
      <c r="M1369" t="s">
        <v>1670</v>
      </c>
      <c r="O1369" t="s">
        <v>1941</v>
      </c>
      <c r="P1369" t="s">
        <v>1958</v>
      </c>
      <c r="Q1369" t="s">
        <v>1965</v>
      </c>
      <c r="R1369" t="s">
        <v>50</v>
      </c>
      <c r="S1369" t="s">
        <v>1671</v>
      </c>
      <c r="U1369" t="s">
        <v>1972</v>
      </c>
      <c r="W1369" t="s">
        <v>170</v>
      </c>
      <c r="X1369">
        <v>900</v>
      </c>
      <c r="Y1369" t="s">
        <v>2008</v>
      </c>
      <c r="Z1369" t="s">
        <v>2013</v>
      </c>
      <c r="AA1369" t="s">
        <v>2029</v>
      </c>
      <c r="AB1369" t="s">
        <v>14016</v>
      </c>
      <c r="AD1369" t="s">
        <v>16452</v>
      </c>
      <c r="AE1369">
        <v>25</v>
      </c>
      <c r="AF1369" t="s">
        <v>2902</v>
      </c>
      <c r="AG1369" t="s">
        <v>1754</v>
      </c>
      <c r="AH1369">
        <v>8</v>
      </c>
      <c r="AI1369">
        <v>3</v>
      </c>
      <c r="AJ1369">
        <v>0</v>
      </c>
      <c r="AK1369">
        <v>52.66</v>
      </c>
      <c r="AN1369" t="s">
        <v>2927</v>
      </c>
      <c r="AO1369">
        <v>11232</v>
      </c>
      <c r="AU1369">
        <v>1.4</v>
      </c>
      <c r="AV1369" t="s">
        <v>256</v>
      </c>
      <c r="AW1369" t="s">
        <v>3052</v>
      </c>
      <c r="AX1369" t="s">
        <v>18685</v>
      </c>
    </row>
    <row r="1370" spans="1:50">
      <c r="A1370" s="1" t="s">
        <v>59</v>
      </c>
      <c r="B1370" t="s">
        <v>163</v>
      </c>
      <c r="C1370" t="s">
        <v>4580</v>
      </c>
      <c r="D1370" t="s">
        <v>198</v>
      </c>
      <c r="F1370" t="s">
        <v>438</v>
      </c>
      <c r="G1370" t="s">
        <v>8534</v>
      </c>
      <c r="H1370" t="s">
        <v>9987</v>
      </c>
      <c r="I1370" t="s">
        <v>1525</v>
      </c>
      <c r="J1370" t="s">
        <v>1641</v>
      </c>
      <c r="K1370">
        <v>10458</v>
      </c>
      <c r="L1370" t="s">
        <v>1670</v>
      </c>
      <c r="M1370" t="s">
        <v>1672</v>
      </c>
      <c r="P1370" t="s">
        <v>1958</v>
      </c>
      <c r="R1370" t="s">
        <v>50</v>
      </c>
      <c r="S1370" t="s">
        <v>1671</v>
      </c>
      <c r="U1370" t="s">
        <v>1972</v>
      </c>
      <c r="W1370" t="s">
        <v>400</v>
      </c>
      <c r="X1370">
        <v>1360</v>
      </c>
      <c r="Y1370" t="s">
        <v>2006</v>
      </c>
      <c r="Z1370" t="s">
        <v>2015</v>
      </c>
      <c r="AB1370" t="s">
        <v>14017</v>
      </c>
      <c r="AD1370" t="s">
        <v>16453</v>
      </c>
      <c r="AE1370">
        <v>43</v>
      </c>
      <c r="AF1370" t="s">
        <v>2904</v>
      </c>
      <c r="AG1370" t="s">
        <v>1754</v>
      </c>
      <c r="AH1370">
        <v>6</v>
      </c>
      <c r="AI1370">
        <v>1</v>
      </c>
      <c r="AJ1370">
        <v>0</v>
      </c>
      <c r="AK1370">
        <v>52.84</v>
      </c>
      <c r="AN1370" t="s">
        <v>2927</v>
      </c>
      <c r="AO1370">
        <v>6600</v>
      </c>
      <c r="AU1370">
        <v>0.5</v>
      </c>
      <c r="AV1370" t="s">
        <v>337</v>
      </c>
      <c r="AW1370" t="s">
        <v>3047</v>
      </c>
      <c r="AX1370" t="s">
        <v>18685</v>
      </c>
    </row>
    <row r="1371" spans="1:50">
      <c r="A1371" s="1" t="s">
        <v>103</v>
      </c>
      <c r="B1371" t="s">
        <v>163</v>
      </c>
      <c r="C1371" t="s">
        <v>4581</v>
      </c>
      <c r="D1371" t="s">
        <v>304</v>
      </c>
      <c r="F1371" t="s">
        <v>7394</v>
      </c>
      <c r="G1371" t="s">
        <v>999</v>
      </c>
      <c r="H1371" t="s">
        <v>9988</v>
      </c>
      <c r="I1371">
        <v>2</v>
      </c>
      <c r="J1371" t="s">
        <v>1644</v>
      </c>
      <c r="K1371">
        <v>11207</v>
      </c>
      <c r="L1371" t="s">
        <v>1670</v>
      </c>
      <c r="M1371" t="s">
        <v>1670</v>
      </c>
      <c r="N1371" t="s">
        <v>12220</v>
      </c>
      <c r="O1371" t="s">
        <v>1936</v>
      </c>
      <c r="P1371" t="s">
        <v>1958</v>
      </c>
      <c r="R1371" t="s">
        <v>50</v>
      </c>
      <c r="S1371" t="s">
        <v>1671</v>
      </c>
      <c r="U1371" t="s">
        <v>1972</v>
      </c>
      <c r="W1371" t="s">
        <v>330</v>
      </c>
      <c r="X1371">
        <v>850</v>
      </c>
      <c r="Y1371" t="s">
        <v>2009</v>
      </c>
      <c r="Z1371" t="s">
        <v>2011</v>
      </c>
      <c r="AB1371" t="s">
        <v>14018</v>
      </c>
      <c r="AD1371" t="s">
        <v>16454</v>
      </c>
      <c r="AE1371">
        <v>8</v>
      </c>
      <c r="AF1371" t="s">
        <v>2902</v>
      </c>
      <c r="AG1371" t="s">
        <v>1754</v>
      </c>
      <c r="AH1371" t="s">
        <v>13051</v>
      </c>
      <c r="AI1371">
        <v>4</v>
      </c>
      <c r="AJ1371">
        <v>0</v>
      </c>
      <c r="AK1371">
        <v>53.04</v>
      </c>
      <c r="AN1371" t="s">
        <v>2926</v>
      </c>
      <c r="AO1371">
        <v>13312</v>
      </c>
      <c r="AU1371">
        <v>1.5</v>
      </c>
      <c r="AV1371" t="s">
        <v>307</v>
      </c>
      <c r="AW1371" t="s">
        <v>3059</v>
      </c>
    </row>
    <row r="1372" spans="1:50">
      <c r="A1372" s="1" t="s">
        <v>54</v>
      </c>
      <c r="B1372" t="s">
        <v>164</v>
      </c>
      <c r="C1372" t="s">
        <v>4582</v>
      </c>
      <c r="D1372" t="s">
        <v>248</v>
      </c>
      <c r="E1372" t="s">
        <v>392</v>
      </c>
      <c r="F1372" t="s">
        <v>7395</v>
      </c>
      <c r="G1372" t="s">
        <v>8535</v>
      </c>
      <c r="H1372" t="s">
        <v>9989</v>
      </c>
      <c r="I1372" t="s">
        <v>1570</v>
      </c>
      <c r="J1372" t="s">
        <v>1643</v>
      </c>
      <c r="K1372">
        <v>10034</v>
      </c>
      <c r="L1372" t="s">
        <v>1670</v>
      </c>
      <c r="M1372" t="s">
        <v>1670</v>
      </c>
      <c r="O1372" t="s">
        <v>1941</v>
      </c>
      <c r="P1372" t="s">
        <v>1958</v>
      </c>
      <c r="Q1372" t="s">
        <v>1965</v>
      </c>
      <c r="R1372" t="s">
        <v>50</v>
      </c>
      <c r="S1372" t="s">
        <v>1671</v>
      </c>
      <c r="U1372" t="s">
        <v>1972</v>
      </c>
      <c r="W1372" t="s">
        <v>248</v>
      </c>
      <c r="X1372">
        <v>864.9299999999999</v>
      </c>
      <c r="Y1372" t="s">
        <v>2008</v>
      </c>
      <c r="Z1372" t="s">
        <v>2013</v>
      </c>
      <c r="AA1372" t="s">
        <v>2029</v>
      </c>
      <c r="AB1372" t="s">
        <v>14019</v>
      </c>
      <c r="AD1372" t="s">
        <v>16455</v>
      </c>
      <c r="AE1372">
        <v>121</v>
      </c>
      <c r="AF1372" t="s">
        <v>2902</v>
      </c>
      <c r="AG1372" t="s">
        <v>1754</v>
      </c>
      <c r="AH1372">
        <v>35</v>
      </c>
      <c r="AI1372">
        <v>2</v>
      </c>
      <c r="AJ1372">
        <v>0</v>
      </c>
      <c r="AK1372">
        <v>53.22</v>
      </c>
      <c r="AN1372" t="s">
        <v>2927</v>
      </c>
      <c r="AO1372">
        <v>9000</v>
      </c>
      <c r="AU1372">
        <v>0.25</v>
      </c>
      <c r="AV1372" t="s">
        <v>392</v>
      </c>
      <c r="AW1372" t="s">
        <v>3042</v>
      </c>
      <c r="AX1372" t="s">
        <v>18685</v>
      </c>
    </row>
    <row r="1373" spans="1:50">
      <c r="A1373" s="1" t="s">
        <v>96</v>
      </c>
      <c r="B1373" t="s">
        <v>163</v>
      </c>
      <c r="C1373" t="s">
        <v>4583</v>
      </c>
      <c r="D1373" t="s">
        <v>294</v>
      </c>
      <c r="F1373" t="s">
        <v>6803</v>
      </c>
      <c r="G1373" t="s">
        <v>8365</v>
      </c>
      <c r="H1373" t="s">
        <v>9789</v>
      </c>
      <c r="I1373" t="s">
        <v>11150</v>
      </c>
      <c r="J1373" t="s">
        <v>1644</v>
      </c>
      <c r="K1373">
        <v>11238</v>
      </c>
      <c r="L1373" t="s">
        <v>1670</v>
      </c>
      <c r="M1373" t="s">
        <v>1670</v>
      </c>
      <c r="O1373" t="s">
        <v>1945</v>
      </c>
      <c r="P1373" t="s">
        <v>1959</v>
      </c>
      <c r="R1373" t="s">
        <v>50</v>
      </c>
      <c r="S1373" t="s">
        <v>1671</v>
      </c>
      <c r="U1373" t="s">
        <v>1972</v>
      </c>
      <c r="W1373" t="s">
        <v>248</v>
      </c>
      <c r="X1373">
        <v>650.39</v>
      </c>
      <c r="Y1373" t="s">
        <v>2009</v>
      </c>
      <c r="Z1373" t="s">
        <v>2020</v>
      </c>
      <c r="AB1373" t="s">
        <v>14020</v>
      </c>
      <c r="AD1373" t="s">
        <v>16456</v>
      </c>
      <c r="AE1373">
        <v>29</v>
      </c>
      <c r="AF1373" t="s">
        <v>2902</v>
      </c>
      <c r="AH1373">
        <v>20</v>
      </c>
      <c r="AI1373">
        <v>2</v>
      </c>
      <c r="AJ1373">
        <v>0</v>
      </c>
      <c r="AK1373">
        <v>53.22</v>
      </c>
      <c r="AN1373" t="s">
        <v>2926</v>
      </c>
      <c r="AO1373">
        <v>9000</v>
      </c>
      <c r="AU1373">
        <v>14.4</v>
      </c>
      <c r="AV1373" t="s">
        <v>400</v>
      </c>
      <c r="AW1373" t="s">
        <v>158</v>
      </c>
      <c r="AX1373" t="s">
        <v>18685</v>
      </c>
    </row>
    <row r="1374" spans="1:50">
      <c r="A1374" s="1" t="s">
        <v>74</v>
      </c>
      <c r="B1374" t="s">
        <v>163</v>
      </c>
      <c r="C1374" t="s">
        <v>4584</v>
      </c>
      <c r="D1374" t="s">
        <v>191</v>
      </c>
      <c r="F1374" t="s">
        <v>7396</v>
      </c>
      <c r="G1374" t="s">
        <v>8536</v>
      </c>
      <c r="H1374" t="s">
        <v>1131</v>
      </c>
      <c r="I1374" t="s">
        <v>11213</v>
      </c>
      <c r="J1374" t="s">
        <v>1641</v>
      </c>
      <c r="K1374">
        <v>10460</v>
      </c>
      <c r="L1374" t="s">
        <v>1670</v>
      </c>
      <c r="M1374" t="s">
        <v>1672</v>
      </c>
      <c r="O1374" t="s">
        <v>1675</v>
      </c>
      <c r="P1374" t="s">
        <v>1959</v>
      </c>
      <c r="R1374" t="s">
        <v>50</v>
      </c>
      <c r="S1374" t="s">
        <v>1670</v>
      </c>
      <c r="U1374" t="s">
        <v>1972</v>
      </c>
      <c r="W1374" t="s">
        <v>1991</v>
      </c>
      <c r="X1374">
        <v>1789</v>
      </c>
      <c r="Y1374" t="s">
        <v>2006</v>
      </c>
      <c r="Z1374" t="s">
        <v>2015</v>
      </c>
      <c r="AB1374" t="s">
        <v>14021</v>
      </c>
      <c r="AD1374" t="s">
        <v>16457</v>
      </c>
      <c r="AE1374">
        <v>168</v>
      </c>
      <c r="AF1374" t="s">
        <v>2902</v>
      </c>
      <c r="AG1374" t="s">
        <v>2915</v>
      </c>
      <c r="AH1374">
        <v>12</v>
      </c>
      <c r="AI1374">
        <v>2</v>
      </c>
      <c r="AJ1374">
        <v>0</v>
      </c>
      <c r="AK1374">
        <v>53.22</v>
      </c>
      <c r="AN1374" t="s">
        <v>2926</v>
      </c>
      <c r="AO1374">
        <v>9000</v>
      </c>
      <c r="AU1374" t="s">
        <v>13051</v>
      </c>
      <c r="AW1374" t="s">
        <v>3047</v>
      </c>
      <c r="AX1374" t="s">
        <v>18685</v>
      </c>
    </row>
    <row r="1375" spans="1:50">
      <c r="A1375" s="1" t="s">
        <v>91</v>
      </c>
      <c r="B1375" t="s">
        <v>163</v>
      </c>
      <c r="C1375" t="s">
        <v>4585</v>
      </c>
      <c r="D1375" t="s">
        <v>367</v>
      </c>
      <c r="F1375" t="s">
        <v>427</v>
      </c>
      <c r="G1375" t="s">
        <v>981</v>
      </c>
      <c r="H1375" t="s">
        <v>1318</v>
      </c>
      <c r="I1375" t="s">
        <v>1487</v>
      </c>
      <c r="J1375" t="s">
        <v>1643</v>
      </c>
      <c r="K1375">
        <v>10032</v>
      </c>
      <c r="L1375" t="s">
        <v>1670</v>
      </c>
      <c r="M1375" t="s">
        <v>1670</v>
      </c>
      <c r="P1375" t="s">
        <v>1960</v>
      </c>
      <c r="R1375" t="s">
        <v>50</v>
      </c>
      <c r="S1375" t="s">
        <v>1670</v>
      </c>
      <c r="U1375" t="s">
        <v>1972</v>
      </c>
      <c r="W1375" t="s">
        <v>367</v>
      </c>
      <c r="X1375">
        <v>550</v>
      </c>
      <c r="Y1375" t="s">
        <v>2008</v>
      </c>
      <c r="Z1375" t="s">
        <v>2013</v>
      </c>
      <c r="AB1375" t="s">
        <v>14022</v>
      </c>
      <c r="AD1375" t="s">
        <v>16458</v>
      </c>
      <c r="AE1375">
        <v>42</v>
      </c>
      <c r="AF1375" t="s">
        <v>2902</v>
      </c>
      <c r="AG1375" t="s">
        <v>2919</v>
      </c>
      <c r="AH1375">
        <v>35</v>
      </c>
      <c r="AI1375">
        <v>2</v>
      </c>
      <c r="AJ1375">
        <v>0</v>
      </c>
      <c r="AK1375">
        <v>53.22</v>
      </c>
      <c r="AN1375" t="s">
        <v>2927</v>
      </c>
      <c r="AO1375">
        <v>8760</v>
      </c>
      <c r="AU1375" t="s">
        <v>13051</v>
      </c>
      <c r="AW1375" t="s">
        <v>3042</v>
      </c>
    </row>
    <row r="1376" spans="1:50">
      <c r="A1376" s="1" t="s">
        <v>62</v>
      </c>
      <c r="B1376" t="s">
        <v>163</v>
      </c>
      <c r="C1376" t="s">
        <v>4586</v>
      </c>
      <c r="D1376" t="s">
        <v>6164</v>
      </c>
      <c r="F1376" t="s">
        <v>7390</v>
      </c>
      <c r="G1376" t="s">
        <v>8017</v>
      </c>
      <c r="H1376" t="s">
        <v>9933</v>
      </c>
      <c r="I1376" t="s">
        <v>11097</v>
      </c>
      <c r="J1376" t="s">
        <v>1644</v>
      </c>
      <c r="K1376">
        <v>11226</v>
      </c>
      <c r="L1376" t="s">
        <v>1670</v>
      </c>
      <c r="M1376" t="s">
        <v>1670</v>
      </c>
      <c r="O1376" t="s">
        <v>1952</v>
      </c>
      <c r="P1376" t="s">
        <v>1960</v>
      </c>
      <c r="R1376" t="s">
        <v>50</v>
      </c>
      <c r="S1376" t="s">
        <v>1670</v>
      </c>
      <c r="U1376" t="s">
        <v>1972</v>
      </c>
      <c r="W1376" t="s">
        <v>247</v>
      </c>
      <c r="X1376">
        <v>1275</v>
      </c>
      <c r="Y1376" t="s">
        <v>2009</v>
      </c>
      <c r="Z1376" t="s">
        <v>2020</v>
      </c>
      <c r="AB1376" t="s">
        <v>14012</v>
      </c>
      <c r="AD1376" t="s">
        <v>16448</v>
      </c>
      <c r="AE1376">
        <v>65</v>
      </c>
      <c r="AF1376" t="s">
        <v>2902</v>
      </c>
      <c r="AG1376" t="s">
        <v>2915</v>
      </c>
      <c r="AH1376">
        <v>14</v>
      </c>
      <c r="AI1376">
        <v>1</v>
      </c>
      <c r="AJ1376">
        <v>0</v>
      </c>
      <c r="AK1376">
        <v>53.38</v>
      </c>
      <c r="AN1376" t="s">
        <v>2926</v>
      </c>
      <c r="AO1376">
        <v>6480</v>
      </c>
      <c r="AU1376">
        <v>109.5</v>
      </c>
      <c r="AV1376" t="s">
        <v>389</v>
      </c>
      <c r="AW1376" t="s">
        <v>3079</v>
      </c>
    </row>
    <row r="1377" spans="1:50">
      <c r="A1377" s="1" t="s">
        <v>52</v>
      </c>
      <c r="B1377" t="s">
        <v>163</v>
      </c>
      <c r="C1377" t="s">
        <v>4587</v>
      </c>
      <c r="D1377" t="s">
        <v>333</v>
      </c>
      <c r="F1377" t="s">
        <v>522</v>
      </c>
      <c r="G1377" t="s">
        <v>833</v>
      </c>
      <c r="H1377" t="s">
        <v>9990</v>
      </c>
      <c r="I1377" t="s">
        <v>1600</v>
      </c>
      <c r="J1377" t="s">
        <v>1641</v>
      </c>
      <c r="K1377">
        <v>10453</v>
      </c>
      <c r="L1377" t="s">
        <v>1670</v>
      </c>
      <c r="M1377" t="s">
        <v>1672</v>
      </c>
      <c r="N1377" t="s">
        <v>12221</v>
      </c>
      <c r="O1377" t="s">
        <v>1936</v>
      </c>
      <c r="P1377" t="s">
        <v>1960</v>
      </c>
      <c r="R1377" t="s">
        <v>50</v>
      </c>
      <c r="S1377" t="s">
        <v>1671</v>
      </c>
      <c r="U1377" t="s">
        <v>1972</v>
      </c>
      <c r="V1377" t="s">
        <v>1985</v>
      </c>
      <c r="W1377" t="s">
        <v>333</v>
      </c>
      <c r="X1377">
        <v>1268</v>
      </c>
      <c r="Y1377" t="s">
        <v>2006</v>
      </c>
      <c r="Z1377" t="s">
        <v>2014</v>
      </c>
      <c r="AB1377" t="s">
        <v>13526</v>
      </c>
      <c r="AC1377" t="s">
        <v>15158</v>
      </c>
      <c r="AE1377" t="s">
        <v>13051</v>
      </c>
      <c r="AF1377" t="s">
        <v>2902</v>
      </c>
      <c r="AG1377" t="s">
        <v>2916</v>
      </c>
      <c r="AH1377">
        <v>3</v>
      </c>
      <c r="AI1377">
        <v>2</v>
      </c>
      <c r="AJ1377">
        <v>0</v>
      </c>
      <c r="AK1377">
        <v>53.44</v>
      </c>
      <c r="AN1377" t="s">
        <v>2926</v>
      </c>
      <c r="AO1377">
        <v>9036</v>
      </c>
      <c r="AU1377">
        <v>5.2</v>
      </c>
      <c r="AV1377" t="s">
        <v>397</v>
      </c>
      <c r="AW1377" t="s">
        <v>3045</v>
      </c>
      <c r="AX1377" t="s">
        <v>18686</v>
      </c>
    </row>
    <row r="1378" spans="1:50">
      <c r="A1378" s="1" t="s">
        <v>101</v>
      </c>
      <c r="B1378" t="s">
        <v>164</v>
      </c>
      <c r="C1378" t="s">
        <v>4588</v>
      </c>
      <c r="D1378" t="s">
        <v>284</v>
      </c>
      <c r="E1378" t="s">
        <v>174</v>
      </c>
      <c r="F1378" t="s">
        <v>687</v>
      </c>
      <c r="G1378" t="s">
        <v>822</v>
      </c>
      <c r="H1378" t="s">
        <v>9928</v>
      </c>
      <c r="I1378">
        <v>64</v>
      </c>
      <c r="J1378" t="s">
        <v>1643</v>
      </c>
      <c r="K1378">
        <v>10034</v>
      </c>
      <c r="L1378" t="s">
        <v>1670</v>
      </c>
      <c r="M1378" t="s">
        <v>1670</v>
      </c>
      <c r="O1378" t="s">
        <v>1944</v>
      </c>
      <c r="P1378" t="s">
        <v>1961</v>
      </c>
      <c r="Q1378" t="s">
        <v>1966</v>
      </c>
      <c r="R1378" t="s">
        <v>50</v>
      </c>
      <c r="S1378" t="s">
        <v>1671</v>
      </c>
      <c r="U1378" t="s">
        <v>1976</v>
      </c>
      <c r="V1378" t="s">
        <v>1984</v>
      </c>
      <c r="W1378" t="s">
        <v>344</v>
      </c>
      <c r="X1378">
        <v>1085</v>
      </c>
      <c r="Y1378" t="s">
        <v>2008</v>
      </c>
      <c r="Z1378" t="s">
        <v>2021</v>
      </c>
      <c r="AA1378" t="s">
        <v>2039</v>
      </c>
      <c r="AB1378" t="s">
        <v>14023</v>
      </c>
      <c r="AD1378" t="s">
        <v>16459</v>
      </c>
      <c r="AE1378">
        <v>38</v>
      </c>
      <c r="AF1378" t="s">
        <v>2902</v>
      </c>
      <c r="AG1378" t="s">
        <v>1754</v>
      </c>
      <c r="AH1378">
        <v>19</v>
      </c>
      <c r="AI1378">
        <v>1</v>
      </c>
      <c r="AJ1378">
        <v>0</v>
      </c>
      <c r="AK1378">
        <v>53.54</v>
      </c>
      <c r="AN1378" t="s">
        <v>2926</v>
      </c>
      <c r="AO1378">
        <v>6500</v>
      </c>
      <c r="AQ1378" t="s">
        <v>18422</v>
      </c>
      <c r="AR1378" t="s">
        <v>18468</v>
      </c>
      <c r="AS1378" t="s">
        <v>2992</v>
      </c>
      <c r="AT1378" t="s">
        <v>18545</v>
      </c>
      <c r="AU1378">
        <v>6.55</v>
      </c>
      <c r="AV1378" t="s">
        <v>218</v>
      </c>
      <c r="AW1378" t="s">
        <v>3051</v>
      </c>
    </row>
    <row r="1379" spans="1:50">
      <c r="A1379" s="1" t="s">
        <v>79</v>
      </c>
      <c r="B1379" t="s">
        <v>163</v>
      </c>
      <c r="C1379" t="s">
        <v>4589</v>
      </c>
      <c r="D1379" t="s">
        <v>326</v>
      </c>
      <c r="F1379" t="s">
        <v>668</v>
      </c>
      <c r="G1379" t="s">
        <v>8537</v>
      </c>
      <c r="H1379" t="s">
        <v>9623</v>
      </c>
      <c r="I1379" t="s">
        <v>1569</v>
      </c>
      <c r="J1379" t="s">
        <v>1644</v>
      </c>
      <c r="K1379">
        <v>11212</v>
      </c>
      <c r="L1379" t="s">
        <v>1670</v>
      </c>
      <c r="M1379" t="s">
        <v>1670</v>
      </c>
      <c r="O1379" t="s">
        <v>1946</v>
      </c>
      <c r="P1379" t="s">
        <v>1964</v>
      </c>
      <c r="R1379" t="s">
        <v>50</v>
      </c>
      <c r="S1379" t="s">
        <v>1670</v>
      </c>
      <c r="U1379" t="s">
        <v>1972</v>
      </c>
      <c r="W1379" t="s">
        <v>326</v>
      </c>
      <c r="X1379">
        <v>1300</v>
      </c>
      <c r="Y1379" t="s">
        <v>2009</v>
      </c>
      <c r="Z1379" t="s">
        <v>2016</v>
      </c>
      <c r="AB1379" t="s">
        <v>14024</v>
      </c>
      <c r="AD1379" t="s">
        <v>16460</v>
      </c>
      <c r="AE1379">
        <v>19</v>
      </c>
      <c r="AF1379" t="s">
        <v>2902</v>
      </c>
      <c r="AG1379" t="s">
        <v>2915</v>
      </c>
      <c r="AH1379">
        <v>15</v>
      </c>
      <c r="AI1379">
        <v>2</v>
      </c>
      <c r="AJ1379">
        <v>0</v>
      </c>
      <c r="AK1379">
        <v>53.65</v>
      </c>
      <c r="AN1379" t="s">
        <v>2926</v>
      </c>
      <c r="AO1379">
        <v>9072</v>
      </c>
      <c r="AU1379" t="s">
        <v>13051</v>
      </c>
      <c r="AW1379" t="s">
        <v>3059</v>
      </c>
    </row>
    <row r="1380" spans="1:50">
      <c r="A1380" s="1" t="s">
        <v>95</v>
      </c>
      <c r="B1380" t="s">
        <v>163</v>
      </c>
      <c r="C1380" t="s">
        <v>4590</v>
      </c>
      <c r="D1380" t="s">
        <v>400</v>
      </c>
      <c r="F1380" t="s">
        <v>7397</v>
      </c>
      <c r="G1380" t="s">
        <v>965</v>
      </c>
      <c r="H1380" t="s">
        <v>9991</v>
      </c>
      <c r="I1380">
        <v>67</v>
      </c>
      <c r="J1380" t="s">
        <v>1641</v>
      </c>
      <c r="K1380">
        <v>10452</v>
      </c>
      <c r="L1380" t="s">
        <v>1670</v>
      </c>
      <c r="M1380" t="s">
        <v>1672</v>
      </c>
      <c r="P1380" t="s">
        <v>1962</v>
      </c>
      <c r="R1380" t="s">
        <v>50</v>
      </c>
      <c r="S1380" t="s">
        <v>1671</v>
      </c>
      <c r="U1380" t="s">
        <v>1972</v>
      </c>
      <c r="V1380" t="s">
        <v>1984</v>
      </c>
      <c r="W1380" t="s">
        <v>1991</v>
      </c>
      <c r="X1380">
        <v>834.85</v>
      </c>
      <c r="Y1380" t="s">
        <v>2006</v>
      </c>
      <c r="Z1380" t="s">
        <v>2015</v>
      </c>
      <c r="AB1380" t="s">
        <v>14025</v>
      </c>
      <c r="AE1380" t="s">
        <v>13051</v>
      </c>
      <c r="AF1380" t="s">
        <v>2902</v>
      </c>
      <c r="AG1380" t="s">
        <v>1754</v>
      </c>
      <c r="AH1380">
        <v>40</v>
      </c>
      <c r="AI1380">
        <v>1</v>
      </c>
      <c r="AJ1380">
        <v>0</v>
      </c>
      <c r="AK1380">
        <v>53.72</v>
      </c>
      <c r="AN1380" t="s">
        <v>2927</v>
      </c>
      <c r="AO1380">
        <v>6709.2</v>
      </c>
      <c r="AU1380">
        <v>1.25</v>
      </c>
      <c r="AV1380" t="s">
        <v>400</v>
      </c>
      <c r="AW1380" t="s">
        <v>95</v>
      </c>
      <c r="AX1380" t="s">
        <v>18685</v>
      </c>
    </row>
    <row r="1381" spans="1:50">
      <c r="A1381" s="1" t="s">
        <v>119</v>
      </c>
      <c r="B1381" t="s">
        <v>163</v>
      </c>
      <c r="C1381" t="s">
        <v>4591</v>
      </c>
      <c r="D1381" t="s">
        <v>369</v>
      </c>
      <c r="F1381" t="s">
        <v>7398</v>
      </c>
      <c r="G1381" t="s">
        <v>8538</v>
      </c>
      <c r="H1381" t="s">
        <v>9992</v>
      </c>
      <c r="I1381" t="s">
        <v>1506</v>
      </c>
      <c r="J1381" t="s">
        <v>1644</v>
      </c>
      <c r="K1381">
        <v>11233</v>
      </c>
      <c r="L1381" t="s">
        <v>1670</v>
      </c>
      <c r="M1381" t="s">
        <v>1672</v>
      </c>
      <c r="N1381" t="s">
        <v>12222</v>
      </c>
      <c r="O1381" t="s">
        <v>1936</v>
      </c>
      <c r="P1381" t="s">
        <v>1960</v>
      </c>
      <c r="R1381" t="s">
        <v>50</v>
      </c>
      <c r="S1381" t="s">
        <v>1671</v>
      </c>
      <c r="U1381" t="s">
        <v>1972</v>
      </c>
      <c r="V1381" t="s">
        <v>1983</v>
      </c>
      <c r="W1381" t="s">
        <v>249</v>
      </c>
      <c r="X1381">
        <v>1322</v>
      </c>
      <c r="Y1381" t="s">
        <v>2009</v>
      </c>
      <c r="Z1381" t="s">
        <v>2019</v>
      </c>
      <c r="AB1381" t="s">
        <v>14026</v>
      </c>
      <c r="AC1381" t="s">
        <v>15159</v>
      </c>
      <c r="AD1381" t="s">
        <v>16461</v>
      </c>
      <c r="AE1381">
        <v>48</v>
      </c>
      <c r="AF1381" t="s">
        <v>2902</v>
      </c>
      <c r="AG1381" t="s">
        <v>2917</v>
      </c>
      <c r="AH1381">
        <v>3</v>
      </c>
      <c r="AI1381">
        <v>1</v>
      </c>
      <c r="AJ1381">
        <v>0</v>
      </c>
      <c r="AK1381">
        <v>53.77</v>
      </c>
      <c r="AN1381" t="s">
        <v>2926</v>
      </c>
      <c r="AO1381">
        <v>6715.8</v>
      </c>
      <c r="AU1381">
        <v>15.6</v>
      </c>
      <c r="AV1381" t="s">
        <v>397</v>
      </c>
      <c r="AW1381" t="s">
        <v>3060</v>
      </c>
      <c r="AX1381" t="s">
        <v>18685</v>
      </c>
    </row>
    <row r="1382" spans="1:50">
      <c r="A1382" s="1" t="s">
        <v>115</v>
      </c>
      <c r="B1382" t="s">
        <v>164</v>
      </c>
      <c r="C1382" t="s">
        <v>4592</v>
      </c>
      <c r="D1382" t="s">
        <v>270</v>
      </c>
      <c r="E1382" t="s">
        <v>286</v>
      </c>
      <c r="F1382" t="s">
        <v>724</v>
      </c>
      <c r="G1382" t="s">
        <v>8012</v>
      </c>
      <c r="H1382" t="s">
        <v>9993</v>
      </c>
      <c r="I1382" t="s">
        <v>1570</v>
      </c>
      <c r="J1382" t="s">
        <v>1641</v>
      </c>
      <c r="K1382">
        <v>10453</v>
      </c>
      <c r="L1382" t="s">
        <v>1670</v>
      </c>
      <c r="M1382" t="s">
        <v>1670</v>
      </c>
      <c r="O1382" t="s">
        <v>1675</v>
      </c>
      <c r="P1382" t="s">
        <v>1962</v>
      </c>
      <c r="Q1382" t="s">
        <v>1968</v>
      </c>
      <c r="R1382" t="s">
        <v>50</v>
      </c>
      <c r="S1382" t="s">
        <v>1671</v>
      </c>
      <c r="U1382" t="s">
        <v>1972</v>
      </c>
      <c r="W1382" t="s">
        <v>270</v>
      </c>
      <c r="X1382">
        <v>169</v>
      </c>
      <c r="Y1382" t="s">
        <v>2006</v>
      </c>
      <c r="Z1382" t="s">
        <v>2015</v>
      </c>
      <c r="AA1382" t="s">
        <v>2029</v>
      </c>
      <c r="AB1382" t="s">
        <v>14027</v>
      </c>
      <c r="AD1382" t="s">
        <v>16462</v>
      </c>
      <c r="AE1382">
        <v>298</v>
      </c>
      <c r="AF1382" t="s">
        <v>2902</v>
      </c>
      <c r="AG1382" t="s">
        <v>2915</v>
      </c>
      <c r="AH1382">
        <v>37</v>
      </c>
      <c r="AI1382">
        <v>2</v>
      </c>
      <c r="AJ1382">
        <v>0</v>
      </c>
      <c r="AK1382">
        <v>53.95</v>
      </c>
      <c r="AN1382" t="s">
        <v>2927</v>
      </c>
      <c r="AO1382">
        <v>8880</v>
      </c>
      <c r="AU1382">
        <v>2.6</v>
      </c>
      <c r="AV1382" t="s">
        <v>286</v>
      </c>
      <c r="AW1382" t="s">
        <v>123</v>
      </c>
    </row>
    <row r="1383" spans="1:50">
      <c r="A1383" s="1" t="s">
        <v>91</v>
      </c>
      <c r="B1383" t="s">
        <v>163</v>
      </c>
      <c r="C1383" t="s">
        <v>4593</v>
      </c>
      <c r="D1383" t="s">
        <v>367</v>
      </c>
      <c r="F1383" t="s">
        <v>427</v>
      </c>
      <c r="G1383" t="s">
        <v>8539</v>
      </c>
      <c r="H1383" t="s">
        <v>1318</v>
      </c>
      <c r="I1383" t="s">
        <v>1490</v>
      </c>
      <c r="J1383" t="s">
        <v>1643</v>
      </c>
      <c r="K1383">
        <v>10032</v>
      </c>
      <c r="L1383" t="s">
        <v>1670</v>
      </c>
      <c r="M1383" t="s">
        <v>1670</v>
      </c>
      <c r="P1383" t="s">
        <v>1960</v>
      </c>
      <c r="R1383" t="s">
        <v>50</v>
      </c>
      <c r="S1383" t="s">
        <v>1670</v>
      </c>
      <c r="U1383" t="s">
        <v>1972</v>
      </c>
      <c r="W1383" t="s">
        <v>367</v>
      </c>
      <c r="X1383">
        <v>768.22</v>
      </c>
      <c r="Y1383" t="s">
        <v>2008</v>
      </c>
      <c r="Z1383" t="s">
        <v>2013</v>
      </c>
      <c r="AB1383" t="s">
        <v>14028</v>
      </c>
      <c r="AE1383">
        <v>42</v>
      </c>
      <c r="AF1383" t="s">
        <v>2902</v>
      </c>
      <c r="AG1383" t="s">
        <v>1754</v>
      </c>
      <c r="AH1383">
        <v>39</v>
      </c>
      <c r="AI1383">
        <v>2</v>
      </c>
      <c r="AJ1383">
        <v>0</v>
      </c>
      <c r="AK1383">
        <v>54.09</v>
      </c>
      <c r="AN1383" t="s">
        <v>2927</v>
      </c>
      <c r="AO1383">
        <v>8904</v>
      </c>
      <c r="AU1383" t="s">
        <v>13051</v>
      </c>
      <c r="AW1383" t="s">
        <v>3042</v>
      </c>
    </row>
    <row r="1384" spans="1:50">
      <c r="A1384" s="1" t="s">
        <v>101</v>
      </c>
      <c r="B1384" t="s">
        <v>164</v>
      </c>
      <c r="C1384" t="s">
        <v>4594</v>
      </c>
      <c r="D1384" t="s">
        <v>356</v>
      </c>
      <c r="E1384" t="s">
        <v>224</v>
      </c>
      <c r="F1384" t="s">
        <v>7399</v>
      </c>
      <c r="G1384" t="s">
        <v>7908</v>
      </c>
      <c r="H1384" t="s">
        <v>9994</v>
      </c>
      <c r="I1384">
        <v>42</v>
      </c>
      <c r="J1384" t="s">
        <v>1643</v>
      </c>
      <c r="K1384">
        <v>10035</v>
      </c>
      <c r="L1384" t="s">
        <v>1670</v>
      </c>
      <c r="M1384" t="s">
        <v>1670</v>
      </c>
      <c r="O1384" t="s">
        <v>1675</v>
      </c>
      <c r="P1384" t="s">
        <v>1958</v>
      </c>
      <c r="Q1384" t="s">
        <v>1965</v>
      </c>
      <c r="R1384" t="s">
        <v>50</v>
      </c>
      <c r="S1384" t="s">
        <v>1671</v>
      </c>
      <c r="U1384" t="s">
        <v>1972</v>
      </c>
      <c r="V1384" t="s">
        <v>1984</v>
      </c>
      <c r="W1384" t="s">
        <v>311</v>
      </c>
      <c r="X1384">
        <v>557</v>
      </c>
      <c r="Y1384" t="s">
        <v>2008</v>
      </c>
      <c r="Z1384" t="s">
        <v>2013</v>
      </c>
      <c r="AA1384" t="s">
        <v>2029</v>
      </c>
      <c r="AB1384" t="s">
        <v>14029</v>
      </c>
      <c r="AD1384" t="s">
        <v>16463</v>
      </c>
      <c r="AE1384">
        <v>18</v>
      </c>
      <c r="AF1384" t="s">
        <v>2913</v>
      </c>
      <c r="AG1384" t="s">
        <v>2919</v>
      </c>
      <c r="AH1384">
        <v>25</v>
      </c>
      <c r="AI1384">
        <v>1</v>
      </c>
      <c r="AJ1384">
        <v>0</v>
      </c>
      <c r="AK1384">
        <v>54.27</v>
      </c>
      <c r="AN1384" t="s">
        <v>2926</v>
      </c>
      <c r="AO1384">
        <v>6588</v>
      </c>
      <c r="AU1384">
        <v>0.1</v>
      </c>
      <c r="AV1384" t="s">
        <v>224</v>
      </c>
      <c r="AW1384" t="s">
        <v>3051</v>
      </c>
    </row>
    <row r="1385" spans="1:50">
      <c r="A1385" s="1" t="s">
        <v>61</v>
      </c>
      <c r="B1385" t="s">
        <v>164</v>
      </c>
      <c r="C1385" t="s">
        <v>4595</v>
      </c>
      <c r="D1385" t="s">
        <v>3040</v>
      </c>
      <c r="E1385" t="s">
        <v>347</v>
      </c>
      <c r="F1385" t="s">
        <v>7267</v>
      </c>
      <c r="G1385" t="s">
        <v>1048</v>
      </c>
      <c r="H1385" t="s">
        <v>9801</v>
      </c>
      <c r="I1385" t="s">
        <v>1544</v>
      </c>
      <c r="J1385" t="s">
        <v>1644</v>
      </c>
      <c r="K1385">
        <v>11231</v>
      </c>
      <c r="L1385" t="s">
        <v>1670</v>
      </c>
      <c r="M1385" t="s">
        <v>1670</v>
      </c>
      <c r="N1385" t="s">
        <v>12223</v>
      </c>
      <c r="O1385" t="s">
        <v>1936</v>
      </c>
      <c r="P1385" t="s">
        <v>1960</v>
      </c>
      <c r="Q1385" t="s">
        <v>1966</v>
      </c>
      <c r="R1385" t="s">
        <v>50</v>
      </c>
      <c r="S1385" t="s">
        <v>1671</v>
      </c>
      <c r="U1385" t="s">
        <v>1972</v>
      </c>
      <c r="V1385" t="s">
        <v>1984</v>
      </c>
      <c r="W1385" t="s">
        <v>3040</v>
      </c>
      <c r="X1385">
        <v>787.48</v>
      </c>
      <c r="Y1385" t="s">
        <v>2009</v>
      </c>
      <c r="AA1385" t="s">
        <v>2032</v>
      </c>
      <c r="AB1385" t="s">
        <v>13781</v>
      </c>
      <c r="AD1385" t="s">
        <v>16228</v>
      </c>
      <c r="AE1385">
        <v>7</v>
      </c>
      <c r="AF1385" t="s">
        <v>2902</v>
      </c>
      <c r="AG1385" t="s">
        <v>1754</v>
      </c>
      <c r="AH1385" t="s">
        <v>13051</v>
      </c>
      <c r="AI1385">
        <v>2</v>
      </c>
      <c r="AJ1385">
        <v>0</v>
      </c>
      <c r="AK1385">
        <v>54.31</v>
      </c>
      <c r="AN1385" t="s">
        <v>2926</v>
      </c>
      <c r="AO1385">
        <v>8940</v>
      </c>
      <c r="AQ1385" t="s">
        <v>2976</v>
      </c>
      <c r="AR1385" t="s">
        <v>2982</v>
      </c>
      <c r="AS1385" t="s">
        <v>2992</v>
      </c>
      <c r="AT1385" t="s">
        <v>18546</v>
      </c>
      <c r="AU1385">
        <v>15.3</v>
      </c>
      <c r="AV1385" t="s">
        <v>205</v>
      </c>
      <c r="AW1385" t="s">
        <v>69</v>
      </c>
    </row>
    <row r="1386" spans="1:50">
      <c r="A1386" s="1" t="s">
        <v>95</v>
      </c>
      <c r="B1386" t="s">
        <v>164</v>
      </c>
      <c r="C1386" t="s">
        <v>4596</v>
      </c>
      <c r="D1386" t="s">
        <v>295</v>
      </c>
      <c r="E1386" t="s">
        <v>220</v>
      </c>
      <c r="F1386" t="s">
        <v>7400</v>
      </c>
      <c r="G1386" t="s">
        <v>8540</v>
      </c>
      <c r="H1386" t="s">
        <v>9995</v>
      </c>
      <c r="I1386" t="s">
        <v>1477</v>
      </c>
      <c r="J1386" t="s">
        <v>1641</v>
      </c>
      <c r="K1386">
        <v>10458</v>
      </c>
      <c r="L1386" t="s">
        <v>1670</v>
      </c>
      <c r="M1386" t="s">
        <v>1670</v>
      </c>
      <c r="O1386" t="s">
        <v>1675</v>
      </c>
      <c r="P1386" t="s">
        <v>1958</v>
      </c>
      <c r="Q1386" t="s">
        <v>1965</v>
      </c>
      <c r="R1386" t="s">
        <v>50</v>
      </c>
      <c r="S1386" t="s">
        <v>1671</v>
      </c>
      <c r="U1386" t="s">
        <v>1972</v>
      </c>
      <c r="W1386" t="s">
        <v>295</v>
      </c>
      <c r="X1386">
        <v>1678</v>
      </c>
      <c r="Y1386" t="s">
        <v>2006</v>
      </c>
      <c r="Z1386" t="s">
        <v>2015</v>
      </c>
      <c r="AA1386" t="s">
        <v>2029</v>
      </c>
      <c r="AB1386" t="s">
        <v>14030</v>
      </c>
      <c r="AD1386" t="s">
        <v>16464</v>
      </c>
      <c r="AE1386" t="s">
        <v>13051</v>
      </c>
      <c r="AH1386">
        <v>5</v>
      </c>
      <c r="AI1386">
        <v>2</v>
      </c>
      <c r="AJ1386">
        <v>0</v>
      </c>
      <c r="AK1386">
        <v>54.64</v>
      </c>
      <c r="AN1386" t="s">
        <v>2926</v>
      </c>
      <c r="AO1386">
        <v>9240</v>
      </c>
      <c r="AU1386">
        <v>1.25</v>
      </c>
      <c r="AV1386" t="s">
        <v>339</v>
      </c>
      <c r="AW1386" t="s">
        <v>95</v>
      </c>
    </row>
    <row r="1387" spans="1:50">
      <c r="A1387" s="1" t="s">
        <v>64</v>
      </c>
      <c r="B1387" t="s">
        <v>164</v>
      </c>
      <c r="C1387" t="s">
        <v>4597</v>
      </c>
      <c r="D1387" t="s">
        <v>219</v>
      </c>
      <c r="E1387" t="s">
        <v>230</v>
      </c>
      <c r="F1387" t="s">
        <v>650</v>
      </c>
      <c r="G1387" t="s">
        <v>1020</v>
      </c>
      <c r="H1387" t="s">
        <v>9996</v>
      </c>
      <c r="I1387" t="s">
        <v>1506</v>
      </c>
      <c r="J1387" t="s">
        <v>1643</v>
      </c>
      <c r="K1387">
        <v>10034</v>
      </c>
      <c r="L1387" t="s">
        <v>1670</v>
      </c>
      <c r="M1387" t="s">
        <v>1670</v>
      </c>
      <c r="O1387" t="s">
        <v>1936</v>
      </c>
      <c r="P1387" t="s">
        <v>1958</v>
      </c>
      <c r="Q1387" t="s">
        <v>1965</v>
      </c>
      <c r="R1387" t="s">
        <v>50</v>
      </c>
      <c r="S1387" t="s">
        <v>1671</v>
      </c>
      <c r="U1387" t="s">
        <v>1972</v>
      </c>
      <c r="W1387" t="s">
        <v>219</v>
      </c>
      <c r="X1387">
        <v>1200</v>
      </c>
      <c r="Y1387" t="s">
        <v>2008</v>
      </c>
      <c r="Z1387" t="s">
        <v>2020</v>
      </c>
      <c r="AA1387" t="s">
        <v>2029</v>
      </c>
      <c r="AB1387" t="s">
        <v>14031</v>
      </c>
      <c r="AD1387" t="s">
        <v>16465</v>
      </c>
      <c r="AE1387">
        <v>16</v>
      </c>
      <c r="AF1387" t="s">
        <v>2902</v>
      </c>
      <c r="AG1387" t="s">
        <v>2915</v>
      </c>
      <c r="AH1387">
        <v>15</v>
      </c>
      <c r="AI1387">
        <v>2</v>
      </c>
      <c r="AJ1387">
        <v>0</v>
      </c>
      <c r="AK1387">
        <v>54.64</v>
      </c>
      <c r="AN1387" t="s">
        <v>2927</v>
      </c>
      <c r="AO1387">
        <v>9240</v>
      </c>
      <c r="AU1387">
        <v>1.5</v>
      </c>
      <c r="AV1387" t="s">
        <v>239</v>
      </c>
      <c r="AW1387" t="s">
        <v>3042</v>
      </c>
      <c r="AX1387" t="s">
        <v>18685</v>
      </c>
    </row>
    <row r="1388" spans="1:50">
      <c r="A1388" s="1" t="s">
        <v>74</v>
      </c>
      <c r="B1388" t="s">
        <v>163</v>
      </c>
      <c r="C1388" t="s">
        <v>4598</v>
      </c>
      <c r="D1388" t="s">
        <v>328</v>
      </c>
      <c r="F1388" t="s">
        <v>7032</v>
      </c>
      <c r="G1388" t="s">
        <v>7464</v>
      </c>
      <c r="H1388" t="s">
        <v>1131</v>
      </c>
      <c r="I1388" t="s">
        <v>11214</v>
      </c>
      <c r="J1388" t="s">
        <v>1641</v>
      </c>
      <c r="K1388">
        <v>10460</v>
      </c>
      <c r="L1388" t="s">
        <v>1670</v>
      </c>
      <c r="M1388" t="s">
        <v>1672</v>
      </c>
      <c r="N1388" t="s">
        <v>1691</v>
      </c>
      <c r="O1388" t="s">
        <v>1675</v>
      </c>
      <c r="P1388" t="s">
        <v>1959</v>
      </c>
      <c r="R1388" t="s">
        <v>50</v>
      </c>
      <c r="S1388" t="s">
        <v>1670</v>
      </c>
      <c r="U1388" t="s">
        <v>1972</v>
      </c>
      <c r="W1388" t="s">
        <v>1991</v>
      </c>
      <c r="X1388">
        <v>242</v>
      </c>
      <c r="Y1388" t="s">
        <v>2006</v>
      </c>
      <c r="Z1388" t="s">
        <v>2020</v>
      </c>
      <c r="AB1388" t="s">
        <v>14032</v>
      </c>
      <c r="AD1388" t="s">
        <v>16466</v>
      </c>
      <c r="AE1388">
        <v>168</v>
      </c>
      <c r="AF1388" t="s">
        <v>2904</v>
      </c>
      <c r="AG1388" t="s">
        <v>2017</v>
      </c>
      <c r="AH1388">
        <v>1</v>
      </c>
      <c r="AI1388">
        <v>2</v>
      </c>
      <c r="AJ1388">
        <v>0</v>
      </c>
      <c r="AK1388">
        <v>54.64</v>
      </c>
      <c r="AN1388" t="s">
        <v>2926</v>
      </c>
      <c r="AO1388">
        <v>9240</v>
      </c>
      <c r="AU1388">
        <v>0.2</v>
      </c>
      <c r="AV1388" t="s">
        <v>357</v>
      </c>
      <c r="AW1388" t="s">
        <v>3046</v>
      </c>
      <c r="AX1388" t="s">
        <v>18685</v>
      </c>
    </row>
    <row r="1389" spans="1:50">
      <c r="A1389" s="1" t="s">
        <v>3137</v>
      </c>
      <c r="B1389" t="s">
        <v>164</v>
      </c>
      <c r="C1389" t="s">
        <v>4599</v>
      </c>
      <c r="D1389" t="s">
        <v>232</v>
      </c>
      <c r="E1389" t="s">
        <v>360</v>
      </c>
      <c r="F1389" t="s">
        <v>7401</v>
      </c>
      <c r="G1389" t="s">
        <v>8541</v>
      </c>
      <c r="H1389" t="s">
        <v>9997</v>
      </c>
      <c r="I1389" t="s">
        <v>1542</v>
      </c>
      <c r="J1389" t="s">
        <v>1645</v>
      </c>
      <c r="K1389">
        <v>11691</v>
      </c>
      <c r="L1389" t="s">
        <v>1670</v>
      </c>
      <c r="M1389" t="s">
        <v>1670</v>
      </c>
      <c r="N1389" t="s">
        <v>12224</v>
      </c>
      <c r="O1389" t="s">
        <v>1940</v>
      </c>
      <c r="P1389" t="s">
        <v>1958</v>
      </c>
      <c r="Q1389" t="s">
        <v>1965</v>
      </c>
      <c r="R1389" t="s">
        <v>50</v>
      </c>
      <c r="S1389" t="s">
        <v>1671</v>
      </c>
      <c r="U1389" t="s">
        <v>1972</v>
      </c>
      <c r="V1389" t="s">
        <v>1984</v>
      </c>
      <c r="W1389" t="s">
        <v>232</v>
      </c>
      <c r="X1389">
        <v>1400</v>
      </c>
      <c r="Y1389" t="s">
        <v>2007</v>
      </c>
      <c r="Z1389" t="s">
        <v>2014</v>
      </c>
      <c r="AA1389" t="s">
        <v>2029</v>
      </c>
      <c r="AB1389" t="s">
        <v>2261</v>
      </c>
      <c r="AC1389" t="s">
        <v>15160</v>
      </c>
      <c r="AD1389" t="s">
        <v>16467</v>
      </c>
      <c r="AE1389">
        <v>2</v>
      </c>
      <c r="AF1389" t="s">
        <v>2903</v>
      </c>
      <c r="AG1389" t="s">
        <v>2921</v>
      </c>
      <c r="AH1389">
        <v>5</v>
      </c>
      <c r="AI1389">
        <v>2</v>
      </c>
      <c r="AJ1389">
        <v>0</v>
      </c>
      <c r="AK1389">
        <v>54.68</v>
      </c>
      <c r="AN1389" t="s">
        <v>2926</v>
      </c>
      <c r="AO1389">
        <v>9000</v>
      </c>
      <c r="AU1389">
        <v>1.35</v>
      </c>
      <c r="AV1389" t="s">
        <v>351</v>
      </c>
      <c r="AW1389" t="s">
        <v>85</v>
      </c>
    </row>
    <row r="1390" spans="1:50">
      <c r="A1390" s="1" t="s">
        <v>64</v>
      </c>
      <c r="B1390" t="s">
        <v>164</v>
      </c>
      <c r="C1390" t="s">
        <v>4600</v>
      </c>
      <c r="D1390" t="s">
        <v>331</v>
      </c>
      <c r="E1390" t="s">
        <v>236</v>
      </c>
      <c r="F1390" t="s">
        <v>7402</v>
      </c>
      <c r="G1390" t="s">
        <v>7944</v>
      </c>
      <c r="H1390" t="s">
        <v>9998</v>
      </c>
      <c r="I1390" t="s">
        <v>11215</v>
      </c>
      <c r="J1390" t="s">
        <v>1643</v>
      </c>
      <c r="K1390">
        <v>10032</v>
      </c>
      <c r="L1390" t="s">
        <v>1670</v>
      </c>
      <c r="M1390" t="s">
        <v>1670</v>
      </c>
      <c r="O1390" t="s">
        <v>1939</v>
      </c>
      <c r="P1390" t="s">
        <v>1958</v>
      </c>
      <c r="Q1390" t="s">
        <v>1965</v>
      </c>
      <c r="R1390" t="s">
        <v>50</v>
      </c>
      <c r="S1390" t="s">
        <v>1671</v>
      </c>
      <c r="U1390" t="s">
        <v>1972</v>
      </c>
      <c r="W1390" t="s">
        <v>331</v>
      </c>
      <c r="X1390">
        <v>649.45</v>
      </c>
      <c r="Y1390" t="s">
        <v>2008</v>
      </c>
      <c r="Z1390" t="s">
        <v>2013</v>
      </c>
      <c r="AA1390" t="s">
        <v>2029</v>
      </c>
      <c r="AB1390" t="s">
        <v>14033</v>
      </c>
      <c r="AD1390" t="s">
        <v>16468</v>
      </c>
      <c r="AE1390">
        <v>47</v>
      </c>
      <c r="AF1390" t="s">
        <v>2902</v>
      </c>
      <c r="AG1390" t="s">
        <v>2919</v>
      </c>
      <c r="AH1390">
        <v>40</v>
      </c>
      <c r="AI1390">
        <v>2</v>
      </c>
      <c r="AJ1390">
        <v>0</v>
      </c>
      <c r="AK1390">
        <v>54.68</v>
      </c>
      <c r="AN1390" t="s">
        <v>2927</v>
      </c>
      <c r="AO1390">
        <v>9000</v>
      </c>
      <c r="AU1390">
        <v>1.1</v>
      </c>
      <c r="AV1390" t="s">
        <v>237</v>
      </c>
      <c r="AW1390" t="s">
        <v>3042</v>
      </c>
      <c r="AX1390" t="s">
        <v>18685</v>
      </c>
    </row>
    <row r="1391" spans="1:50">
      <c r="A1391" s="1" t="s">
        <v>146</v>
      </c>
      <c r="B1391" t="s">
        <v>164</v>
      </c>
      <c r="C1391" t="s">
        <v>4601</v>
      </c>
      <c r="D1391" t="s">
        <v>216</v>
      </c>
      <c r="E1391" t="s">
        <v>278</v>
      </c>
      <c r="F1391" t="s">
        <v>6859</v>
      </c>
      <c r="G1391" t="s">
        <v>1000</v>
      </c>
      <c r="H1391" t="s">
        <v>9999</v>
      </c>
      <c r="I1391" t="s">
        <v>1477</v>
      </c>
      <c r="J1391" t="s">
        <v>1641</v>
      </c>
      <c r="K1391">
        <v>10457</v>
      </c>
      <c r="L1391" t="s">
        <v>1670</v>
      </c>
      <c r="M1391" t="s">
        <v>1670</v>
      </c>
      <c r="O1391" t="s">
        <v>1940</v>
      </c>
      <c r="P1391" t="s">
        <v>1962</v>
      </c>
      <c r="Q1391" t="s">
        <v>1968</v>
      </c>
      <c r="R1391" t="s">
        <v>50</v>
      </c>
      <c r="S1391" t="s">
        <v>1671</v>
      </c>
      <c r="U1391" t="s">
        <v>1972</v>
      </c>
      <c r="V1391" t="s">
        <v>1984</v>
      </c>
      <c r="W1391" t="s">
        <v>216</v>
      </c>
      <c r="X1391">
        <v>931</v>
      </c>
      <c r="Y1391" t="s">
        <v>2006</v>
      </c>
      <c r="Z1391" t="s">
        <v>2015</v>
      </c>
      <c r="AA1391" t="s">
        <v>2030</v>
      </c>
      <c r="AB1391" t="s">
        <v>14034</v>
      </c>
      <c r="AD1391" t="s">
        <v>16469</v>
      </c>
      <c r="AE1391">
        <v>36</v>
      </c>
      <c r="AF1391" t="s">
        <v>2909</v>
      </c>
      <c r="AG1391" t="s">
        <v>2915</v>
      </c>
      <c r="AH1391">
        <v>30</v>
      </c>
      <c r="AI1391">
        <v>2</v>
      </c>
      <c r="AJ1391">
        <v>0</v>
      </c>
      <c r="AK1391">
        <v>54.68</v>
      </c>
      <c r="AN1391" t="s">
        <v>2926</v>
      </c>
      <c r="AO1391">
        <v>9000</v>
      </c>
      <c r="AQ1391" t="s">
        <v>2979</v>
      </c>
      <c r="AR1391" t="s">
        <v>2989</v>
      </c>
      <c r="AS1391" t="s">
        <v>2992</v>
      </c>
      <c r="AT1391" t="s">
        <v>18547</v>
      </c>
      <c r="AU1391">
        <v>0.5</v>
      </c>
      <c r="AV1391" t="s">
        <v>169</v>
      </c>
      <c r="AW1391" t="s">
        <v>3047</v>
      </c>
    </row>
    <row r="1392" spans="1:50">
      <c r="A1392" s="1" t="s">
        <v>121</v>
      </c>
      <c r="B1392" t="s">
        <v>163</v>
      </c>
      <c r="C1392" t="s">
        <v>4602</v>
      </c>
      <c r="D1392" t="s">
        <v>284</v>
      </c>
      <c r="F1392" t="s">
        <v>628</v>
      </c>
      <c r="G1392" t="s">
        <v>974</v>
      </c>
      <c r="H1392" t="s">
        <v>10000</v>
      </c>
      <c r="I1392" t="s">
        <v>1543</v>
      </c>
      <c r="J1392" t="s">
        <v>1644</v>
      </c>
      <c r="K1392">
        <v>11207</v>
      </c>
      <c r="L1392" t="s">
        <v>1670</v>
      </c>
      <c r="M1392" t="s">
        <v>1670</v>
      </c>
      <c r="N1392" t="s">
        <v>12225</v>
      </c>
      <c r="O1392" t="s">
        <v>1944</v>
      </c>
      <c r="P1392" t="s">
        <v>1962</v>
      </c>
      <c r="R1392" t="s">
        <v>50</v>
      </c>
      <c r="S1392" t="s">
        <v>1671</v>
      </c>
      <c r="U1392" t="s">
        <v>1974</v>
      </c>
      <c r="W1392" t="s">
        <v>284</v>
      </c>
      <c r="X1392">
        <v>1301.25</v>
      </c>
      <c r="Y1392" t="s">
        <v>2009</v>
      </c>
      <c r="Z1392" t="s">
        <v>2014</v>
      </c>
      <c r="AB1392" t="s">
        <v>14035</v>
      </c>
      <c r="AC1392" t="s">
        <v>15161</v>
      </c>
      <c r="AD1392" t="s">
        <v>16470</v>
      </c>
      <c r="AE1392">
        <v>6</v>
      </c>
      <c r="AF1392" t="s">
        <v>2902</v>
      </c>
      <c r="AG1392" t="s">
        <v>2921</v>
      </c>
      <c r="AH1392">
        <v>10</v>
      </c>
      <c r="AI1392">
        <v>2</v>
      </c>
      <c r="AJ1392">
        <v>0</v>
      </c>
      <c r="AK1392">
        <v>54.68</v>
      </c>
      <c r="AN1392" t="s">
        <v>2926</v>
      </c>
      <c r="AO1392">
        <v>9000</v>
      </c>
      <c r="AP1392" t="s">
        <v>2953</v>
      </c>
      <c r="AU1392" t="s">
        <v>13051</v>
      </c>
      <c r="AW1392" t="s">
        <v>3063</v>
      </c>
    </row>
    <row r="1393" spans="1:50">
      <c r="A1393" s="1" t="s">
        <v>146</v>
      </c>
      <c r="B1393" t="s">
        <v>164</v>
      </c>
      <c r="C1393" t="s">
        <v>4603</v>
      </c>
      <c r="D1393" t="s">
        <v>378</v>
      </c>
      <c r="E1393" t="s">
        <v>278</v>
      </c>
      <c r="F1393" t="s">
        <v>6859</v>
      </c>
      <c r="G1393" t="s">
        <v>1000</v>
      </c>
      <c r="H1393" t="s">
        <v>9999</v>
      </c>
      <c r="I1393" t="s">
        <v>1477</v>
      </c>
      <c r="J1393" t="s">
        <v>1641</v>
      </c>
      <c r="K1393">
        <v>10457</v>
      </c>
      <c r="L1393" t="s">
        <v>1670</v>
      </c>
      <c r="M1393" t="s">
        <v>1670</v>
      </c>
      <c r="O1393" t="s">
        <v>1942</v>
      </c>
      <c r="P1393" t="s">
        <v>1959</v>
      </c>
      <c r="Q1393" t="s">
        <v>1970</v>
      </c>
      <c r="R1393" t="s">
        <v>50</v>
      </c>
      <c r="S1393" t="s">
        <v>1671</v>
      </c>
      <c r="U1393" t="s">
        <v>1973</v>
      </c>
      <c r="W1393" t="s">
        <v>378</v>
      </c>
      <c r="X1393">
        <v>931</v>
      </c>
      <c r="Y1393" t="s">
        <v>2006</v>
      </c>
      <c r="Z1393" t="s">
        <v>2015</v>
      </c>
      <c r="AA1393" t="s">
        <v>13060</v>
      </c>
      <c r="AB1393" t="s">
        <v>14034</v>
      </c>
      <c r="AD1393" t="s">
        <v>16469</v>
      </c>
      <c r="AE1393">
        <v>36</v>
      </c>
      <c r="AF1393" t="s">
        <v>2909</v>
      </c>
      <c r="AG1393" t="s">
        <v>2915</v>
      </c>
      <c r="AH1393">
        <v>30</v>
      </c>
      <c r="AI1393">
        <v>2</v>
      </c>
      <c r="AJ1393">
        <v>0</v>
      </c>
      <c r="AK1393">
        <v>54.68</v>
      </c>
      <c r="AN1393" t="s">
        <v>2926</v>
      </c>
      <c r="AO1393">
        <v>9000</v>
      </c>
      <c r="AU1393">
        <v>7.85</v>
      </c>
      <c r="AV1393" t="s">
        <v>209</v>
      </c>
      <c r="AW1393" t="s">
        <v>18654</v>
      </c>
    </row>
    <row r="1394" spans="1:50">
      <c r="A1394" s="1" t="s">
        <v>61</v>
      </c>
      <c r="B1394" t="s">
        <v>163</v>
      </c>
      <c r="C1394" t="s">
        <v>4604</v>
      </c>
      <c r="D1394" t="s">
        <v>363</v>
      </c>
      <c r="F1394" t="s">
        <v>7257</v>
      </c>
      <c r="G1394" t="s">
        <v>8370</v>
      </c>
      <c r="H1394" t="s">
        <v>9414</v>
      </c>
      <c r="I1394" t="s">
        <v>11156</v>
      </c>
      <c r="J1394" t="s">
        <v>1644</v>
      </c>
      <c r="K1394">
        <v>11230</v>
      </c>
      <c r="L1394" t="s">
        <v>1670</v>
      </c>
      <c r="M1394" t="s">
        <v>1670</v>
      </c>
      <c r="O1394" t="s">
        <v>1675</v>
      </c>
      <c r="P1394" t="s">
        <v>1959</v>
      </c>
      <c r="R1394" t="s">
        <v>50</v>
      </c>
      <c r="S1394" t="s">
        <v>1670</v>
      </c>
      <c r="T1394" t="s">
        <v>13026</v>
      </c>
      <c r="U1394" t="s">
        <v>1972</v>
      </c>
      <c r="W1394" t="s">
        <v>167</v>
      </c>
      <c r="X1394">
        <v>611.15</v>
      </c>
      <c r="Y1394" t="s">
        <v>2009</v>
      </c>
      <c r="Z1394" t="s">
        <v>2015</v>
      </c>
      <c r="AB1394" t="s">
        <v>13765</v>
      </c>
      <c r="AE1394">
        <v>51</v>
      </c>
      <c r="AF1394" t="s">
        <v>2902</v>
      </c>
      <c r="AG1394" t="s">
        <v>1754</v>
      </c>
      <c r="AH1394">
        <v>54</v>
      </c>
      <c r="AI1394">
        <v>2</v>
      </c>
      <c r="AJ1394">
        <v>0</v>
      </c>
      <c r="AK1394">
        <v>54.68</v>
      </c>
      <c r="AN1394" t="s">
        <v>2926</v>
      </c>
      <c r="AO1394">
        <v>9000</v>
      </c>
      <c r="AU1394">
        <v>2.4</v>
      </c>
      <c r="AV1394" t="s">
        <v>230</v>
      </c>
      <c r="AW1394" t="s">
        <v>3079</v>
      </c>
    </row>
    <row r="1395" spans="1:50">
      <c r="A1395" s="1" t="s">
        <v>57</v>
      </c>
      <c r="B1395" t="s">
        <v>163</v>
      </c>
      <c r="C1395" t="s">
        <v>4605</v>
      </c>
      <c r="D1395" t="s">
        <v>2002</v>
      </c>
      <c r="F1395" t="s">
        <v>7403</v>
      </c>
      <c r="G1395" t="s">
        <v>953</v>
      </c>
      <c r="H1395" t="s">
        <v>1193</v>
      </c>
      <c r="I1395" t="s">
        <v>1507</v>
      </c>
      <c r="J1395" t="s">
        <v>1641</v>
      </c>
      <c r="K1395">
        <v>10456</v>
      </c>
      <c r="L1395" t="s">
        <v>1670</v>
      </c>
      <c r="M1395" t="s">
        <v>1670</v>
      </c>
      <c r="N1395" t="s">
        <v>1735</v>
      </c>
      <c r="O1395" t="s">
        <v>1938</v>
      </c>
      <c r="P1395" t="s">
        <v>1961</v>
      </c>
      <c r="R1395" t="s">
        <v>50</v>
      </c>
      <c r="S1395" t="s">
        <v>1670</v>
      </c>
      <c r="U1395" t="s">
        <v>1972</v>
      </c>
      <c r="W1395" t="s">
        <v>1992</v>
      </c>
      <c r="X1395">
        <v>1446.39</v>
      </c>
      <c r="Y1395" t="s">
        <v>2006</v>
      </c>
      <c r="Z1395" t="s">
        <v>2015</v>
      </c>
      <c r="AB1395" t="s">
        <v>14036</v>
      </c>
      <c r="AD1395" t="s">
        <v>16471</v>
      </c>
      <c r="AE1395">
        <v>61</v>
      </c>
      <c r="AF1395" t="s">
        <v>2902</v>
      </c>
      <c r="AG1395" t="s">
        <v>2915</v>
      </c>
      <c r="AH1395">
        <v>17</v>
      </c>
      <c r="AI1395">
        <v>2</v>
      </c>
      <c r="AJ1395">
        <v>0</v>
      </c>
      <c r="AK1395">
        <v>54.68</v>
      </c>
      <c r="AN1395" t="s">
        <v>2927</v>
      </c>
      <c r="AO1395">
        <v>9000</v>
      </c>
      <c r="AU1395" t="s">
        <v>13051</v>
      </c>
      <c r="AW1395" t="s">
        <v>3047</v>
      </c>
    </row>
    <row r="1396" spans="1:50">
      <c r="A1396" s="1" t="s">
        <v>120</v>
      </c>
      <c r="B1396" t="s">
        <v>163</v>
      </c>
      <c r="C1396" t="s">
        <v>4606</v>
      </c>
      <c r="D1396" t="s">
        <v>312</v>
      </c>
      <c r="F1396" t="s">
        <v>7109</v>
      </c>
      <c r="G1396" t="s">
        <v>806</v>
      </c>
      <c r="H1396" t="s">
        <v>10001</v>
      </c>
      <c r="I1396">
        <v>65</v>
      </c>
      <c r="J1396" t="s">
        <v>1643</v>
      </c>
      <c r="K1396">
        <v>10029</v>
      </c>
      <c r="L1396" t="s">
        <v>1670</v>
      </c>
      <c r="M1396" t="s">
        <v>1670</v>
      </c>
      <c r="O1396" t="s">
        <v>1944</v>
      </c>
      <c r="P1396" t="s">
        <v>1961</v>
      </c>
      <c r="R1396" t="s">
        <v>50</v>
      </c>
      <c r="S1396" t="s">
        <v>1671</v>
      </c>
      <c r="U1396" t="s">
        <v>1976</v>
      </c>
      <c r="V1396" t="s">
        <v>1984</v>
      </c>
      <c r="W1396" t="s">
        <v>312</v>
      </c>
      <c r="X1396">
        <v>1029.07</v>
      </c>
      <c r="Y1396" t="s">
        <v>2008</v>
      </c>
      <c r="Z1396" t="s">
        <v>2022</v>
      </c>
      <c r="AB1396" t="s">
        <v>14037</v>
      </c>
      <c r="AE1396">
        <v>65</v>
      </c>
      <c r="AF1396" t="s">
        <v>2904</v>
      </c>
      <c r="AG1396" t="s">
        <v>1754</v>
      </c>
      <c r="AH1396">
        <v>21</v>
      </c>
      <c r="AI1396">
        <v>2</v>
      </c>
      <c r="AJ1396">
        <v>0</v>
      </c>
      <c r="AK1396">
        <v>54.68</v>
      </c>
      <c r="AN1396" t="s">
        <v>2926</v>
      </c>
      <c r="AO1396">
        <v>9000</v>
      </c>
      <c r="AU1396">
        <v>3.5</v>
      </c>
      <c r="AV1396" t="s">
        <v>348</v>
      </c>
      <c r="AW1396" t="s">
        <v>3051</v>
      </c>
    </row>
    <row r="1397" spans="1:50">
      <c r="A1397" s="1" t="s">
        <v>125</v>
      </c>
      <c r="B1397" t="s">
        <v>163</v>
      </c>
      <c r="C1397" t="s">
        <v>4607</v>
      </c>
      <c r="D1397" t="s">
        <v>309</v>
      </c>
      <c r="F1397" t="s">
        <v>7404</v>
      </c>
      <c r="G1397" t="s">
        <v>8542</v>
      </c>
      <c r="H1397" t="s">
        <v>9824</v>
      </c>
      <c r="I1397" t="s">
        <v>1627</v>
      </c>
      <c r="J1397" t="s">
        <v>1644</v>
      </c>
      <c r="K1397">
        <v>11233</v>
      </c>
      <c r="L1397" t="s">
        <v>1670</v>
      </c>
      <c r="M1397" t="s">
        <v>1670</v>
      </c>
      <c r="N1397" t="s">
        <v>12226</v>
      </c>
      <c r="O1397" t="s">
        <v>1940</v>
      </c>
      <c r="P1397" t="s">
        <v>1960</v>
      </c>
      <c r="R1397" t="s">
        <v>50</v>
      </c>
      <c r="S1397" t="s">
        <v>1671</v>
      </c>
      <c r="U1397" t="s">
        <v>1972</v>
      </c>
      <c r="V1397" t="s">
        <v>1987</v>
      </c>
      <c r="W1397" t="s">
        <v>342</v>
      </c>
      <c r="X1397">
        <v>2394</v>
      </c>
      <c r="Y1397" t="s">
        <v>2009</v>
      </c>
      <c r="Z1397" t="s">
        <v>2014</v>
      </c>
      <c r="AB1397" t="s">
        <v>14038</v>
      </c>
      <c r="AC1397" t="s">
        <v>15162</v>
      </c>
      <c r="AD1397" t="s">
        <v>16472</v>
      </c>
      <c r="AE1397">
        <v>2</v>
      </c>
      <c r="AF1397" t="s">
        <v>2903</v>
      </c>
      <c r="AG1397" t="s">
        <v>18016</v>
      </c>
      <c r="AH1397">
        <v>1</v>
      </c>
      <c r="AI1397">
        <v>2</v>
      </c>
      <c r="AJ1397">
        <v>0</v>
      </c>
      <c r="AK1397">
        <v>54.68</v>
      </c>
      <c r="AN1397" t="s">
        <v>2926</v>
      </c>
      <c r="AO1397">
        <v>9000</v>
      </c>
      <c r="AU1397">
        <v>2.95</v>
      </c>
      <c r="AV1397" t="s">
        <v>214</v>
      </c>
      <c r="AW1397" t="s">
        <v>3060</v>
      </c>
    </row>
    <row r="1398" spans="1:50">
      <c r="A1398" s="1" t="s">
        <v>96</v>
      </c>
      <c r="B1398" t="s">
        <v>163</v>
      </c>
      <c r="C1398" t="s">
        <v>4608</v>
      </c>
      <c r="D1398" t="s">
        <v>375</v>
      </c>
      <c r="F1398" t="s">
        <v>7405</v>
      </c>
      <c r="G1398" t="s">
        <v>8543</v>
      </c>
      <c r="H1398" t="s">
        <v>10002</v>
      </c>
      <c r="I1398">
        <v>4</v>
      </c>
      <c r="J1398" t="s">
        <v>1644</v>
      </c>
      <c r="K1398">
        <v>11216</v>
      </c>
      <c r="L1398" t="s">
        <v>1670</v>
      </c>
      <c r="M1398" t="s">
        <v>1670</v>
      </c>
      <c r="N1398" t="s">
        <v>12227</v>
      </c>
      <c r="O1398" t="s">
        <v>1939</v>
      </c>
      <c r="P1398" t="s">
        <v>1960</v>
      </c>
      <c r="R1398" t="s">
        <v>50</v>
      </c>
      <c r="S1398" t="s">
        <v>1671</v>
      </c>
      <c r="U1398" t="s">
        <v>1972</v>
      </c>
      <c r="V1398" t="s">
        <v>1984</v>
      </c>
      <c r="W1398" t="s">
        <v>270</v>
      </c>
      <c r="X1398" t="s">
        <v>13051</v>
      </c>
      <c r="Y1398" t="s">
        <v>2009</v>
      </c>
      <c r="Z1398" t="s">
        <v>2011</v>
      </c>
      <c r="AB1398" t="s">
        <v>14039</v>
      </c>
      <c r="AE1398">
        <v>10</v>
      </c>
      <c r="AF1398" t="s">
        <v>2908</v>
      </c>
      <c r="AH1398">
        <v>48</v>
      </c>
      <c r="AI1398">
        <v>2</v>
      </c>
      <c r="AJ1398">
        <v>0</v>
      </c>
      <c r="AK1398">
        <v>54.68</v>
      </c>
      <c r="AN1398" t="s">
        <v>2926</v>
      </c>
      <c r="AO1398">
        <v>9000</v>
      </c>
      <c r="AQ1398" t="s">
        <v>18425</v>
      </c>
      <c r="AR1398" t="s">
        <v>18453</v>
      </c>
      <c r="AU1398">
        <v>32.3</v>
      </c>
      <c r="AV1398" t="s">
        <v>7866</v>
      </c>
      <c r="AW1398" t="s">
        <v>158</v>
      </c>
      <c r="AX1398" t="s">
        <v>18685</v>
      </c>
    </row>
    <row r="1399" spans="1:50">
      <c r="A1399" s="1" t="s">
        <v>121</v>
      </c>
      <c r="B1399" t="s">
        <v>163</v>
      </c>
      <c r="C1399" t="s">
        <v>4609</v>
      </c>
      <c r="D1399" t="s">
        <v>284</v>
      </c>
      <c r="F1399" t="s">
        <v>628</v>
      </c>
      <c r="G1399" t="s">
        <v>974</v>
      </c>
      <c r="H1399" t="s">
        <v>10000</v>
      </c>
      <c r="I1399" t="s">
        <v>1543</v>
      </c>
      <c r="J1399" t="s">
        <v>1644</v>
      </c>
      <c r="K1399">
        <v>11207</v>
      </c>
      <c r="L1399" t="s">
        <v>1670</v>
      </c>
      <c r="M1399" t="s">
        <v>1670</v>
      </c>
      <c r="N1399" t="s">
        <v>12225</v>
      </c>
      <c r="O1399" t="s">
        <v>1936</v>
      </c>
      <c r="P1399" t="s">
        <v>1960</v>
      </c>
      <c r="R1399" t="s">
        <v>50</v>
      </c>
      <c r="S1399" t="s">
        <v>1671</v>
      </c>
      <c r="U1399" t="s">
        <v>1972</v>
      </c>
      <c r="V1399" t="s">
        <v>1983</v>
      </c>
      <c r="W1399" t="s">
        <v>284</v>
      </c>
      <c r="X1399">
        <v>1301</v>
      </c>
      <c r="Y1399" t="s">
        <v>2009</v>
      </c>
      <c r="Z1399" t="s">
        <v>2014</v>
      </c>
      <c r="AB1399" t="s">
        <v>14035</v>
      </c>
      <c r="AC1399" t="s">
        <v>15161</v>
      </c>
      <c r="AD1399" t="s">
        <v>16470</v>
      </c>
      <c r="AE1399">
        <v>6</v>
      </c>
      <c r="AF1399" t="s">
        <v>2902</v>
      </c>
      <c r="AG1399" t="s">
        <v>2921</v>
      </c>
      <c r="AH1399">
        <v>10</v>
      </c>
      <c r="AI1399">
        <v>2</v>
      </c>
      <c r="AJ1399">
        <v>0</v>
      </c>
      <c r="AK1399">
        <v>54.68</v>
      </c>
      <c r="AN1399" t="s">
        <v>2926</v>
      </c>
      <c r="AO1399">
        <v>9000</v>
      </c>
      <c r="AP1399" t="s">
        <v>2953</v>
      </c>
      <c r="AQ1399" t="s">
        <v>2976</v>
      </c>
      <c r="AS1399" t="s">
        <v>2992</v>
      </c>
      <c r="AT1399" t="s">
        <v>18501</v>
      </c>
      <c r="AU1399">
        <v>1.3</v>
      </c>
      <c r="AV1399" t="s">
        <v>194</v>
      </c>
      <c r="AW1399" t="s">
        <v>3063</v>
      </c>
    </row>
    <row r="1400" spans="1:50">
      <c r="A1400" s="1" t="s">
        <v>74</v>
      </c>
      <c r="B1400" t="s">
        <v>163</v>
      </c>
      <c r="C1400" t="s">
        <v>4610</v>
      </c>
      <c r="D1400" t="s">
        <v>281</v>
      </c>
      <c r="F1400" t="s">
        <v>7396</v>
      </c>
      <c r="G1400" t="s">
        <v>8536</v>
      </c>
      <c r="H1400" t="s">
        <v>1131</v>
      </c>
      <c r="I1400" t="s">
        <v>11213</v>
      </c>
      <c r="J1400" t="s">
        <v>1641</v>
      </c>
      <c r="K1400">
        <v>10460</v>
      </c>
      <c r="L1400" t="s">
        <v>1670</v>
      </c>
      <c r="M1400" t="s">
        <v>1670</v>
      </c>
      <c r="N1400" t="s">
        <v>1692</v>
      </c>
      <c r="O1400" t="s">
        <v>1939</v>
      </c>
      <c r="P1400" t="s">
        <v>1960</v>
      </c>
      <c r="R1400" t="s">
        <v>50</v>
      </c>
      <c r="S1400" t="s">
        <v>1670</v>
      </c>
      <c r="U1400" t="s">
        <v>1972</v>
      </c>
      <c r="W1400" t="s">
        <v>283</v>
      </c>
      <c r="X1400">
        <v>1789</v>
      </c>
      <c r="Y1400" t="s">
        <v>2006</v>
      </c>
      <c r="Z1400" t="s">
        <v>2015</v>
      </c>
      <c r="AB1400" t="s">
        <v>14021</v>
      </c>
      <c r="AD1400" t="s">
        <v>16457</v>
      </c>
      <c r="AE1400">
        <v>168</v>
      </c>
      <c r="AF1400" t="s">
        <v>2902</v>
      </c>
      <c r="AG1400" t="s">
        <v>2915</v>
      </c>
      <c r="AH1400">
        <v>12</v>
      </c>
      <c r="AI1400">
        <v>2</v>
      </c>
      <c r="AJ1400">
        <v>0</v>
      </c>
      <c r="AK1400">
        <v>54.68</v>
      </c>
      <c r="AN1400" t="s">
        <v>2926</v>
      </c>
      <c r="AO1400">
        <v>9000</v>
      </c>
      <c r="AU1400" t="s">
        <v>13051</v>
      </c>
      <c r="AW1400" t="s">
        <v>3047</v>
      </c>
      <c r="AX1400" t="s">
        <v>18685</v>
      </c>
    </row>
    <row r="1401" spans="1:50">
      <c r="A1401" s="1" t="s">
        <v>75</v>
      </c>
      <c r="B1401" t="s">
        <v>163</v>
      </c>
      <c r="C1401" t="s">
        <v>4611</v>
      </c>
      <c r="D1401" t="s">
        <v>185</v>
      </c>
      <c r="F1401" t="s">
        <v>7109</v>
      </c>
      <c r="G1401" t="s">
        <v>806</v>
      </c>
      <c r="H1401" t="s">
        <v>10001</v>
      </c>
      <c r="I1401">
        <v>65</v>
      </c>
      <c r="J1401" t="s">
        <v>1643</v>
      </c>
      <c r="K1401">
        <v>10029</v>
      </c>
      <c r="L1401" t="s">
        <v>1670</v>
      </c>
      <c r="M1401" t="s">
        <v>1670</v>
      </c>
      <c r="N1401" t="s">
        <v>12228</v>
      </c>
      <c r="O1401" t="s">
        <v>1936</v>
      </c>
      <c r="P1401" t="s">
        <v>1960</v>
      </c>
      <c r="R1401" t="s">
        <v>50</v>
      </c>
      <c r="S1401" t="s">
        <v>1671</v>
      </c>
      <c r="U1401" t="s">
        <v>1972</v>
      </c>
      <c r="V1401" t="s">
        <v>13035</v>
      </c>
      <c r="W1401" t="s">
        <v>180</v>
      </c>
      <c r="X1401">
        <v>1029.07</v>
      </c>
      <c r="Y1401" t="s">
        <v>2008</v>
      </c>
      <c r="Z1401" t="s">
        <v>2022</v>
      </c>
      <c r="AB1401" t="s">
        <v>14037</v>
      </c>
      <c r="AE1401">
        <v>65</v>
      </c>
      <c r="AF1401" t="s">
        <v>2904</v>
      </c>
      <c r="AG1401" t="s">
        <v>1754</v>
      </c>
      <c r="AH1401">
        <v>21</v>
      </c>
      <c r="AI1401">
        <v>2</v>
      </c>
      <c r="AJ1401">
        <v>0</v>
      </c>
      <c r="AK1401">
        <v>54.68</v>
      </c>
      <c r="AN1401" t="s">
        <v>2926</v>
      </c>
      <c r="AO1401">
        <v>9000</v>
      </c>
      <c r="AP1401" t="s">
        <v>18276</v>
      </c>
      <c r="AU1401">
        <v>19</v>
      </c>
      <c r="AV1401" t="s">
        <v>178</v>
      </c>
      <c r="AW1401" t="s">
        <v>3048</v>
      </c>
      <c r="AX1401" t="s">
        <v>18685</v>
      </c>
    </row>
    <row r="1402" spans="1:50">
      <c r="A1402" s="1" t="s">
        <v>119</v>
      </c>
      <c r="B1402" t="s">
        <v>163</v>
      </c>
      <c r="C1402" t="s">
        <v>4612</v>
      </c>
      <c r="D1402" t="s">
        <v>249</v>
      </c>
      <c r="F1402" t="s">
        <v>7406</v>
      </c>
      <c r="G1402" t="s">
        <v>8544</v>
      </c>
      <c r="H1402" t="s">
        <v>10003</v>
      </c>
      <c r="I1402" t="s">
        <v>11034</v>
      </c>
      <c r="J1402" t="s">
        <v>1644</v>
      </c>
      <c r="K1402">
        <v>11212</v>
      </c>
      <c r="L1402" t="s">
        <v>1670</v>
      </c>
      <c r="M1402" t="s">
        <v>1672</v>
      </c>
      <c r="N1402" t="s">
        <v>1754</v>
      </c>
      <c r="O1402" t="s">
        <v>1939</v>
      </c>
      <c r="P1402" t="s">
        <v>1963</v>
      </c>
      <c r="R1402" t="s">
        <v>50</v>
      </c>
      <c r="S1402" t="s">
        <v>1671</v>
      </c>
      <c r="U1402" t="s">
        <v>1972</v>
      </c>
      <c r="W1402" t="s">
        <v>249</v>
      </c>
      <c r="X1402">
        <v>1640</v>
      </c>
      <c r="Y1402" t="s">
        <v>2009</v>
      </c>
      <c r="Z1402" t="s">
        <v>2017</v>
      </c>
      <c r="AB1402" t="s">
        <v>14040</v>
      </c>
      <c r="AD1402" t="s">
        <v>16473</v>
      </c>
      <c r="AE1402">
        <v>3</v>
      </c>
      <c r="AF1402" t="s">
        <v>2903</v>
      </c>
      <c r="AG1402" t="s">
        <v>2017</v>
      </c>
      <c r="AH1402">
        <v>5</v>
      </c>
      <c r="AI1402">
        <v>2</v>
      </c>
      <c r="AJ1402">
        <v>0</v>
      </c>
      <c r="AK1402">
        <v>54.71</v>
      </c>
      <c r="AN1402" t="s">
        <v>2926</v>
      </c>
      <c r="AO1402">
        <v>9252</v>
      </c>
      <c r="AU1402">
        <v>1.3</v>
      </c>
      <c r="AV1402" t="s">
        <v>404</v>
      </c>
      <c r="AW1402" t="s">
        <v>3059</v>
      </c>
      <c r="AX1402" t="s">
        <v>18685</v>
      </c>
    </row>
    <row r="1403" spans="1:50">
      <c r="A1403" s="1" t="s">
        <v>54</v>
      </c>
      <c r="B1403" t="s">
        <v>163</v>
      </c>
      <c r="C1403" t="s">
        <v>4613</v>
      </c>
      <c r="D1403" t="s">
        <v>369</v>
      </c>
      <c r="F1403" t="s">
        <v>7407</v>
      </c>
      <c r="G1403" t="s">
        <v>8545</v>
      </c>
      <c r="H1403" t="s">
        <v>10004</v>
      </c>
      <c r="I1403" t="s">
        <v>11216</v>
      </c>
      <c r="J1403" t="s">
        <v>1643</v>
      </c>
      <c r="K1403">
        <v>10034</v>
      </c>
      <c r="L1403" t="s">
        <v>1670</v>
      </c>
      <c r="M1403" t="s">
        <v>1672</v>
      </c>
      <c r="O1403" t="s">
        <v>1936</v>
      </c>
      <c r="P1403" t="s">
        <v>1959</v>
      </c>
      <c r="R1403" t="s">
        <v>50</v>
      </c>
      <c r="S1403" t="s">
        <v>1670</v>
      </c>
      <c r="U1403" t="s">
        <v>1972</v>
      </c>
      <c r="W1403" t="s">
        <v>369</v>
      </c>
      <c r="X1403">
        <v>2200</v>
      </c>
      <c r="Y1403" t="s">
        <v>2008</v>
      </c>
      <c r="Z1403" t="s">
        <v>2020</v>
      </c>
      <c r="AB1403" t="s">
        <v>14041</v>
      </c>
      <c r="AD1403" t="s">
        <v>16474</v>
      </c>
      <c r="AE1403">
        <v>44</v>
      </c>
      <c r="AF1403" t="s">
        <v>2902</v>
      </c>
      <c r="AG1403" t="s">
        <v>1754</v>
      </c>
      <c r="AH1403">
        <v>2</v>
      </c>
      <c r="AI1403">
        <v>2</v>
      </c>
      <c r="AJ1403">
        <v>0</v>
      </c>
      <c r="AK1403">
        <v>54.71</v>
      </c>
      <c r="AN1403" t="s">
        <v>2926</v>
      </c>
      <c r="AO1403">
        <v>9252</v>
      </c>
      <c r="AU1403">
        <v>0.01</v>
      </c>
      <c r="AV1403" t="s">
        <v>337</v>
      </c>
      <c r="AW1403" t="s">
        <v>3042</v>
      </c>
      <c r="AX1403" t="s">
        <v>18685</v>
      </c>
    </row>
    <row r="1404" spans="1:50">
      <c r="A1404" s="1" t="s">
        <v>79</v>
      </c>
      <c r="B1404" t="s">
        <v>163</v>
      </c>
      <c r="C1404" t="s">
        <v>4614</v>
      </c>
      <c r="D1404" t="s">
        <v>326</v>
      </c>
      <c r="F1404" t="s">
        <v>7012</v>
      </c>
      <c r="G1404" t="s">
        <v>990</v>
      </c>
      <c r="H1404" t="s">
        <v>10005</v>
      </c>
      <c r="I1404" t="s">
        <v>1486</v>
      </c>
      <c r="J1404" t="s">
        <v>1644</v>
      </c>
      <c r="K1404">
        <v>11212</v>
      </c>
      <c r="L1404" t="s">
        <v>1670</v>
      </c>
      <c r="M1404" t="s">
        <v>1671</v>
      </c>
      <c r="N1404" t="s">
        <v>12229</v>
      </c>
      <c r="O1404" t="s">
        <v>1936</v>
      </c>
      <c r="P1404" t="s">
        <v>1960</v>
      </c>
      <c r="R1404" t="s">
        <v>50</v>
      </c>
      <c r="S1404" t="s">
        <v>1670</v>
      </c>
      <c r="U1404" t="s">
        <v>1972</v>
      </c>
      <c r="V1404" t="s">
        <v>1984</v>
      </c>
      <c r="W1404" t="s">
        <v>213</v>
      </c>
      <c r="X1404">
        <v>1283.86</v>
      </c>
      <c r="Y1404" t="s">
        <v>2009</v>
      </c>
      <c r="Z1404" t="s">
        <v>2016</v>
      </c>
      <c r="AB1404" t="s">
        <v>14042</v>
      </c>
      <c r="AE1404">
        <v>10</v>
      </c>
      <c r="AF1404" t="s">
        <v>2902</v>
      </c>
      <c r="AG1404" t="s">
        <v>2915</v>
      </c>
      <c r="AH1404">
        <v>26</v>
      </c>
      <c r="AI1404">
        <v>2</v>
      </c>
      <c r="AJ1404">
        <v>0</v>
      </c>
      <c r="AK1404">
        <v>54.71</v>
      </c>
      <c r="AN1404" t="s">
        <v>2926</v>
      </c>
      <c r="AO1404">
        <v>9252</v>
      </c>
      <c r="AU1404">
        <v>15.75</v>
      </c>
      <c r="AV1404" t="s">
        <v>399</v>
      </c>
      <c r="AW1404" t="s">
        <v>3060</v>
      </c>
      <c r="AX1404" t="s">
        <v>18685</v>
      </c>
    </row>
    <row r="1405" spans="1:50">
      <c r="A1405" s="1" t="s">
        <v>123</v>
      </c>
      <c r="B1405" t="s">
        <v>163</v>
      </c>
      <c r="C1405" t="s">
        <v>4615</v>
      </c>
      <c r="D1405" t="s">
        <v>241</v>
      </c>
      <c r="F1405" t="s">
        <v>7408</v>
      </c>
      <c r="G1405" t="s">
        <v>8268</v>
      </c>
      <c r="H1405" t="s">
        <v>10006</v>
      </c>
      <c r="I1405" t="s">
        <v>11217</v>
      </c>
      <c r="J1405" t="s">
        <v>1641</v>
      </c>
      <c r="K1405">
        <v>10452</v>
      </c>
      <c r="L1405" t="s">
        <v>1670</v>
      </c>
      <c r="M1405" t="s">
        <v>1670</v>
      </c>
      <c r="N1405" t="s">
        <v>12230</v>
      </c>
      <c r="O1405" t="s">
        <v>1952</v>
      </c>
      <c r="P1405" t="s">
        <v>1960</v>
      </c>
      <c r="R1405" t="s">
        <v>50</v>
      </c>
      <c r="S1405" t="s">
        <v>1671</v>
      </c>
      <c r="U1405" t="s">
        <v>1972</v>
      </c>
      <c r="W1405" t="s">
        <v>1992</v>
      </c>
      <c r="X1405">
        <v>877</v>
      </c>
      <c r="Y1405" t="s">
        <v>2006</v>
      </c>
      <c r="Z1405" t="s">
        <v>2020</v>
      </c>
      <c r="AB1405" t="s">
        <v>14043</v>
      </c>
      <c r="AD1405" t="s">
        <v>16475</v>
      </c>
      <c r="AE1405">
        <v>43</v>
      </c>
      <c r="AF1405" t="s">
        <v>2902</v>
      </c>
      <c r="AG1405" t="s">
        <v>1754</v>
      </c>
      <c r="AH1405">
        <v>30</v>
      </c>
      <c r="AI1405">
        <v>2</v>
      </c>
      <c r="AJ1405">
        <v>0</v>
      </c>
      <c r="AK1405">
        <v>55.04</v>
      </c>
      <c r="AN1405" t="s">
        <v>2926</v>
      </c>
      <c r="AO1405">
        <v>9060</v>
      </c>
      <c r="AU1405">
        <v>73.09999999999999</v>
      </c>
      <c r="AV1405" t="s">
        <v>354</v>
      </c>
      <c r="AW1405" t="s">
        <v>3046</v>
      </c>
    </row>
    <row r="1406" spans="1:50">
      <c r="A1406" s="1" t="s">
        <v>55</v>
      </c>
      <c r="B1406" t="s">
        <v>164</v>
      </c>
      <c r="C1406" t="s">
        <v>4616</v>
      </c>
      <c r="D1406" t="s">
        <v>318</v>
      </c>
      <c r="E1406" t="s">
        <v>243</v>
      </c>
      <c r="F1406" t="s">
        <v>427</v>
      </c>
      <c r="G1406" t="s">
        <v>835</v>
      </c>
      <c r="H1406" t="s">
        <v>1255</v>
      </c>
      <c r="I1406" t="s">
        <v>10957</v>
      </c>
      <c r="J1406" t="s">
        <v>1644</v>
      </c>
      <c r="K1406">
        <v>11207</v>
      </c>
      <c r="L1406" t="s">
        <v>1670</v>
      </c>
      <c r="M1406" t="s">
        <v>1670</v>
      </c>
      <c r="O1406" t="s">
        <v>1938</v>
      </c>
      <c r="P1406" t="s">
        <v>1958</v>
      </c>
      <c r="Q1406" t="s">
        <v>1965</v>
      </c>
      <c r="R1406" t="s">
        <v>50</v>
      </c>
      <c r="S1406" t="s">
        <v>1670</v>
      </c>
      <c r="U1406" t="s">
        <v>1972</v>
      </c>
      <c r="V1406" t="s">
        <v>1984</v>
      </c>
      <c r="W1406" t="s">
        <v>252</v>
      </c>
      <c r="X1406">
        <v>1365</v>
      </c>
      <c r="Y1406" t="s">
        <v>2009</v>
      </c>
      <c r="Z1406" t="s">
        <v>2020</v>
      </c>
      <c r="AA1406" t="s">
        <v>2029</v>
      </c>
      <c r="AB1406" t="s">
        <v>13703</v>
      </c>
      <c r="AC1406" t="s">
        <v>15155</v>
      </c>
      <c r="AD1406" t="s">
        <v>16476</v>
      </c>
      <c r="AE1406">
        <v>6</v>
      </c>
      <c r="AF1406" t="s">
        <v>2902</v>
      </c>
      <c r="AG1406" t="s">
        <v>2921</v>
      </c>
      <c r="AH1406">
        <v>5</v>
      </c>
      <c r="AI1406">
        <v>2</v>
      </c>
      <c r="AJ1406">
        <v>0</v>
      </c>
      <c r="AK1406">
        <v>55.12</v>
      </c>
      <c r="AN1406" t="s">
        <v>2926</v>
      </c>
      <c r="AO1406">
        <v>9072</v>
      </c>
      <c r="AP1406" t="s">
        <v>18277</v>
      </c>
      <c r="AU1406">
        <v>0.25</v>
      </c>
      <c r="AV1406" t="s">
        <v>243</v>
      </c>
      <c r="AW1406" t="s">
        <v>3060</v>
      </c>
    </row>
    <row r="1407" spans="1:50">
      <c r="A1407" s="1" t="s">
        <v>79</v>
      </c>
      <c r="B1407" t="s">
        <v>163</v>
      </c>
      <c r="C1407" t="s">
        <v>4617</v>
      </c>
      <c r="D1407" t="s">
        <v>372</v>
      </c>
      <c r="F1407" t="s">
        <v>668</v>
      </c>
      <c r="G1407" t="s">
        <v>8537</v>
      </c>
      <c r="H1407" t="s">
        <v>9623</v>
      </c>
      <c r="I1407" t="s">
        <v>1569</v>
      </c>
      <c r="J1407" t="s">
        <v>1644</v>
      </c>
      <c r="K1407">
        <v>11212</v>
      </c>
      <c r="L1407" t="s">
        <v>1670</v>
      </c>
      <c r="M1407" t="s">
        <v>1670</v>
      </c>
      <c r="O1407" t="s">
        <v>1937</v>
      </c>
      <c r="P1407" t="s">
        <v>1962</v>
      </c>
      <c r="R1407" t="s">
        <v>50</v>
      </c>
      <c r="U1407" t="s">
        <v>1972</v>
      </c>
      <c r="W1407" t="s">
        <v>204</v>
      </c>
      <c r="X1407">
        <v>1300</v>
      </c>
      <c r="Y1407" t="s">
        <v>2009</v>
      </c>
      <c r="Z1407" t="s">
        <v>2016</v>
      </c>
      <c r="AB1407" t="s">
        <v>14024</v>
      </c>
      <c r="AD1407" t="s">
        <v>16460</v>
      </c>
      <c r="AE1407">
        <v>19</v>
      </c>
      <c r="AF1407" t="s">
        <v>2902</v>
      </c>
      <c r="AG1407" t="s">
        <v>2915</v>
      </c>
      <c r="AH1407">
        <v>15</v>
      </c>
      <c r="AI1407">
        <v>2</v>
      </c>
      <c r="AJ1407">
        <v>0</v>
      </c>
      <c r="AK1407">
        <v>55.12</v>
      </c>
      <c r="AN1407" t="s">
        <v>2926</v>
      </c>
      <c r="AO1407">
        <v>9072</v>
      </c>
      <c r="AP1407" t="s">
        <v>2953</v>
      </c>
      <c r="AU1407">
        <v>6.55</v>
      </c>
      <c r="AV1407" t="s">
        <v>392</v>
      </c>
      <c r="AW1407" t="s">
        <v>3060</v>
      </c>
    </row>
    <row r="1408" spans="1:50">
      <c r="A1408" s="1" t="s">
        <v>133</v>
      </c>
      <c r="B1408" t="s">
        <v>163</v>
      </c>
      <c r="C1408" t="s">
        <v>4618</v>
      </c>
      <c r="D1408" t="s">
        <v>318</v>
      </c>
      <c r="F1408" t="s">
        <v>427</v>
      </c>
      <c r="G1408" t="s">
        <v>835</v>
      </c>
      <c r="H1408" t="s">
        <v>1255</v>
      </c>
      <c r="I1408" t="s">
        <v>10957</v>
      </c>
      <c r="J1408" t="s">
        <v>1644</v>
      </c>
      <c r="K1408">
        <v>11207</v>
      </c>
      <c r="L1408" t="s">
        <v>1670</v>
      </c>
      <c r="M1408" t="s">
        <v>1670</v>
      </c>
      <c r="N1408" t="s">
        <v>1675</v>
      </c>
      <c r="O1408" t="s">
        <v>1675</v>
      </c>
      <c r="P1408" t="s">
        <v>1962</v>
      </c>
      <c r="R1408" t="s">
        <v>50</v>
      </c>
      <c r="S1408" t="s">
        <v>1670</v>
      </c>
      <c r="U1408" t="s">
        <v>1972</v>
      </c>
      <c r="V1408" t="s">
        <v>1984</v>
      </c>
      <c r="W1408" t="s">
        <v>252</v>
      </c>
      <c r="X1408">
        <v>1365</v>
      </c>
      <c r="Y1408" t="s">
        <v>2009</v>
      </c>
      <c r="Z1408" t="s">
        <v>2020</v>
      </c>
      <c r="AB1408" t="s">
        <v>13703</v>
      </c>
      <c r="AC1408" t="s">
        <v>15155</v>
      </c>
      <c r="AD1408" t="s">
        <v>16476</v>
      </c>
      <c r="AE1408">
        <v>6</v>
      </c>
      <c r="AF1408" t="s">
        <v>2902</v>
      </c>
      <c r="AG1408" t="s">
        <v>2921</v>
      </c>
      <c r="AH1408">
        <v>5</v>
      </c>
      <c r="AI1408">
        <v>2</v>
      </c>
      <c r="AJ1408">
        <v>0</v>
      </c>
      <c r="AK1408">
        <v>55.12</v>
      </c>
      <c r="AN1408" t="s">
        <v>2926</v>
      </c>
      <c r="AO1408">
        <v>9072</v>
      </c>
      <c r="AP1408" t="s">
        <v>18277</v>
      </c>
      <c r="AU1408">
        <v>0.1</v>
      </c>
      <c r="AV1408" t="s">
        <v>243</v>
      </c>
      <c r="AW1408" t="s">
        <v>3060</v>
      </c>
    </row>
    <row r="1409" spans="1:50">
      <c r="A1409" s="1" t="s">
        <v>133</v>
      </c>
      <c r="B1409" t="s">
        <v>163</v>
      </c>
      <c r="C1409" t="s">
        <v>4619</v>
      </c>
      <c r="D1409" t="s">
        <v>318</v>
      </c>
      <c r="F1409" t="s">
        <v>427</v>
      </c>
      <c r="G1409" t="s">
        <v>835</v>
      </c>
      <c r="H1409" t="s">
        <v>1255</v>
      </c>
      <c r="I1409" t="s">
        <v>10957</v>
      </c>
      <c r="J1409" t="s">
        <v>1644</v>
      </c>
      <c r="K1409">
        <v>11207</v>
      </c>
      <c r="L1409" t="s">
        <v>1670</v>
      </c>
      <c r="M1409" t="s">
        <v>1670</v>
      </c>
      <c r="N1409" t="s">
        <v>1675</v>
      </c>
      <c r="O1409" t="s">
        <v>1941</v>
      </c>
      <c r="P1409" t="s">
        <v>1959</v>
      </c>
      <c r="R1409" t="s">
        <v>50</v>
      </c>
      <c r="S1409" t="s">
        <v>1670</v>
      </c>
      <c r="U1409" t="s">
        <v>1972</v>
      </c>
      <c r="V1409" t="s">
        <v>1984</v>
      </c>
      <c r="W1409" t="s">
        <v>1989</v>
      </c>
      <c r="X1409">
        <v>1365</v>
      </c>
      <c r="Y1409" t="s">
        <v>2009</v>
      </c>
      <c r="Z1409" t="s">
        <v>2020</v>
      </c>
      <c r="AB1409" t="s">
        <v>13703</v>
      </c>
      <c r="AC1409" t="s">
        <v>15155</v>
      </c>
      <c r="AD1409" t="s">
        <v>16476</v>
      </c>
      <c r="AE1409">
        <v>6</v>
      </c>
      <c r="AF1409" t="s">
        <v>2902</v>
      </c>
      <c r="AG1409" t="s">
        <v>2921</v>
      </c>
      <c r="AH1409">
        <v>5</v>
      </c>
      <c r="AI1409">
        <v>2</v>
      </c>
      <c r="AJ1409">
        <v>0</v>
      </c>
      <c r="AK1409">
        <v>55.12</v>
      </c>
      <c r="AN1409" t="s">
        <v>2926</v>
      </c>
      <c r="AO1409">
        <v>9072</v>
      </c>
      <c r="AP1409" t="s">
        <v>18277</v>
      </c>
      <c r="AU1409">
        <v>0.25</v>
      </c>
      <c r="AV1409" t="s">
        <v>243</v>
      </c>
      <c r="AW1409" t="s">
        <v>3060</v>
      </c>
    </row>
    <row r="1410" spans="1:50">
      <c r="A1410" s="1" t="s">
        <v>82</v>
      </c>
      <c r="B1410" t="s">
        <v>163</v>
      </c>
      <c r="C1410" t="s">
        <v>4620</v>
      </c>
      <c r="D1410" t="s">
        <v>318</v>
      </c>
      <c r="F1410" t="s">
        <v>427</v>
      </c>
      <c r="G1410" t="s">
        <v>835</v>
      </c>
      <c r="H1410" t="s">
        <v>1255</v>
      </c>
      <c r="I1410" t="s">
        <v>10957</v>
      </c>
      <c r="J1410" t="s">
        <v>1644</v>
      </c>
      <c r="K1410">
        <v>11207</v>
      </c>
      <c r="L1410" t="s">
        <v>1670</v>
      </c>
      <c r="M1410" t="s">
        <v>1670</v>
      </c>
      <c r="N1410" t="s">
        <v>1675</v>
      </c>
      <c r="O1410" t="s">
        <v>1938</v>
      </c>
      <c r="P1410" t="s">
        <v>1961</v>
      </c>
      <c r="R1410" t="s">
        <v>50</v>
      </c>
      <c r="S1410" t="s">
        <v>1670</v>
      </c>
      <c r="U1410" t="s">
        <v>1972</v>
      </c>
      <c r="V1410" t="s">
        <v>1984</v>
      </c>
      <c r="W1410" t="s">
        <v>1989</v>
      </c>
      <c r="X1410">
        <v>1365</v>
      </c>
      <c r="Y1410" t="s">
        <v>2009</v>
      </c>
      <c r="Z1410" t="s">
        <v>2020</v>
      </c>
      <c r="AA1410" t="s">
        <v>2030</v>
      </c>
      <c r="AB1410" t="s">
        <v>13703</v>
      </c>
      <c r="AC1410" t="s">
        <v>15155</v>
      </c>
      <c r="AD1410" t="s">
        <v>16476</v>
      </c>
      <c r="AE1410">
        <v>6</v>
      </c>
      <c r="AF1410" t="s">
        <v>2902</v>
      </c>
      <c r="AG1410" t="s">
        <v>2921</v>
      </c>
      <c r="AH1410">
        <v>5</v>
      </c>
      <c r="AI1410">
        <v>2</v>
      </c>
      <c r="AJ1410">
        <v>0</v>
      </c>
      <c r="AK1410">
        <v>55.12</v>
      </c>
      <c r="AN1410" t="s">
        <v>2926</v>
      </c>
      <c r="AO1410">
        <v>9072</v>
      </c>
      <c r="AP1410" t="s">
        <v>18277</v>
      </c>
      <c r="AU1410">
        <v>0.5</v>
      </c>
      <c r="AV1410" t="s">
        <v>332</v>
      </c>
      <c r="AW1410" t="s">
        <v>3060</v>
      </c>
    </row>
    <row r="1411" spans="1:50">
      <c r="A1411" s="1" t="s">
        <v>133</v>
      </c>
      <c r="B1411" t="s">
        <v>163</v>
      </c>
      <c r="C1411" t="s">
        <v>4621</v>
      </c>
      <c r="D1411" t="s">
        <v>318</v>
      </c>
      <c r="F1411" t="s">
        <v>427</v>
      </c>
      <c r="G1411" t="s">
        <v>835</v>
      </c>
      <c r="H1411" t="s">
        <v>1255</v>
      </c>
      <c r="I1411" t="s">
        <v>10957</v>
      </c>
      <c r="J1411" t="s">
        <v>1644</v>
      </c>
      <c r="K1411">
        <v>11207</v>
      </c>
      <c r="L1411" t="s">
        <v>1670</v>
      </c>
      <c r="M1411" t="s">
        <v>1670</v>
      </c>
      <c r="N1411" t="s">
        <v>1675</v>
      </c>
      <c r="O1411" t="s">
        <v>1951</v>
      </c>
      <c r="P1411" t="s">
        <v>1960</v>
      </c>
      <c r="R1411" t="s">
        <v>50</v>
      </c>
      <c r="S1411" t="s">
        <v>1670</v>
      </c>
      <c r="U1411" t="s">
        <v>1972</v>
      </c>
      <c r="V1411" t="s">
        <v>1984</v>
      </c>
      <c r="W1411" t="s">
        <v>252</v>
      </c>
      <c r="X1411">
        <v>1365</v>
      </c>
      <c r="Y1411" t="s">
        <v>2009</v>
      </c>
      <c r="Z1411" t="s">
        <v>2020</v>
      </c>
      <c r="AB1411" t="s">
        <v>13703</v>
      </c>
      <c r="AC1411" t="s">
        <v>15155</v>
      </c>
      <c r="AD1411" t="s">
        <v>16476</v>
      </c>
      <c r="AE1411">
        <v>6</v>
      </c>
      <c r="AF1411" t="s">
        <v>2902</v>
      </c>
      <c r="AG1411" t="s">
        <v>2921</v>
      </c>
      <c r="AH1411">
        <v>5</v>
      </c>
      <c r="AI1411">
        <v>2</v>
      </c>
      <c r="AJ1411">
        <v>0</v>
      </c>
      <c r="AK1411">
        <v>55.12</v>
      </c>
      <c r="AN1411" t="s">
        <v>2926</v>
      </c>
      <c r="AO1411">
        <v>9072</v>
      </c>
      <c r="AP1411" t="s">
        <v>18277</v>
      </c>
      <c r="AU1411">
        <v>0.1</v>
      </c>
      <c r="AV1411" t="s">
        <v>243</v>
      </c>
      <c r="AW1411" t="s">
        <v>3060</v>
      </c>
    </row>
    <row r="1412" spans="1:50">
      <c r="A1412" s="1" t="s">
        <v>82</v>
      </c>
      <c r="B1412" t="s">
        <v>163</v>
      </c>
      <c r="C1412" t="s">
        <v>4622</v>
      </c>
      <c r="D1412" t="s">
        <v>318</v>
      </c>
      <c r="F1412" t="s">
        <v>427</v>
      </c>
      <c r="G1412" t="s">
        <v>835</v>
      </c>
      <c r="H1412" t="s">
        <v>1255</v>
      </c>
      <c r="I1412" t="s">
        <v>10957</v>
      </c>
      <c r="J1412" t="s">
        <v>1644</v>
      </c>
      <c r="K1412">
        <v>11207</v>
      </c>
      <c r="L1412" t="s">
        <v>1670</v>
      </c>
      <c r="M1412" t="s">
        <v>1670</v>
      </c>
      <c r="N1412" t="s">
        <v>1675</v>
      </c>
      <c r="O1412" t="s">
        <v>1952</v>
      </c>
      <c r="P1412" t="s">
        <v>1960</v>
      </c>
      <c r="R1412" t="s">
        <v>50</v>
      </c>
      <c r="S1412" t="s">
        <v>1670</v>
      </c>
      <c r="U1412" t="s">
        <v>1972</v>
      </c>
      <c r="V1412" t="s">
        <v>1984</v>
      </c>
      <c r="W1412" t="s">
        <v>261</v>
      </c>
      <c r="X1412">
        <v>1365</v>
      </c>
      <c r="Y1412" t="s">
        <v>2009</v>
      </c>
      <c r="Z1412" t="s">
        <v>2020</v>
      </c>
      <c r="AB1412" t="s">
        <v>13703</v>
      </c>
      <c r="AC1412" t="s">
        <v>15155</v>
      </c>
      <c r="AD1412" t="s">
        <v>16476</v>
      </c>
      <c r="AE1412">
        <v>6</v>
      </c>
      <c r="AF1412" t="s">
        <v>2902</v>
      </c>
      <c r="AG1412" t="s">
        <v>2921</v>
      </c>
      <c r="AH1412">
        <v>5</v>
      </c>
      <c r="AI1412">
        <v>2</v>
      </c>
      <c r="AJ1412">
        <v>0</v>
      </c>
      <c r="AK1412">
        <v>55.12</v>
      </c>
      <c r="AN1412" t="s">
        <v>2926</v>
      </c>
      <c r="AO1412">
        <v>9072</v>
      </c>
      <c r="AP1412" t="s">
        <v>18277</v>
      </c>
      <c r="AU1412">
        <v>0.25</v>
      </c>
      <c r="AV1412" t="s">
        <v>243</v>
      </c>
      <c r="AW1412" t="s">
        <v>3060</v>
      </c>
    </row>
    <row r="1413" spans="1:50">
      <c r="A1413" s="1" t="s">
        <v>151</v>
      </c>
      <c r="B1413" t="s">
        <v>164</v>
      </c>
      <c r="C1413" t="s">
        <v>4623</v>
      </c>
      <c r="D1413" t="s">
        <v>339</v>
      </c>
      <c r="E1413" t="s">
        <v>6766</v>
      </c>
      <c r="F1413" t="s">
        <v>7409</v>
      </c>
      <c r="G1413" t="s">
        <v>8546</v>
      </c>
      <c r="H1413" t="s">
        <v>10007</v>
      </c>
      <c r="I1413" t="s">
        <v>11147</v>
      </c>
      <c r="J1413" t="s">
        <v>11751</v>
      </c>
      <c r="K1413">
        <v>11375</v>
      </c>
      <c r="L1413" t="s">
        <v>1670</v>
      </c>
      <c r="M1413" t="s">
        <v>1670</v>
      </c>
      <c r="N1413" t="s">
        <v>12231</v>
      </c>
      <c r="O1413" t="s">
        <v>1940</v>
      </c>
      <c r="P1413" t="s">
        <v>1958</v>
      </c>
      <c r="Q1413" t="s">
        <v>1965</v>
      </c>
      <c r="R1413" t="s">
        <v>50</v>
      </c>
      <c r="S1413" t="s">
        <v>1671</v>
      </c>
      <c r="U1413" t="s">
        <v>1972</v>
      </c>
      <c r="V1413" t="s">
        <v>1984</v>
      </c>
      <c r="W1413" t="s">
        <v>339</v>
      </c>
      <c r="X1413">
        <v>850</v>
      </c>
      <c r="Y1413" t="s">
        <v>2007</v>
      </c>
      <c r="Z1413" t="s">
        <v>2014</v>
      </c>
      <c r="AA1413" t="s">
        <v>2029</v>
      </c>
      <c r="AB1413" t="s">
        <v>14044</v>
      </c>
      <c r="AC1413" t="s">
        <v>15163</v>
      </c>
      <c r="AD1413" t="s">
        <v>16477</v>
      </c>
      <c r="AE1413">
        <v>2</v>
      </c>
      <c r="AF1413" t="s">
        <v>2903</v>
      </c>
      <c r="AG1413" t="s">
        <v>1754</v>
      </c>
      <c r="AH1413">
        <v>-1</v>
      </c>
      <c r="AI1413">
        <v>2</v>
      </c>
      <c r="AJ1413">
        <v>0</v>
      </c>
      <c r="AK1413">
        <v>55.14</v>
      </c>
      <c r="AN1413" t="s">
        <v>18043</v>
      </c>
      <c r="AO1413">
        <v>9324</v>
      </c>
      <c r="AU1413">
        <v>2</v>
      </c>
      <c r="AV1413" t="s">
        <v>188</v>
      </c>
      <c r="AW1413" t="s">
        <v>3044</v>
      </c>
      <c r="AX1413" t="s">
        <v>18685</v>
      </c>
    </row>
    <row r="1414" spans="1:50">
      <c r="A1414" s="1" t="s">
        <v>97</v>
      </c>
      <c r="B1414" t="s">
        <v>164</v>
      </c>
      <c r="C1414" t="s">
        <v>4624</v>
      </c>
      <c r="D1414" t="s">
        <v>383</v>
      </c>
      <c r="E1414" t="s">
        <v>359</v>
      </c>
      <c r="F1414" t="s">
        <v>6796</v>
      </c>
      <c r="G1414" t="s">
        <v>8547</v>
      </c>
      <c r="H1414" t="s">
        <v>9431</v>
      </c>
      <c r="I1414" t="s">
        <v>11218</v>
      </c>
      <c r="J1414" t="s">
        <v>1643</v>
      </c>
      <c r="K1414">
        <v>10034</v>
      </c>
      <c r="L1414" t="s">
        <v>1670</v>
      </c>
      <c r="M1414" t="s">
        <v>1670</v>
      </c>
      <c r="O1414" t="s">
        <v>1945</v>
      </c>
      <c r="P1414" t="s">
        <v>1962</v>
      </c>
      <c r="Q1414" t="s">
        <v>1968</v>
      </c>
      <c r="R1414" t="s">
        <v>50</v>
      </c>
      <c r="S1414" t="s">
        <v>1671</v>
      </c>
      <c r="U1414" t="s">
        <v>1972</v>
      </c>
      <c r="W1414" t="s">
        <v>383</v>
      </c>
      <c r="X1414">
        <v>913.12</v>
      </c>
      <c r="Y1414" t="s">
        <v>2008</v>
      </c>
      <c r="Z1414" t="s">
        <v>2020</v>
      </c>
      <c r="AA1414" t="s">
        <v>2030</v>
      </c>
      <c r="AB1414" t="s">
        <v>14045</v>
      </c>
      <c r="AD1414" t="s">
        <v>16478</v>
      </c>
      <c r="AE1414">
        <v>69</v>
      </c>
      <c r="AF1414" t="s">
        <v>2902</v>
      </c>
      <c r="AG1414" t="s">
        <v>2919</v>
      </c>
      <c r="AH1414">
        <v>44</v>
      </c>
      <c r="AI1414">
        <v>1</v>
      </c>
      <c r="AJ1414">
        <v>0</v>
      </c>
      <c r="AK1414">
        <v>55.19</v>
      </c>
      <c r="AN1414" t="s">
        <v>2926</v>
      </c>
      <c r="AO1414">
        <v>6700</v>
      </c>
      <c r="AU1414">
        <v>0.1</v>
      </c>
      <c r="AV1414" t="s">
        <v>13044</v>
      </c>
      <c r="AW1414" t="s">
        <v>3042</v>
      </c>
      <c r="AX1414" t="s">
        <v>18685</v>
      </c>
    </row>
    <row r="1415" spans="1:50">
      <c r="A1415" s="1" t="s">
        <v>82</v>
      </c>
      <c r="B1415" t="s">
        <v>163</v>
      </c>
      <c r="C1415" t="s">
        <v>4625</v>
      </c>
      <c r="D1415" t="s">
        <v>179</v>
      </c>
      <c r="F1415" t="s">
        <v>7410</v>
      </c>
      <c r="G1415" t="s">
        <v>8548</v>
      </c>
      <c r="H1415" t="s">
        <v>9442</v>
      </c>
      <c r="I1415" t="s">
        <v>11219</v>
      </c>
      <c r="J1415" t="s">
        <v>1644</v>
      </c>
      <c r="K1415">
        <v>11233</v>
      </c>
      <c r="L1415" t="s">
        <v>1670</v>
      </c>
      <c r="M1415" t="s">
        <v>1672</v>
      </c>
      <c r="N1415" t="s">
        <v>1675</v>
      </c>
      <c r="O1415" t="s">
        <v>1937</v>
      </c>
      <c r="P1415" t="s">
        <v>1962</v>
      </c>
      <c r="R1415" t="s">
        <v>50</v>
      </c>
      <c r="S1415" t="s">
        <v>1670</v>
      </c>
      <c r="U1415" t="s">
        <v>1972</v>
      </c>
      <c r="V1415" t="s">
        <v>1984</v>
      </c>
      <c r="W1415" t="s">
        <v>221</v>
      </c>
      <c r="X1415">
        <v>879</v>
      </c>
      <c r="Y1415" t="s">
        <v>2009</v>
      </c>
      <c r="Z1415" t="s">
        <v>2017</v>
      </c>
      <c r="AB1415" t="s">
        <v>13106</v>
      </c>
      <c r="AE1415">
        <v>359</v>
      </c>
      <c r="AF1415" t="s">
        <v>2902</v>
      </c>
      <c r="AH1415">
        <v>40</v>
      </c>
      <c r="AI1415">
        <v>2</v>
      </c>
      <c r="AJ1415">
        <v>0</v>
      </c>
      <c r="AK1415">
        <v>55.28</v>
      </c>
      <c r="AN1415" t="s">
        <v>2926</v>
      </c>
      <c r="AO1415">
        <v>9348</v>
      </c>
      <c r="AP1415" t="s">
        <v>18278</v>
      </c>
      <c r="AU1415" t="s">
        <v>13051</v>
      </c>
      <c r="AW1415" t="s">
        <v>3059</v>
      </c>
      <c r="AX1415" t="s">
        <v>1754</v>
      </c>
    </row>
    <row r="1416" spans="1:50">
      <c r="A1416" s="1" t="s">
        <v>82</v>
      </c>
      <c r="B1416" t="s">
        <v>163</v>
      </c>
      <c r="C1416" t="s">
        <v>4626</v>
      </c>
      <c r="D1416" t="s">
        <v>179</v>
      </c>
      <c r="F1416" t="s">
        <v>7410</v>
      </c>
      <c r="G1416" t="s">
        <v>8548</v>
      </c>
      <c r="H1416" t="s">
        <v>9442</v>
      </c>
      <c r="I1416" t="s">
        <v>11219</v>
      </c>
      <c r="J1416" t="s">
        <v>1644</v>
      </c>
      <c r="K1416">
        <v>11233</v>
      </c>
      <c r="L1416" t="s">
        <v>1670</v>
      </c>
      <c r="M1416" t="s">
        <v>1672</v>
      </c>
      <c r="N1416" t="s">
        <v>1754</v>
      </c>
      <c r="O1416" t="s">
        <v>1938</v>
      </c>
      <c r="P1416" t="s">
        <v>1961</v>
      </c>
      <c r="R1416" t="s">
        <v>50</v>
      </c>
      <c r="S1416" t="s">
        <v>1670</v>
      </c>
      <c r="U1416" t="s">
        <v>1972</v>
      </c>
      <c r="V1416" t="s">
        <v>1984</v>
      </c>
      <c r="W1416" t="s">
        <v>248</v>
      </c>
      <c r="X1416">
        <v>879</v>
      </c>
      <c r="Y1416" t="s">
        <v>2009</v>
      </c>
      <c r="Z1416" t="s">
        <v>2017</v>
      </c>
      <c r="AB1416" t="s">
        <v>13106</v>
      </c>
      <c r="AE1416">
        <v>359</v>
      </c>
      <c r="AF1416" t="s">
        <v>2902</v>
      </c>
      <c r="AH1416">
        <v>40</v>
      </c>
      <c r="AI1416">
        <v>2</v>
      </c>
      <c r="AJ1416">
        <v>0</v>
      </c>
      <c r="AK1416">
        <v>55.28</v>
      </c>
      <c r="AN1416" t="s">
        <v>2926</v>
      </c>
      <c r="AO1416">
        <v>9348</v>
      </c>
      <c r="AP1416" t="s">
        <v>18071</v>
      </c>
      <c r="AU1416" t="s">
        <v>13051</v>
      </c>
      <c r="AW1416" t="s">
        <v>3059</v>
      </c>
      <c r="AX1416" t="s">
        <v>1754</v>
      </c>
    </row>
    <row r="1417" spans="1:50">
      <c r="A1417" s="1" t="s">
        <v>161</v>
      </c>
      <c r="B1417" t="s">
        <v>163</v>
      </c>
      <c r="C1417" t="s">
        <v>4627</v>
      </c>
      <c r="D1417" t="s">
        <v>351</v>
      </c>
      <c r="F1417" t="s">
        <v>674</v>
      </c>
      <c r="G1417" t="s">
        <v>946</v>
      </c>
      <c r="H1417" t="s">
        <v>10008</v>
      </c>
      <c r="I1417">
        <v>30</v>
      </c>
      <c r="J1417" t="s">
        <v>1643</v>
      </c>
      <c r="K1417">
        <v>10026</v>
      </c>
      <c r="L1417" t="s">
        <v>1670</v>
      </c>
      <c r="M1417" t="s">
        <v>1670</v>
      </c>
      <c r="N1417" t="s">
        <v>12232</v>
      </c>
      <c r="O1417" t="s">
        <v>1936</v>
      </c>
      <c r="P1417" t="s">
        <v>1963</v>
      </c>
      <c r="R1417" t="s">
        <v>50</v>
      </c>
      <c r="S1417" t="s">
        <v>1671</v>
      </c>
      <c r="U1417" t="s">
        <v>1972</v>
      </c>
      <c r="W1417" t="s">
        <v>351</v>
      </c>
      <c r="X1417">
        <v>580.51</v>
      </c>
      <c r="Y1417" t="s">
        <v>2008</v>
      </c>
      <c r="Z1417" t="s">
        <v>2016</v>
      </c>
      <c r="AB1417" t="s">
        <v>14046</v>
      </c>
      <c r="AD1417" t="s">
        <v>16479</v>
      </c>
      <c r="AE1417">
        <v>32</v>
      </c>
      <c r="AF1417" t="s">
        <v>2902</v>
      </c>
      <c r="AG1417" t="s">
        <v>1754</v>
      </c>
      <c r="AH1417">
        <v>36</v>
      </c>
      <c r="AI1417">
        <v>2</v>
      </c>
      <c r="AJ1417">
        <v>0</v>
      </c>
      <c r="AK1417">
        <v>55.33</v>
      </c>
      <c r="AN1417" t="s">
        <v>2926</v>
      </c>
      <c r="AO1417">
        <v>9108</v>
      </c>
      <c r="AU1417">
        <v>62.95</v>
      </c>
      <c r="AV1417" t="s">
        <v>399</v>
      </c>
      <c r="AW1417" t="s">
        <v>3051</v>
      </c>
    </row>
    <row r="1418" spans="1:50">
      <c r="A1418" s="1" t="s">
        <v>161</v>
      </c>
      <c r="B1418" t="s">
        <v>163</v>
      </c>
      <c r="C1418" t="s">
        <v>4628</v>
      </c>
      <c r="D1418" t="s">
        <v>312</v>
      </c>
      <c r="F1418" t="s">
        <v>674</v>
      </c>
      <c r="G1418" t="s">
        <v>946</v>
      </c>
      <c r="H1418" t="s">
        <v>10008</v>
      </c>
      <c r="I1418">
        <v>30</v>
      </c>
      <c r="J1418" t="s">
        <v>1643</v>
      </c>
      <c r="K1418">
        <v>10026</v>
      </c>
      <c r="L1418" t="s">
        <v>1670</v>
      </c>
      <c r="M1418" t="s">
        <v>1670</v>
      </c>
      <c r="O1418" t="s">
        <v>1944</v>
      </c>
      <c r="P1418" t="s">
        <v>1961</v>
      </c>
      <c r="R1418" t="s">
        <v>50</v>
      </c>
      <c r="S1418" t="s">
        <v>1671</v>
      </c>
      <c r="U1418" t="s">
        <v>1976</v>
      </c>
      <c r="V1418" t="s">
        <v>1984</v>
      </c>
      <c r="W1418" t="s">
        <v>312</v>
      </c>
      <c r="X1418">
        <v>580.51</v>
      </c>
      <c r="Y1418" t="s">
        <v>2008</v>
      </c>
      <c r="Z1418" t="s">
        <v>2021</v>
      </c>
      <c r="AB1418" t="s">
        <v>14046</v>
      </c>
      <c r="AD1418" t="s">
        <v>16479</v>
      </c>
      <c r="AE1418">
        <v>32</v>
      </c>
      <c r="AF1418" t="s">
        <v>2902</v>
      </c>
      <c r="AH1418">
        <v>36</v>
      </c>
      <c r="AI1418">
        <v>2</v>
      </c>
      <c r="AJ1418">
        <v>0</v>
      </c>
      <c r="AK1418">
        <v>55.33</v>
      </c>
      <c r="AN1418" t="s">
        <v>2926</v>
      </c>
      <c r="AO1418">
        <v>9108</v>
      </c>
      <c r="AU1418">
        <v>5.7</v>
      </c>
      <c r="AV1418" t="s">
        <v>385</v>
      </c>
      <c r="AW1418" t="s">
        <v>3051</v>
      </c>
    </row>
    <row r="1419" spans="1:50">
      <c r="A1419" s="1" t="s">
        <v>79</v>
      </c>
      <c r="B1419" t="s">
        <v>164</v>
      </c>
      <c r="C1419" t="s">
        <v>4629</v>
      </c>
      <c r="D1419" t="s">
        <v>306</v>
      </c>
      <c r="E1419" t="s">
        <v>330</v>
      </c>
      <c r="F1419" t="s">
        <v>7411</v>
      </c>
      <c r="G1419" t="s">
        <v>8549</v>
      </c>
      <c r="H1419" t="s">
        <v>10009</v>
      </c>
      <c r="I1419" t="s">
        <v>1600</v>
      </c>
      <c r="J1419" t="s">
        <v>1644</v>
      </c>
      <c r="K1419">
        <v>11217</v>
      </c>
      <c r="L1419" t="s">
        <v>1671</v>
      </c>
      <c r="M1419" t="s">
        <v>1671</v>
      </c>
      <c r="O1419" t="s">
        <v>1937</v>
      </c>
      <c r="P1419" t="s">
        <v>1958</v>
      </c>
      <c r="Q1419" t="s">
        <v>1965</v>
      </c>
      <c r="R1419" t="s">
        <v>50</v>
      </c>
      <c r="S1419" t="s">
        <v>1671</v>
      </c>
      <c r="U1419" t="s">
        <v>1972</v>
      </c>
      <c r="V1419" t="s">
        <v>1984</v>
      </c>
      <c r="W1419" t="s">
        <v>306</v>
      </c>
      <c r="X1419">
        <v>577.6</v>
      </c>
      <c r="Y1419" t="s">
        <v>2009</v>
      </c>
      <c r="Z1419" t="s">
        <v>2028</v>
      </c>
      <c r="AA1419" t="s">
        <v>2038</v>
      </c>
      <c r="AB1419" t="s">
        <v>2223</v>
      </c>
      <c r="AC1419" t="s">
        <v>1691</v>
      </c>
      <c r="AE1419" t="s">
        <v>13051</v>
      </c>
      <c r="AF1419" t="s">
        <v>2911</v>
      </c>
      <c r="AG1419" t="s">
        <v>1754</v>
      </c>
      <c r="AH1419">
        <v>30</v>
      </c>
      <c r="AI1419">
        <v>2</v>
      </c>
      <c r="AJ1419">
        <v>0</v>
      </c>
      <c r="AK1419">
        <v>55.41</v>
      </c>
      <c r="AN1419" t="s">
        <v>2926</v>
      </c>
      <c r="AO1419">
        <v>9120</v>
      </c>
      <c r="AU1419">
        <v>0.6</v>
      </c>
      <c r="AV1419" t="s">
        <v>330</v>
      </c>
      <c r="AW1419" t="s">
        <v>3060</v>
      </c>
    </row>
    <row r="1420" spans="1:50">
      <c r="A1420" s="1" t="s">
        <v>103</v>
      </c>
      <c r="B1420" t="s">
        <v>164</v>
      </c>
      <c r="C1420" t="s">
        <v>4630</v>
      </c>
      <c r="D1420" t="s">
        <v>241</v>
      </c>
      <c r="E1420" t="s">
        <v>306</v>
      </c>
      <c r="F1420" t="s">
        <v>719</v>
      </c>
      <c r="G1420" t="s">
        <v>870</v>
      </c>
      <c r="H1420" t="s">
        <v>10010</v>
      </c>
      <c r="I1420">
        <v>3</v>
      </c>
      <c r="J1420" t="s">
        <v>1644</v>
      </c>
      <c r="K1420">
        <v>11208</v>
      </c>
      <c r="L1420" t="s">
        <v>1670</v>
      </c>
      <c r="M1420" t="s">
        <v>1670</v>
      </c>
      <c r="O1420" t="s">
        <v>1675</v>
      </c>
      <c r="P1420" t="s">
        <v>1958</v>
      </c>
      <c r="Q1420" t="s">
        <v>1965</v>
      </c>
      <c r="R1420" t="s">
        <v>50</v>
      </c>
      <c r="U1420" t="s">
        <v>1972</v>
      </c>
      <c r="W1420" t="s">
        <v>352</v>
      </c>
      <c r="X1420" t="s">
        <v>13051</v>
      </c>
      <c r="Y1420" t="s">
        <v>2009</v>
      </c>
      <c r="AA1420" t="s">
        <v>2029</v>
      </c>
      <c r="AB1420" t="s">
        <v>14047</v>
      </c>
      <c r="AD1420" t="s">
        <v>16480</v>
      </c>
      <c r="AE1420" t="s">
        <v>13051</v>
      </c>
      <c r="AH1420" t="s">
        <v>13051</v>
      </c>
      <c r="AI1420">
        <v>2</v>
      </c>
      <c r="AJ1420">
        <v>0</v>
      </c>
      <c r="AK1420">
        <v>55.41</v>
      </c>
      <c r="AN1420" t="s">
        <v>2927</v>
      </c>
      <c r="AO1420">
        <v>9120</v>
      </c>
      <c r="AU1420">
        <v>3.5</v>
      </c>
      <c r="AV1420" t="s">
        <v>387</v>
      </c>
      <c r="AW1420" t="s">
        <v>103</v>
      </c>
    </row>
    <row r="1421" spans="1:50">
      <c r="A1421" s="1" t="s">
        <v>95</v>
      </c>
      <c r="B1421" t="s">
        <v>164</v>
      </c>
      <c r="C1421" t="s">
        <v>4631</v>
      </c>
      <c r="D1421" t="s">
        <v>407</v>
      </c>
      <c r="E1421" t="s">
        <v>297</v>
      </c>
      <c r="F1421" t="s">
        <v>438</v>
      </c>
      <c r="G1421" t="s">
        <v>8534</v>
      </c>
      <c r="H1421" t="s">
        <v>9987</v>
      </c>
      <c r="I1421" t="s">
        <v>1525</v>
      </c>
      <c r="J1421" t="s">
        <v>1641</v>
      </c>
      <c r="K1421">
        <v>10458</v>
      </c>
      <c r="L1421" t="s">
        <v>1670</v>
      </c>
      <c r="M1421" t="s">
        <v>1670</v>
      </c>
      <c r="O1421" t="s">
        <v>1675</v>
      </c>
      <c r="P1421" t="s">
        <v>1962</v>
      </c>
      <c r="Q1421" t="s">
        <v>1968</v>
      </c>
      <c r="R1421" t="s">
        <v>50</v>
      </c>
      <c r="S1421" t="s">
        <v>1671</v>
      </c>
      <c r="U1421" t="s">
        <v>1972</v>
      </c>
      <c r="W1421" t="s">
        <v>196</v>
      </c>
      <c r="X1421">
        <v>1360</v>
      </c>
      <c r="Y1421" t="s">
        <v>2006</v>
      </c>
      <c r="Z1421" t="s">
        <v>2015</v>
      </c>
      <c r="AA1421" t="s">
        <v>2029</v>
      </c>
      <c r="AB1421" t="s">
        <v>14048</v>
      </c>
      <c r="AD1421" t="s">
        <v>16453</v>
      </c>
      <c r="AE1421" t="s">
        <v>13051</v>
      </c>
      <c r="AF1421" t="s">
        <v>2902</v>
      </c>
      <c r="AG1421" t="s">
        <v>1754</v>
      </c>
      <c r="AH1421">
        <v>10</v>
      </c>
      <c r="AI1421">
        <v>1</v>
      </c>
      <c r="AJ1421">
        <v>0</v>
      </c>
      <c r="AK1421">
        <v>55.55</v>
      </c>
      <c r="AN1421" t="s">
        <v>2927</v>
      </c>
      <c r="AO1421">
        <v>6744</v>
      </c>
      <c r="AU1421">
        <v>1.2</v>
      </c>
      <c r="AV1421" t="s">
        <v>196</v>
      </c>
      <c r="AW1421" t="s">
        <v>147</v>
      </c>
    </row>
    <row r="1422" spans="1:50">
      <c r="A1422" s="1" t="s">
        <v>64</v>
      </c>
      <c r="B1422" t="s">
        <v>163</v>
      </c>
      <c r="C1422" t="s">
        <v>4632</v>
      </c>
      <c r="D1422" t="s">
        <v>169</v>
      </c>
      <c r="F1422" t="s">
        <v>7412</v>
      </c>
      <c r="G1422" t="s">
        <v>835</v>
      </c>
      <c r="H1422" t="s">
        <v>1243</v>
      </c>
      <c r="I1422" t="s">
        <v>11220</v>
      </c>
      <c r="J1422" t="s">
        <v>1643</v>
      </c>
      <c r="K1422">
        <v>10033</v>
      </c>
      <c r="L1422" t="s">
        <v>1670</v>
      </c>
      <c r="M1422" t="s">
        <v>1670</v>
      </c>
      <c r="O1422" t="s">
        <v>1939</v>
      </c>
      <c r="P1422" t="s">
        <v>1962</v>
      </c>
      <c r="R1422" t="s">
        <v>50</v>
      </c>
      <c r="S1422" t="s">
        <v>1670</v>
      </c>
      <c r="U1422" t="s">
        <v>1972</v>
      </c>
      <c r="W1422" t="s">
        <v>169</v>
      </c>
      <c r="X1422">
        <v>1375.8</v>
      </c>
      <c r="Y1422" t="s">
        <v>2008</v>
      </c>
      <c r="Z1422" t="s">
        <v>2016</v>
      </c>
      <c r="AB1422" t="s">
        <v>14049</v>
      </c>
      <c r="AD1422" t="s">
        <v>16481</v>
      </c>
      <c r="AE1422">
        <v>232</v>
      </c>
      <c r="AF1422" t="s">
        <v>2902</v>
      </c>
      <c r="AG1422" t="s">
        <v>1754</v>
      </c>
      <c r="AH1422">
        <v>10</v>
      </c>
      <c r="AI1422">
        <v>2</v>
      </c>
      <c r="AJ1422">
        <v>0</v>
      </c>
      <c r="AK1422">
        <v>55.55</v>
      </c>
      <c r="AN1422" t="s">
        <v>2927</v>
      </c>
      <c r="AO1422">
        <v>9144</v>
      </c>
      <c r="AU1422">
        <v>0.9</v>
      </c>
      <c r="AV1422" t="s">
        <v>369</v>
      </c>
      <c r="AW1422" t="s">
        <v>3042</v>
      </c>
    </row>
    <row r="1423" spans="1:50">
      <c r="A1423" s="1" t="s">
        <v>111</v>
      </c>
      <c r="B1423" t="s">
        <v>163</v>
      </c>
      <c r="C1423" t="s">
        <v>4633</v>
      </c>
      <c r="D1423" t="s">
        <v>174</v>
      </c>
      <c r="F1423" t="s">
        <v>7306</v>
      </c>
      <c r="G1423" t="s">
        <v>6919</v>
      </c>
      <c r="H1423" t="s">
        <v>1260</v>
      </c>
      <c r="I1423" t="s">
        <v>1541</v>
      </c>
      <c r="J1423" t="s">
        <v>1641</v>
      </c>
      <c r="K1423">
        <v>10453</v>
      </c>
      <c r="L1423" t="s">
        <v>1670</v>
      </c>
      <c r="M1423" t="s">
        <v>1670</v>
      </c>
      <c r="O1423" t="s">
        <v>1675</v>
      </c>
      <c r="P1423" t="s">
        <v>1959</v>
      </c>
      <c r="R1423" t="s">
        <v>50</v>
      </c>
      <c r="S1423" t="s">
        <v>1670</v>
      </c>
      <c r="U1423" t="s">
        <v>1972</v>
      </c>
      <c r="W1423" t="s">
        <v>243</v>
      </c>
      <c r="X1423">
        <v>957</v>
      </c>
      <c r="Y1423" t="s">
        <v>2006</v>
      </c>
      <c r="Z1423" t="s">
        <v>2015</v>
      </c>
      <c r="AB1423" t="s">
        <v>14050</v>
      </c>
      <c r="AD1423" t="s">
        <v>16482</v>
      </c>
      <c r="AE1423">
        <v>44</v>
      </c>
      <c r="AF1423" t="s">
        <v>2902</v>
      </c>
      <c r="AG1423" t="s">
        <v>2915</v>
      </c>
      <c r="AH1423">
        <v>28</v>
      </c>
      <c r="AI1423">
        <v>2</v>
      </c>
      <c r="AJ1423">
        <v>0</v>
      </c>
      <c r="AK1423">
        <v>56.14</v>
      </c>
      <c r="AN1423" t="s">
        <v>2927</v>
      </c>
      <c r="AO1423">
        <v>9240</v>
      </c>
      <c r="AU1423" t="s">
        <v>13051</v>
      </c>
      <c r="AW1423" t="s">
        <v>3047</v>
      </c>
    </row>
    <row r="1424" spans="1:50">
      <c r="A1424" s="1" t="s">
        <v>111</v>
      </c>
      <c r="B1424" t="s">
        <v>163</v>
      </c>
      <c r="C1424" t="s">
        <v>4634</v>
      </c>
      <c r="D1424" t="s">
        <v>174</v>
      </c>
      <c r="F1424" t="s">
        <v>7306</v>
      </c>
      <c r="G1424" t="s">
        <v>6919</v>
      </c>
      <c r="H1424" t="s">
        <v>1260</v>
      </c>
      <c r="I1424" t="s">
        <v>1541</v>
      </c>
      <c r="J1424" t="s">
        <v>1641</v>
      </c>
      <c r="K1424">
        <v>10453</v>
      </c>
      <c r="L1424" t="s">
        <v>1670</v>
      </c>
      <c r="M1424" t="s">
        <v>1670</v>
      </c>
      <c r="O1424" t="s">
        <v>1938</v>
      </c>
      <c r="P1424" t="s">
        <v>1961</v>
      </c>
      <c r="R1424" t="s">
        <v>50</v>
      </c>
      <c r="S1424" t="s">
        <v>1670</v>
      </c>
      <c r="U1424" t="s">
        <v>1972</v>
      </c>
      <c r="W1424" t="s">
        <v>283</v>
      </c>
      <c r="X1424">
        <v>957</v>
      </c>
      <c r="Y1424" t="s">
        <v>2006</v>
      </c>
      <c r="Z1424" t="s">
        <v>2015</v>
      </c>
      <c r="AB1424" t="s">
        <v>14050</v>
      </c>
      <c r="AD1424" t="s">
        <v>16482</v>
      </c>
      <c r="AE1424">
        <v>44</v>
      </c>
      <c r="AF1424" t="s">
        <v>2902</v>
      </c>
      <c r="AG1424" t="s">
        <v>2915</v>
      </c>
      <c r="AH1424">
        <v>28</v>
      </c>
      <c r="AI1424">
        <v>2</v>
      </c>
      <c r="AJ1424">
        <v>0</v>
      </c>
      <c r="AK1424">
        <v>56.14</v>
      </c>
      <c r="AN1424" t="s">
        <v>2927</v>
      </c>
      <c r="AO1424">
        <v>9240</v>
      </c>
      <c r="AU1424" t="s">
        <v>13051</v>
      </c>
      <c r="AW1424" t="s">
        <v>3047</v>
      </c>
    </row>
    <row r="1425" spans="1:50">
      <c r="A1425" s="1" t="s">
        <v>74</v>
      </c>
      <c r="B1425" t="s">
        <v>163</v>
      </c>
      <c r="C1425" t="s">
        <v>4635</v>
      </c>
      <c r="D1425" t="s">
        <v>306</v>
      </c>
      <c r="F1425" t="s">
        <v>7032</v>
      </c>
      <c r="G1425" t="s">
        <v>7464</v>
      </c>
      <c r="H1425" t="s">
        <v>1131</v>
      </c>
      <c r="I1425" t="s">
        <v>11214</v>
      </c>
      <c r="J1425" t="s">
        <v>1641</v>
      </c>
      <c r="K1425">
        <v>10460</v>
      </c>
      <c r="L1425" t="s">
        <v>1670</v>
      </c>
      <c r="M1425" t="s">
        <v>1670</v>
      </c>
      <c r="N1425" t="s">
        <v>1692</v>
      </c>
      <c r="O1425" t="s">
        <v>1939</v>
      </c>
      <c r="P1425" t="s">
        <v>1960</v>
      </c>
      <c r="R1425" t="s">
        <v>50</v>
      </c>
      <c r="S1425" t="s">
        <v>1670</v>
      </c>
      <c r="U1425" t="s">
        <v>1972</v>
      </c>
      <c r="W1425" t="s">
        <v>283</v>
      </c>
      <c r="X1425">
        <v>242</v>
      </c>
      <c r="Y1425" t="s">
        <v>2006</v>
      </c>
      <c r="Z1425" t="s">
        <v>2015</v>
      </c>
      <c r="AB1425" t="s">
        <v>14032</v>
      </c>
      <c r="AD1425" t="s">
        <v>16466</v>
      </c>
      <c r="AE1425">
        <v>168</v>
      </c>
      <c r="AF1425" t="s">
        <v>2904</v>
      </c>
      <c r="AG1425" t="s">
        <v>2017</v>
      </c>
      <c r="AH1425">
        <v>1</v>
      </c>
      <c r="AI1425">
        <v>2</v>
      </c>
      <c r="AJ1425">
        <v>0</v>
      </c>
      <c r="AK1425">
        <v>56.14</v>
      </c>
      <c r="AN1425" t="s">
        <v>2926</v>
      </c>
      <c r="AO1425">
        <v>9240</v>
      </c>
      <c r="AU1425" t="s">
        <v>13051</v>
      </c>
      <c r="AW1425" t="s">
        <v>3046</v>
      </c>
    </row>
    <row r="1426" spans="1:50">
      <c r="A1426" s="1" t="s">
        <v>111</v>
      </c>
      <c r="B1426" t="s">
        <v>163</v>
      </c>
      <c r="C1426" t="s">
        <v>4636</v>
      </c>
      <c r="D1426" t="s">
        <v>174</v>
      </c>
      <c r="F1426" t="s">
        <v>7306</v>
      </c>
      <c r="G1426" t="s">
        <v>6919</v>
      </c>
      <c r="H1426" t="s">
        <v>1260</v>
      </c>
      <c r="I1426" t="s">
        <v>1541</v>
      </c>
      <c r="J1426" t="s">
        <v>1641</v>
      </c>
      <c r="K1426">
        <v>10453</v>
      </c>
      <c r="L1426" t="s">
        <v>1670</v>
      </c>
      <c r="M1426" t="s">
        <v>1670</v>
      </c>
      <c r="N1426" t="s">
        <v>1778</v>
      </c>
      <c r="O1426" t="s">
        <v>1939</v>
      </c>
      <c r="P1426" t="s">
        <v>1960</v>
      </c>
      <c r="R1426" t="s">
        <v>50</v>
      </c>
      <c r="S1426" t="s">
        <v>1670</v>
      </c>
      <c r="U1426" t="s">
        <v>1972</v>
      </c>
      <c r="W1426" t="s">
        <v>283</v>
      </c>
      <c r="X1426">
        <v>957</v>
      </c>
      <c r="Y1426" t="s">
        <v>2006</v>
      </c>
      <c r="Z1426" t="s">
        <v>2015</v>
      </c>
      <c r="AB1426" t="s">
        <v>14050</v>
      </c>
      <c r="AD1426" t="s">
        <v>16482</v>
      </c>
      <c r="AE1426">
        <v>44</v>
      </c>
      <c r="AF1426" t="s">
        <v>2902</v>
      </c>
      <c r="AG1426" t="s">
        <v>2915</v>
      </c>
      <c r="AH1426">
        <v>28</v>
      </c>
      <c r="AI1426">
        <v>2</v>
      </c>
      <c r="AJ1426">
        <v>0</v>
      </c>
      <c r="AK1426">
        <v>56.14</v>
      </c>
      <c r="AN1426" t="s">
        <v>2927</v>
      </c>
      <c r="AO1426">
        <v>9240</v>
      </c>
      <c r="AU1426" t="s">
        <v>13051</v>
      </c>
      <c r="AW1426" t="s">
        <v>3047</v>
      </c>
    </row>
    <row r="1427" spans="1:50">
      <c r="A1427" s="1" t="s">
        <v>58</v>
      </c>
      <c r="B1427" t="s">
        <v>164</v>
      </c>
      <c r="C1427" t="s">
        <v>4637</v>
      </c>
      <c r="D1427" t="s">
        <v>172</v>
      </c>
      <c r="E1427" t="s">
        <v>345</v>
      </c>
      <c r="F1427" t="s">
        <v>7413</v>
      </c>
      <c r="G1427" t="s">
        <v>6919</v>
      </c>
      <c r="H1427" t="s">
        <v>10011</v>
      </c>
      <c r="I1427" t="s">
        <v>11221</v>
      </c>
      <c r="J1427" t="s">
        <v>1641</v>
      </c>
      <c r="K1427">
        <v>10452</v>
      </c>
      <c r="L1427" t="s">
        <v>1670</v>
      </c>
      <c r="M1427" t="s">
        <v>1670</v>
      </c>
      <c r="N1427" t="s">
        <v>12233</v>
      </c>
      <c r="O1427" t="s">
        <v>1936</v>
      </c>
      <c r="P1427" t="s">
        <v>1958</v>
      </c>
      <c r="Q1427" t="s">
        <v>1965</v>
      </c>
      <c r="R1427" t="s">
        <v>50</v>
      </c>
      <c r="S1427" t="s">
        <v>1671</v>
      </c>
      <c r="U1427" t="s">
        <v>1972</v>
      </c>
      <c r="V1427" t="s">
        <v>1984</v>
      </c>
      <c r="W1427" t="s">
        <v>172</v>
      </c>
      <c r="X1427">
        <v>2159</v>
      </c>
      <c r="Y1427" t="s">
        <v>2006</v>
      </c>
      <c r="Z1427" t="s">
        <v>2015</v>
      </c>
      <c r="AA1427" t="s">
        <v>2029</v>
      </c>
      <c r="AB1427" t="s">
        <v>14051</v>
      </c>
      <c r="AD1427" t="s">
        <v>16483</v>
      </c>
      <c r="AE1427">
        <v>140</v>
      </c>
      <c r="AF1427" t="s">
        <v>2904</v>
      </c>
      <c r="AG1427" t="s">
        <v>2915</v>
      </c>
      <c r="AH1427">
        <v>15</v>
      </c>
      <c r="AI1427">
        <v>3</v>
      </c>
      <c r="AJ1427">
        <v>0</v>
      </c>
      <c r="AK1427">
        <v>56.3</v>
      </c>
      <c r="AN1427" t="s">
        <v>2927</v>
      </c>
      <c r="AO1427">
        <v>11700</v>
      </c>
      <c r="AU1427">
        <v>1</v>
      </c>
      <c r="AV1427" t="s">
        <v>315</v>
      </c>
      <c r="AW1427" t="s">
        <v>3046</v>
      </c>
    </row>
    <row r="1428" spans="1:50">
      <c r="A1428" s="1" t="s">
        <v>139</v>
      </c>
      <c r="B1428" t="s">
        <v>164</v>
      </c>
      <c r="C1428" t="s">
        <v>4638</v>
      </c>
      <c r="D1428" t="s">
        <v>274</v>
      </c>
      <c r="E1428" t="s">
        <v>327</v>
      </c>
      <c r="F1428" t="s">
        <v>7109</v>
      </c>
      <c r="G1428" t="s">
        <v>806</v>
      </c>
      <c r="H1428" t="s">
        <v>10001</v>
      </c>
      <c r="I1428">
        <v>65</v>
      </c>
      <c r="J1428" t="s">
        <v>1643</v>
      </c>
      <c r="K1428">
        <v>10029</v>
      </c>
      <c r="L1428" t="s">
        <v>1670</v>
      </c>
      <c r="M1428" t="s">
        <v>1670</v>
      </c>
      <c r="N1428" t="s">
        <v>12234</v>
      </c>
      <c r="O1428" t="s">
        <v>1940</v>
      </c>
      <c r="P1428" t="s">
        <v>1962</v>
      </c>
      <c r="Q1428" t="s">
        <v>1965</v>
      </c>
      <c r="R1428" t="s">
        <v>50</v>
      </c>
      <c r="S1428" t="s">
        <v>1671</v>
      </c>
      <c r="U1428" t="s">
        <v>1972</v>
      </c>
      <c r="V1428" t="s">
        <v>1984</v>
      </c>
      <c r="W1428" t="s">
        <v>274</v>
      </c>
      <c r="X1428">
        <v>1029.77</v>
      </c>
      <c r="Y1428" t="s">
        <v>2008</v>
      </c>
      <c r="Z1428" t="s">
        <v>2020</v>
      </c>
      <c r="AA1428" t="s">
        <v>2029</v>
      </c>
      <c r="AB1428" t="s">
        <v>14037</v>
      </c>
      <c r="AD1428" t="s">
        <v>16484</v>
      </c>
      <c r="AE1428">
        <v>30</v>
      </c>
      <c r="AF1428" t="s">
        <v>2902</v>
      </c>
      <c r="AG1428" t="s">
        <v>1754</v>
      </c>
      <c r="AH1428">
        <v>22</v>
      </c>
      <c r="AI1428">
        <v>2</v>
      </c>
      <c r="AJ1428">
        <v>0</v>
      </c>
      <c r="AK1428">
        <v>56.35</v>
      </c>
      <c r="AN1428" t="s">
        <v>2926</v>
      </c>
      <c r="AO1428">
        <v>9528</v>
      </c>
      <c r="AR1428" t="s">
        <v>2017</v>
      </c>
      <c r="AU1428">
        <v>4.35</v>
      </c>
      <c r="AV1428" t="s">
        <v>219</v>
      </c>
      <c r="AW1428" t="s">
        <v>3051</v>
      </c>
    </row>
    <row r="1429" spans="1:50">
      <c r="A1429" s="1" t="s">
        <v>91</v>
      </c>
      <c r="B1429" t="s">
        <v>163</v>
      </c>
      <c r="C1429" t="s">
        <v>4639</v>
      </c>
      <c r="D1429" t="s">
        <v>293</v>
      </c>
      <c r="F1429" t="s">
        <v>7414</v>
      </c>
      <c r="G1429" t="s">
        <v>8550</v>
      </c>
      <c r="H1429" t="s">
        <v>10012</v>
      </c>
      <c r="I1429">
        <v>67</v>
      </c>
      <c r="J1429" t="s">
        <v>1643</v>
      </c>
      <c r="K1429">
        <v>10032</v>
      </c>
      <c r="L1429" t="s">
        <v>1670</v>
      </c>
      <c r="M1429" t="s">
        <v>1670</v>
      </c>
      <c r="O1429" t="s">
        <v>1941</v>
      </c>
      <c r="P1429" t="s">
        <v>1962</v>
      </c>
      <c r="R1429" t="s">
        <v>50</v>
      </c>
      <c r="S1429" t="s">
        <v>1671</v>
      </c>
      <c r="U1429" t="s">
        <v>1972</v>
      </c>
      <c r="W1429" t="s">
        <v>293</v>
      </c>
      <c r="X1429">
        <v>1550</v>
      </c>
      <c r="Y1429" t="s">
        <v>2008</v>
      </c>
      <c r="Z1429" t="s">
        <v>2013</v>
      </c>
      <c r="AB1429" t="s">
        <v>14052</v>
      </c>
      <c r="AD1429" t="s">
        <v>16485</v>
      </c>
      <c r="AE1429">
        <v>55</v>
      </c>
      <c r="AF1429" t="s">
        <v>2902</v>
      </c>
      <c r="AG1429" t="s">
        <v>2921</v>
      </c>
      <c r="AH1429">
        <v>7</v>
      </c>
      <c r="AI1429">
        <v>2</v>
      </c>
      <c r="AJ1429">
        <v>0</v>
      </c>
      <c r="AK1429">
        <v>56.35</v>
      </c>
      <c r="AN1429" t="s">
        <v>2927</v>
      </c>
      <c r="AO1429">
        <v>9528</v>
      </c>
      <c r="AU1429">
        <v>1.8</v>
      </c>
      <c r="AV1429" t="s">
        <v>361</v>
      </c>
      <c r="AW1429" t="s">
        <v>3042</v>
      </c>
    </row>
    <row r="1430" spans="1:50">
      <c r="A1430" s="1" t="s">
        <v>3190</v>
      </c>
      <c r="B1430" t="s">
        <v>163</v>
      </c>
      <c r="C1430" t="s">
        <v>4640</v>
      </c>
      <c r="D1430" t="s">
        <v>373</v>
      </c>
      <c r="F1430" t="s">
        <v>502</v>
      </c>
      <c r="G1430" t="s">
        <v>8551</v>
      </c>
      <c r="H1430" t="s">
        <v>10013</v>
      </c>
      <c r="I1430" t="s">
        <v>1558</v>
      </c>
      <c r="J1430" t="s">
        <v>1641</v>
      </c>
      <c r="K1430">
        <v>10456</v>
      </c>
      <c r="L1430" t="s">
        <v>1670</v>
      </c>
      <c r="M1430" t="s">
        <v>1670</v>
      </c>
      <c r="N1430" t="s">
        <v>12235</v>
      </c>
      <c r="O1430" t="s">
        <v>1945</v>
      </c>
      <c r="P1430" t="s">
        <v>1959</v>
      </c>
      <c r="R1430" t="s">
        <v>50</v>
      </c>
      <c r="S1430" t="s">
        <v>1671</v>
      </c>
      <c r="U1430" t="s">
        <v>1980</v>
      </c>
      <c r="W1430" t="s">
        <v>283</v>
      </c>
      <c r="X1430">
        <v>949.37</v>
      </c>
      <c r="Y1430" t="s">
        <v>2006</v>
      </c>
      <c r="Z1430" t="s">
        <v>2020</v>
      </c>
      <c r="AB1430" t="s">
        <v>14053</v>
      </c>
      <c r="AD1430" t="s">
        <v>16486</v>
      </c>
      <c r="AE1430">
        <v>56</v>
      </c>
      <c r="AF1430" t="s">
        <v>2902</v>
      </c>
      <c r="AG1430" t="s">
        <v>1754</v>
      </c>
      <c r="AH1430">
        <v>24</v>
      </c>
      <c r="AI1430">
        <v>2</v>
      </c>
      <c r="AJ1430">
        <v>0</v>
      </c>
      <c r="AK1430">
        <v>56.35</v>
      </c>
      <c r="AN1430" t="s">
        <v>2926</v>
      </c>
      <c r="AO1430">
        <v>9276</v>
      </c>
      <c r="AU1430">
        <v>11.25</v>
      </c>
      <c r="AV1430" t="s">
        <v>239</v>
      </c>
      <c r="AW1430" t="s">
        <v>18668</v>
      </c>
    </row>
    <row r="1431" spans="1:50">
      <c r="A1431" s="1" t="s">
        <v>94</v>
      </c>
      <c r="B1431" t="s">
        <v>163</v>
      </c>
      <c r="C1431" t="s">
        <v>4641</v>
      </c>
      <c r="D1431" t="s">
        <v>186</v>
      </c>
      <c r="F1431" t="s">
        <v>7312</v>
      </c>
      <c r="G1431" t="s">
        <v>893</v>
      </c>
      <c r="H1431" t="s">
        <v>9541</v>
      </c>
      <c r="I1431">
        <v>31</v>
      </c>
      <c r="J1431" t="s">
        <v>1643</v>
      </c>
      <c r="K1431">
        <v>10034</v>
      </c>
      <c r="L1431" t="s">
        <v>1670</v>
      </c>
      <c r="M1431" t="s">
        <v>1670</v>
      </c>
      <c r="O1431" t="s">
        <v>1939</v>
      </c>
      <c r="P1431" t="s">
        <v>1958</v>
      </c>
      <c r="R1431" t="s">
        <v>50</v>
      </c>
      <c r="S1431" t="s">
        <v>1670</v>
      </c>
      <c r="U1431" t="s">
        <v>1972</v>
      </c>
      <c r="W1431" t="s">
        <v>186</v>
      </c>
      <c r="X1431">
        <v>865.1799999999999</v>
      </c>
      <c r="Y1431" t="s">
        <v>2008</v>
      </c>
      <c r="Z1431" t="s">
        <v>2013</v>
      </c>
      <c r="AB1431" t="s">
        <v>14054</v>
      </c>
      <c r="AD1431" t="s">
        <v>16487</v>
      </c>
      <c r="AE1431">
        <v>20</v>
      </c>
      <c r="AF1431" t="s">
        <v>2902</v>
      </c>
      <c r="AG1431" t="s">
        <v>1754</v>
      </c>
      <c r="AH1431">
        <v>28</v>
      </c>
      <c r="AI1431">
        <v>1</v>
      </c>
      <c r="AJ1431">
        <v>0</v>
      </c>
      <c r="AK1431">
        <v>56.4</v>
      </c>
      <c r="AN1431" t="s">
        <v>2927</v>
      </c>
      <c r="AO1431">
        <v>7044</v>
      </c>
      <c r="AU1431" t="s">
        <v>13051</v>
      </c>
      <c r="AW1431" t="s">
        <v>3042</v>
      </c>
    </row>
    <row r="1432" spans="1:50">
      <c r="A1432" s="1" t="s">
        <v>122</v>
      </c>
      <c r="B1432" t="s">
        <v>164</v>
      </c>
      <c r="C1432" t="s">
        <v>4642</v>
      </c>
      <c r="D1432" t="s">
        <v>301</v>
      </c>
      <c r="E1432" t="s">
        <v>326</v>
      </c>
      <c r="F1432" t="s">
        <v>7415</v>
      </c>
      <c r="G1432" t="s">
        <v>8552</v>
      </c>
      <c r="H1432">
        <v>2059</v>
      </c>
      <c r="I1432" t="s">
        <v>1600</v>
      </c>
      <c r="J1432" t="s">
        <v>1641</v>
      </c>
      <c r="K1432">
        <v>10453</v>
      </c>
      <c r="L1432" t="s">
        <v>1670</v>
      </c>
      <c r="M1432" t="s">
        <v>1670</v>
      </c>
      <c r="O1432" t="s">
        <v>1675</v>
      </c>
      <c r="P1432" t="s">
        <v>1958</v>
      </c>
      <c r="Q1432" t="s">
        <v>1965</v>
      </c>
      <c r="R1432" t="s">
        <v>50</v>
      </c>
      <c r="S1432" t="s">
        <v>1671</v>
      </c>
      <c r="U1432" t="s">
        <v>1972</v>
      </c>
      <c r="W1432" t="s">
        <v>301</v>
      </c>
      <c r="X1432">
        <v>810</v>
      </c>
      <c r="Y1432" t="s">
        <v>2006</v>
      </c>
      <c r="Z1432" t="s">
        <v>2015</v>
      </c>
      <c r="AA1432" t="s">
        <v>2029</v>
      </c>
      <c r="AB1432" t="s">
        <v>14055</v>
      </c>
      <c r="AD1432" t="s">
        <v>16488</v>
      </c>
      <c r="AE1432" t="s">
        <v>13051</v>
      </c>
      <c r="AF1432" t="s">
        <v>2902</v>
      </c>
      <c r="AG1432" t="s">
        <v>1754</v>
      </c>
      <c r="AH1432">
        <v>3</v>
      </c>
      <c r="AI1432">
        <v>2</v>
      </c>
      <c r="AJ1432">
        <v>0</v>
      </c>
      <c r="AK1432">
        <v>56.77</v>
      </c>
      <c r="AN1432" t="s">
        <v>2926</v>
      </c>
      <c r="AO1432">
        <v>9600</v>
      </c>
      <c r="AP1432" t="s">
        <v>18279</v>
      </c>
      <c r="AU1432">
        <v>1</v>
      </c>
      <c r="AV1432" t="s">
        <v>301</v>
      </c>
      <c r="AW1432" t="s">
        <v>122</v>
      </c>
    </row>
    <row r="1433" spans="1:50">
      <c r="A1433" s="1" t="s">
        <v>95</v>
      </c>
      <c r="B1433" t="s">
        <v>164</v>
      </c>
      <c r="C1433" t="s">
        <v>4643</v>
      </c>
      <c r="D1433" t="s">
        <v>226</v>
      </c>
      <c r="E1433" t="s">
        <v>1995</v>
      </c>
      <c r="F1433" t="s">
        <v>427</v>
      </c>
      <c r="G1433" t="s">
        <v>8553</v>
      </c>
      <c r="H1433" t="s">
        <v>10014</v>
      </c>
      <c r="I1433">
        <v>1</v>
      </c>
      <c r="J1433" t="s">
        <v>1641</v>
      </c>
      <c r="K1433">
        <v>10455</v>
      </c>
      <c r="L1433" t="s">
        <v>1670</v>
      </c>
      <c r="M1433" t="s">
        <v>1670</v>
      </c>
      <c r="O1433" t="s">
        <v>1675</v>
      </c>
      <c r="P1433" t="s">
        <v>1962</v>
      </c>
      <c r="Q1433" t="s">
        <v>1968</v>
      </c>
      <c r="R1433" t="s">
        <v>50</v>
      </c>
      <c r="S1433" t="s">
        <v>1671</v>
      </c>
      <c r="U1433" t="s">
        <v>1972</v>
      </c>
      <c r="W1433" t="s">
        <v>226</v>
      </c>
      <c r="X1433">
        <v>900</v>
      </c>
      <c r="Y1433" t="s">
        <v>2006</v>
      </c>
      <c r="Z1433" t="s">
        <v>2015</v>
      </c>
      <c r="AA1433" t="s">
        <v>2029</v>
      </c>
      <c r="AB1433" t="s">
        <v>14056</v>
      </c>
      <c r="AD1433" t="s">
        <v>16489</v>
      </c>
      <c r="AE1433">
        <v>2</v>
      </c>
      <c r="AF1433" t="s">
        <v>2903</v>
      </c>
      <c r="AH1433">
        <v>10</v>
      </c>
      <c r="AI1433">
        <v>2</v>
      </c>
      <c r="AJ1433">
        <v>0</v>
      </c>
      <c r="AK1433">
        <v>56.77</v>
      </c>
      <c r="AN1433" t="s">
        <v>2927</v>
      </c>
      <c r="AO1433">
        <v>9600</v>
      </c>
      <c r="AU1433">
        <v>0.5</v>
      </c>
      <c r="AV1433" t="s">
        <v>1999</v>
      </c>
      <c r="AW1433" t="s">
        <v>95</v>
      </c>
      <c r="AX1433" t="s">
        <v>18685</v>
      </c>
    </row>
    <row r="1434" spans="1:50">
      <c r="A1434" s="1" t="s">
        <v>61</v>
      </c>
      <c r="B1434" t="s">
        <v>163</v>
      </c>
      <c r="C1434" t="s">
        <v>4644</v>
      </c>
      <c r="D1434" t="s">
        <v>364</v>
      </c>
      <c r="F1434" t="s">
        <v>7416</v>
      </c>
      <c r="G1434" t="s">
        <v>8554</v>
      </c>
      <c r="H1434" t="s">
        <v>9387</v>
      </c>
      <c r="I1434" t="s">
        <v>1570</v>
      </c>
      <c r="J1434" t="s">
        <v>1644</v>
      </c>
      <c r="K1434">
        <v>11226</v>
      </c>
      <c r="L1434" t="s">
        <v>1670</v>
      </c>
      <c r="M1434" t="s">
        <v>1672</v>
      </c>
      <c r="N1434" t="s">
        <v>11999</v>
      </c>
      <c r="O1434" t="s">
        <v>1939</v>
      </c>
      <c r="P1434" t="s">
        <v>1960</v>
      </c>
      <c r="R1434" t="s">
        <v>50</v>
      </c>
      <c r="S1434" t="s">
        <v>1670</v>
      </c>
      <c r="U1434" t="s">
        <v>1972</v>
      </c>
      <c r="V1434" t="s">
        <v>1984</v>
      </c>
      <c r="W1434" t="s">
        <v>364</v>
      </c>
      <c r="X1434">
        <v>1038.57</v>
      </c>
      <c r="Y1434" t="s">
        <v>2009</v>
      </c>
      <c r="Z1434" t="s">
        <v>2016</v>
      </c>
      <c r="AB1434" t="s">
        <v>14057</v>
      </c>
      <c r="AD1434" t="s">
        <v>16490</v>
      </c>
      <c r="AE1434">
        <v>36</v>
      </c>
      <c r="AF1434" t="s">
        <v>2902</v>
      </c>
      <c r="AH1434" t="s">
        <v>13051</v>
      </c>
      <c r="AI1434">
        <v>2</v>
      </c>
      <c r="AJ1434">
        <v>0</v>
      </c>
      <c r="AK1434">
        <v>56.77</v>
      </c>
      <c r="AN1434" t="s">
        <v>2928</v>
      </c>
      <c r="AO1434">
        <v>9600</v>
      </c>
      <c r="AU1434">
        <v>0.2</v>
      </c>
      <c r="AV1434" t="s">
        <v>364</v>
      </c>
      <c r="AW1434" t="s">
        <v>69</v>
      </c>
    </row>
    <row r="1435" spans="1:50">
      <c r="A1435" s="1" t="s">
        <v>103</v>
      </c>
      <c r="B1435" t="s">
        <v>164</v>
      </c>
      <c r="C1435" t="s">
        <v>4645</v>
      </c>
      <c r="D1435" t="s">
        <v>257</v>
      </c>
      <c r="E1435" t="s">
        <v>306</v>
      </c>
      <c r="F1435" t="s">
        <v>7068</v>
      </c>
      <c r="G1435" t="s">
        <v>8555</v>
      </c>
      <c r="H1435" t="s">
        <v>10015</v>
      </c>
      <c r="I1435" t="s">
        <v>11222</v>
      </c>
      <c r="J1435" t="s">
        <v>1644</v>
      </c>
      <c r="K1435">
        <v>11208</v>
      </c>
      <c r="L1435" t="s">
        <v>1670</v>
      </c>
      <c r="M1435" t="s">
        <v>1670</v>
      </c>
      <c r="N1435" t="s">
        <v>12236</v>
      </c>
      <c r="O1435" t="s">
        <v>1940</v>
      </c>
      <c r="P1435" t="s">
        <v>1958</v>
      </c>
      <c r="Q1435" t="s">
        <v>1965</v>
      </c>
      <c r="R1435" t="s">
        <v>50</v>
      </c>
      <c r="U1435" t="s">
        <v>1972</v>
      </c>
      <c r="W1435" t="s">
        <v>257</v>
      </c>
      <c r="X1435">
        <v>750</v>
      </c>
      <c r="Y1435" t="s">
        <v>2009</v>
      </c>
      <c r="Z1435" t="s">
        <v>2014</v>
      </c>
      <c r="AA1435" t="s">
        <v>2029</v>
      </c>
      <c r="AB1435" t="s">
        <v>14058</v>
      </c>
      <c r="AD1435" t="s">
        <v>16491</v>
      </c>
      <c r="AE1435">
        <v>2</v>
      </c>
      <c r="AG1435" t="s">
        <v>2915</v>
      </c>
      <c r="AH1435">
        <v>11</v>
      </c>
      <c r="AI1435">
        <v>2</v>
      </c>
      <c r="AJ1435">
        <v>0</v>
      </c>
      <c r="AK1435">
        <v>56.87</v>
      </c>
      <c r="AN1435" t="s">
        <v>2926</v>
      </c>
      <c r="AO1435">
        <v>9360</v>
      </c>
      <c r="AU1435">
        <v>2.5</v>
      </c>
      <c r="AV1435" t="s">
        <v>277</v>
      </c>
      <c r="AW1435" t="s">
        <v>3074</v>
      </c>
    </row>
    <row r="1436" spans="1:50">
      <c r="A1436" s="1" t="s">
        <v>108</v>
      </c>
      <c r="B1436" t="s">
        <v>163</v>
      </c>
      <c r="C1436" t="s">
        <v>4646</v>
      </c>
      <c r="D1436" t="s">
        <v>166</v>
      </c>
      <c r="F1436" t="s">
        <v>7301</v>
      </c>
      <c r="G1436" t="s">
        <v>8556</v>
      </c>
      <c r="H1436" t="s">
        <v>10016</v>
      </c>
      <c r="I1436" t="s">
        <v>11147</v>
      </c>
      <c r="J1436" t="s">
        <v>11752</v>
      </c>
      <c r="K1436">
        <v>11426</v>
      </c>
      <c r="L1436" t="s">
        <v>1670</v>
      </c>
      <c r="M1436" t="s">
        <v>1670</v>
      </c>
      <c r="N1436" t="s">
        <v>12237</v>
      </c>
      <c r="O1436" t="s">
        <v>1940</v>
      </c>
      <c r="P1436" t="s">
        <v>1960</v>
      </c>
      <c r="R1436" t="s">
        <v>50</v>
      </c>
      <c r="S1436" t="s">
        <v>1671</v>
      </c>
      <c r="U1436" t="s">
        <v>1972</v>
      </c>
      <c r="V1436" t="s">
        <v>1984</v>
      </c>
      <c r="W1436" t="s">
        <v>166</v>
      </c>
      <c r="X1436">
        <v>850</v>
      </c>
      <c r="Y1436" t="s">
        <v>2007</v>
      </c>
      <c r="Z1436" t="s">
        <v>2014</v>
      </c>
      <c r="AB1436" t="s">
        <v>14059</v>
      </c>
      <c r="AC1436" t="s">
        <v>15164</v>
      </c>
      <c r="AD1436" t="s">
        <v>16492</v>
      </c>
      <c r="AE1436">
        <v>3</v>
      </c>
      <c r="AF1436" t="s">
        <v>2903</v>
      </c>
      <c r="AG1436" t="s">
        <v>1754</v>
      </c>
      <c r="AH1436">
        <v>8</v>
      </c>
      <c r="AI1436">
        <v>1</v>
      </c>
      <c r="AJ1436">
        <v>0</v>
      </c>
      <c r="AK1436">
        <v>57.53</v>
      </c>
      <c r="AN1436" t="s">
        <v>2926</v>
      </c>
      <c r="AO1436">
        <v>6984</v>
      </c>
      <c r="AQ1436" t="s">
        <v>2976</v>
      </c>
      <c r="AR1436" t="s">
        <v>2982</v>
      </c>
      <c r="AS1436" t="s">
        <v>2992</v>
      </c>
      <c r="AT1436" t="s">
        <v>18548</v>
      </c>
      <c r="AU1436">
        <v>1.2</v>
      </c>
      <c r="AV1436" t="s">
        <v>344</v>
      </c>
      <c r="AW1436" t="s">
        <v>3044</v>
      </c>
    </row>
    <row r="1437" spans="1:50">
      <c r="A1437" s="1" t="s">
        <v>53</v>
      </c>
      <c r="B1437" t="s">
        <v>164</v>
      </c>
      <c r="C1437" t="s">
        <v>4647</v>
      </c>
      <c r="D1437" t="s">
        <v>339</v>
      </c>
      <c r="E1437" t="s">
        <v>191</v>
      </c>
      <c r="F1437" t="s">
        <v>7417</v>
      </c>
      <c r="G1437" t="s">
        <v>8557</v>
      </c>
      <c r="H1437" t="s">
        <v>10017</v>
      </c>
      <c r="I1437" t="s">
        <v>11147</v>
      </c>
      <c r="J1437" t="s">
        <v>1647</v>
      </c>
      <c r="K1437">
        <v>11435</v>
      </c>
      <c r="L1437" t="s">
        <v>1670</v>
      </c>
      <c r="M1437" t="s">
        <v>1670</v>
      </c>
      <c r="N1437" t="s">
        <v>12238</v>
      </c>
      <c r="O1437" t="s">
        <v>1936</v>
      </c>
      <c r="P1437" t="s">
        <v>1962</v>
      </c>
      <c r="Q1437" t="s">
        <v>1968</v>
      </c>
      <c r="R1437" t="s">
        <v>50</v>
      </c>
      <c r="S1437" t="s">
        <v>1671</v>
      </c>
      <c r="U1437" t="s">
        <v>1972</v>
      </c>
      <c r="V1437" t="s">
        <v>1984</v>
      </c>
      <c r="W1437" t="s">
        <v>339</v>
      </c>
      <c r="X1437">
        <v>600</v>
      </c>
      <c r="Y1437" t="s">
        <v>2007</v>
      </c>
      <c r="Z1437" t="s">
        <v>2014</v>
      </c>
      <c r="AA1437" t="s">
        <v>2034</v>
      </c>
      <c r="AB1437" t="s">
        <v>14060</v>
      </c>
      <c r="AC1437" t="s">
        <v>15077</v>
      </c>
      <c r="AD1437" t="s">
        <v>16493</v>
      </c>
      <c r="AE1437">
        <v>3</v>
      </c>
      <c r="AF1437" t="s">
        <v>2903</v>
      </c>
      <c r="AG1437" t="s">
        <v>1754</v>
      </c>
      <c r="AH1437">
        <v>11</v>
      </c>
      <c r="AI1437">
        <v>1</v>
      </c>
      <c r="AJ1437">
        <v>0</v>
      </c>
      <c r="AK1437">
        <v>57.65</v>
      </c>
      <c r="AN1437" t="s">
        <v>2926</v>
      </c>
      <c r="AO1437">
        <v>7200</v>
      </c>
      <c r="AR1437" t="s">
        <v>2017</v>
      </c>
      <c r="AS1437" t="s">
        <v>2993</v>
      </c>
      <c r="AT1437" t="s">
        <v>3027</v>
      </c>
      <c r="AU1437">
        <v>3.35</v>
      </c>
      <c r="AV1437" t="s">
        <v>186</v>
      </c>
      <c r="AW1437" t="s">
        <v>3044</v>
      </c>
      <c r="AX1437" t="s">
        <v>18685</v>
      </c>
    </row>
    <row r="1438" spans="1:50">
      <c r="A1438" s="1" t="s">
        <v>152</v>
      </c>
      <c r="B1438" t="s">
        <v>163</v>
      </c>
      <c r="C1438" t="s">
        <v>4648</v>
      </c>
      <c r="D1438" t="s">
        <v>177</v>
      </c>
      <c r="F1438" t="s">
        <v>7418</v>
      </c>
      <c r="G1438" t="s">
        <v>8558</v>
      </c>
      <c r="H1438" t="s">
        <v>10018</v>
      </c>
      <c r="J1438" t="s">
        <v>1644</v>
      </c>
      <c r="K1438">
        <v>11209</v>
      </c>
      <c r="L1438" t="s">
        <v>1670</v>
      </c>
      <c r="M1438" t="s">
        <v>1670</v>
      </c>
      <c r="O1438" t="s">
        <v>1675</v>
      </c>
      <c r="P1438" t="s">
        <v>1963</v>
      </c>
      <c r="R1438" t="s">
        <v>50</v>
      </c>
      <c r="S1438" t="s">
        <v>1671</v>
      </c>
      <c r="U1438" t="s">
        <v>1972</v>
      </c>
      <c r="W1438" t="s">
        <v>177</v>
      </c>
      <c r="X1438" t="s">
        <v>13051</v>
      </c>
      <c r="Y1438" t="s">
        <v>2008</v>
      </c>
      <c r="Z1438" t="s">
        <v>2016</v>
      </c>
      <c r="AB1438" t="s">
        <v>14061</v>
      </c>
      <c r="AE1438" t="s">
        <v>13051</v>
      </c>
      <c r="AF1438" t="s">
        <v>2904</v>
      </c>
      <c r="AG1438" t="s">
        <v>1754</v>
      </c>
      <c r="AH1438" t="s">
        <v>13051</v>
      </c>
      <c r="AI1438">
        <v>1</v>
      </c>
      <c r="AJ1438">
        <v>0</v>
      </c>
      <c r="AK1438">
        <v>57.65</v>
      </c>
      <c r="AN1438" t="s">
        <v>18038</v>
      </c>
      <c r="AO1438">
        <v>7200</v>
      </c>
      <c r="AU1438">
        <v>0.7</v>
      </c>
      <c r="AV1438" t="s">
        <v>239</v>
      </c>
      <c r="AW1438" t="s">
        <v>3048</v>
      </c>
      <c r="AX1438" t="s">
        <v>18685</v>
      </c>
    </row>
    <row r="1439" spans="1:50">
      <c r="A1439" s="1" t="s">
        <v>129</v>
      </c>
      <c r="B1439" t="s">
        <v>163</v>
      </c>
      <c r="C1439" t="s">
        <v>4649</v>
      </c>
      <c r="D1439" t="s">
        <v>326</v>
      </c>
      <c r="F1439" t="s">
        <v>7419</v>
      </c>
      <c r="G1439" t="s">
        <v>8559</v>
      </c>
      <c r="H1439" t="s">
        <v>1248</v>
      </c>
      <c r="I1439" t="s">
        <v>1522</v>
      </c>
      <c r="J1439" t="s">
        <v>1644</v>
      </c>
      <c r="K1439">
        <v>11213</v>
      </c>
      <c r="L1439" t="s">
        <v>1670</v>
      </c>
      <c r="M1439" t="s">
        <v>1670</v>
      </c>
      <c r="O1439" t="s">
        <v>1946</v>
      </c>
      <c r="P1439" t="s">
        <v>1964</v>
      </c>
      <c r="R1439" t="s">
        <v>50</v>
      </c>
      <c r="S1439" t="s">
        <v>1670</v>
      </c>
      <c r="U1439" t="s">
        <v>1978</v>
      </c>
      <c r="W1439" t="s">
        <v>326</v>
      </c>
      <c r="X1439">
        <v>1229.5</v>
      </c>
      <c r="Y1439" t="s">
        <v>2009</v>
      </c>
      <c r="Z1439" t="s">
        <v>2027</v>
      </c>
      <c r="AB1439" t="s">
        <v>14062</v>
      </c>
      <c r="AD1439" t="s">
        <v>16494</v>
      </c>
      <c r="AE1439">
        <v>19</v>
      </c>
      <c r="AF1439" t="s">
        <v>2902</v>
      </c>
      <c r="AG1439" t="s">
        <v>2915</v>
      </c>
      <c r="AH1439">
        <v>25</v>
      </c>
      <c r="AI1439">
        <v>1</v>
      </c>
      <c r="AJ1439">
        <v>0</v>
      </c>
      <c r="AK1439">
        <v>57.65</v>
      </c>
      <c r="AN1439" t="s">
        <v>2926</v>
      </c>
      <c r="AO1439">
        <v>7200</v>
      </c>
      <c r="AU1439" t="s">
        <v>13051</v>
      </c>
      <c r="AW1439" t="s">
        <v>3059</v>
      </c>
    </row>
    <row r="1440" spans="1:50">
      <c r="A1440" s="1" t="s">
        <v>125</v>
      </c>
      <c r="B1440" t="s">
        <v>163</v>
      </c>
      <c r="C1440" t="s">
        <v>4650</v>
      </c>
      <c r="D1440" t="s">
        <v>319</v>
      </c>
      <c r="F1440" t="s">
        <v>7420</v>
      </c>
      <c r="G1440" t="s">
        <v>8560</v>
      </c>
      <c r="H1440" t="s">
        <v>1117</v>
      </c>
      <c r="I1440" t="s">
        <v>1590</v>
      </c>
      <c r="J1440" t="s">
        <v>1644</v>
      </c>
      <c r="K1440">
        <v>11221</v>
      </c>
      <c r="L1440" t="s">
        <v>1670</v>
      </c>
      <c r="M1440" t="s">
        <v>1670</v>
      </c>
      <c r="N1440" t="s">
        <v>12239</v>
      </c>
      <c r="O1440" t="s">
        <v>1940</v>
      </c>
      <c r="P1440" t="s">
        <v>1960</v>
      </c>
      <c r="R1440" t="s">
        <v>50</v>
      </c>
      <c r="U1440" t="s">
        <v>1972</v>
      </c>
      <c r="W1440" t="s">
        <v>394</v>
      </c>
      <c r="X1440" t="s">
        <v>13051</v>
      </c>
      <c r="Y1440" t="s">
        <v>2009</v>
      </c>
      <c r="Z1440" t="s">
        <v>2020</v>
      </c>
      <c r="AB1440" t="s">
        <v>13735</v>
      </c>
      <c r="AE1440">
        <v>7</v>
      </c>
      <c r="AF1440" t="s">
        <v>2902</v>
      </c>
      <c r="AH1440" t="s">
        <v>13051</v>
      </c>
      <c r="AI1440">
        <v>1</v>
      </c>
      <c r="AJ1440">
        <v>0</v>
      </c>
      <c r="AK1440">
        <v>57.66</v>
      </c>
      <c r="AN1440" t="s">
        <v>2926</v>
      </c>
      <c r="AO1440">
        <v>6999.96</v>
      </c>
      <c r="AQ1440" t="s">
        <v>2976</v>
      </c>
      <c r="AR1440" t="s">
        <v>2982</v>
      </c>
      <c r="AS1440" t="s">
        <v>2992</v>
      </c>
      <c r="AT1440" t="s">
        <v>18549</v>
      </c>
      <c r="AU1440">
        <v>2</v>
      </c>
      <c r="AV1440" t="s">
        <v>214</v>
      </c>
      <c r="AW1440" t="s">
        <v>158</v>
      </c>
    </row>
    <row r="1441" spans="1:50">
      <c r="A1441" s="1" t="s">
        <v>136</v>
      </c>
      <c r="B1441" t="s">
        <v>163</v>
      </c>
      <c r="C1441" t="s">
        <v>4651</v>
      </c>
      <c r="D1441" t="s">
        <v>311</v>
      </c>
      <c r="F1441" t="s">
        <v>7420</v>
      </c>
      <c r="G1441" t="s">
        <v>8560</v>
      </c>
      <c r="H1441" t="s">
        <v>1117</v>
      </c>
      <c r="I1441" t="s">
        <v>1590</v>
      </c>
      <c r="J1441" t="s">
        <v>1644</v>
      </c>
      <c r="K1441">
        <v>11221</v>
      </c>
      <c r="L1441" t="s">
        <v>1670</v>
      </c>
      <c r="M1441" t="s">
        <v>1670</v>
      </c>
      <c r="N1441" t="s">
        <v>12240</v>
      </c>
      <c r="O1441" t="s">
        <v>1939</v>
      </c>
      <c r="P1441" t="s">
        <v>1960</v>
      </c>
      <c r="R1441" t="s">
        <v>50</v>
      </c>
      <c r="U1441" t="s">
        <v>1972</v>
      </c>
      <c r="W1441" t="s">
        <v>311</v>
      </c>
      <c r="X1441">
        <v>640</v>
      </c>
      <c r="Y1441" t="s">
        <v>2009</v>
      </c>
      <c r="AB1441" t="s">
        <v>13735</v>
      </c>
      <c r="AE1441">
        <v>7</v>
      </c>
      <c r="AG1441" t="s">
        <v>1754</v>
      </c>
      <c r="AH1441">
        <v>18</v>
      </c>
      <c r="AI1441">
        <v>1</v>
      </c>
      <c r="AJ1441">
        <v>0</v>
      </c>
      <c r="AK1441">
        <v>57.66</v>
      </c>
      <c r="AN1441" t="s">
        <v>2926</v>
      </c>
      <c r="AO1441">
        <v>7000</v>
      </c>
      <c r="AU1441">
        <v>12.95</v>
      </c>
      <c r="AV1441" t="s">
        <v>202</v>
      </c>
      <c r="AW1441" t="s">
        <v>3063</v>
      </c>
    </row>
    <row r="1442" spans="1:50">
      <c r="A1442" s="1" t="s">
        <v>79</v>
      </c>
      <c r="B1442" t="s">
        <v>164</v>
      </c>
      <c r="C1442" t="s">
        <v>4652</v>
      </c>
      <c r="D1442" t="s">
        <v>395</v>
      </c>
      <c r="E1442" t="s">
        <v>219</v>
      </c>
      <c r="F1442" t="s">
        <v>460</v>
      </c>
      <c r="G1442" t="s">
        <v>8388</v>
      </c>
      <c r="H1442" t="s">
        <v>10019</v>
      </c>
      <c r="I1442" t="s">
        <v>1562</v>
      </c>
      <c r="J1442" t="s">
        <v>1644</v>
      </c>
      <c r="K1442">
        <v>11207</v>
      </c>
      <c r="L1442" t="s">
        <v>1670</v>
      </c>
      <c r="M1442" t="s">
        <v>1670</v>
      </c>
      <c r="N1442" t="s">
        <v>1675</v>
      </c>
      <c r="O1442" t="s">
        <v>1937</v>
      </c>
      <c r="P1442" t="s">
        <v>1962</v>
      </c>
      <c r="Q1442" t="s">
        <v>1968</v>
      </c>
      <c r="R1442" t="s">
        <v>50</v>
      </c>
      <c r="S1442" t="s">
        <v>1671</v>
      </c>
      <c r="U1442" t="s">
        <v>1972</v>
      </c>
      <c r="V1442" t="s">
        <v>1984</v>
      </c>
      <c r="W1442" t="s">
        <v>347</v>
      </c>
      <c r="X1442">
        <v>1211</v>
      </c>
      <c r="Y1442" t="s">
        <v>2009</v>
      </c>
      <c r="AA1442" t="s">
        <v>2029</v>
      </c>
      <c r="AB1442" t="s">
        <v>14063</v>
      </c>
      <c r="AC1442" t="s">
        <v>15155</v>
      </c>
      <c r="AD1442" t="s">
        <v>16495</v>
      </c>
      <c r="AE1442" t="s">
        <v>13051</v>
      </c>
      <c r="AG1442" t="s">
        <v>2921</v>
      </c>
      <c r="AH1442">
        <v>11</v>
      </c>
      <c r="AI1442">
        <v>2</v>
      </c>
      <c r="AJ1442">
        <v>0</v>
      </c>
      <c r="AK1442">
        <v>57.67</v>
      </c>
      <c r="AN1442" t="s">
        <v>2926</v>
      </c>
      <c r="AO1442">
        <v>9492</v>
      </c>
      <c r="AU1442">
        <v>32.15</v>
      </c>
      <c r="AV1442" t="s">
        <v>269</v>
      </c>
      <c r="AW1442" t="s">
        <v>3060</v>
      </c>
    </row>
    <row r="1443" spans="1:50">
      <c r="A1443" s="1" t="s">
        <v>61</v>
      </c>
      <c r="B1443" t="s">
        <v>163</v>
      </c>
      <c r="C1443" t="s">
        <v>4653</v>
      </c>
      <c r="D1443" t="s">
        <v>317</v>
      </c>
      <c r="F1443" t="s">
        <v>423</v>
      </c>
      <c r="G1443" t="s">
        <v>8561</v>
      </c>
      <c r="H1443" t="s">
        <v>10020</v>
      </c>
      <c r="I1443">
        <v>10</v>
      </c>
      <c r="J1443" t="s">
        <v>1644</v>
      </c>
      <c r="K1443">
        <v>11225</v>
      </c>
      <c r="L1443" t="s">
        <v>1670</v>
      </c>
      <c r="M1443" t="s">
        <v>1670</v>
      </c>
      <c r="P1443" t="s">
        <v>1959</v>
      </c>
      <c r="R1443" t="s">
        <v>50</v>
      </c>
      <c r="S1443" t="s">
        <v>1671</v>
      </c>
      <c r="U1443" t="s">
        <v>1972</v>
      </c>
      <c r="W1443" t="s">
        <v>406</v>
      </c>
      <c r="X1443" t="s">
        <v>13051</v>
      </c>
      <c r="Y1443" t="s">
        <v>2009</v>
      </c>
      <c r="AB1443" t="s">
        <v>14064</v>
      </c>
      <c r="AE1443" t="s">
        <v>13051</v>
      </c>
      <c r="AH1443" t="s">
        <v>13051</v>
      </c>
      <c r="AI1443">
        <v>2</v>
      </c>
      <c r="AJ1443">
        <v>0</v>
      </c>
      <c r="AK1443">
        <v>57.69</v>
      </c>
      <c r="AN1443" t="s">
        <v>2927</v>
      </c>
      <c r="AO1443">
        <v>9756</v>
      </c>
      <c r="AU1443">
        <v>1.1</v>
      </c>
      <c r="AV1443" t="s">
        <v>255</v>
      </c>
      <c r="AW1443" t="s">
        <v>158</v>
      </c>
    </row>
    <row r="1444" spans="1:50">
      <c r="A1444" s="1" t="s">
        <v>61</v>
      </c>
      <c r="B1444" t="s">
        <v>163</v>
      </c>
      <c r="C1444" t="s">
        <v>4654</v>
      </c>
      <c r="D1444" t="s">
        <v>236</v>
      </c>
      <c r="F1444" t="s">
        <v>423</v>
      </c>
      <c r="G1444" t="s">
        <v>8561</v>
      </c>
      <c r="H1444" t="s">
        <v>10020</v>
      </c>
      <c r="I1444">
        <v>10</v>
      </c>
      <c r="J1444" t="s">
        <v>1644</v>
      </c>
      <c r="K1444">
        <v>11225</v>
      </c>
      <c r="L1444" t="s">
        <v>1670</v>
      </c>
      <c r="M1444" t="s">
        <v>1670</v>
      </c>
      <c r="N1444" t="s">
        <v>12241</v>
      </c>
      <c r="O1444" t="s">
        <v>1939</v>
      </c>
      <c r="P1444" t="s">
        <v>1960</v>
      </c>
      <c r="R1444" t="s">
        <v>50</v>
      </c>
      <c r="S1444" t="s">
        <v>1671</v>
      </c>
      <c r="U1444" t="s">
        <v>1972</v>
      </c>
      <c r="V1444" t="s">
        <v>1984</v>
      </c>
      <c r="W1444" t="s">
        <v>302</v>
      </c>
      <c r="X1444">
        <v>1519.6</v>
      </c>
      <c r="Y1444" t="s">
        <v>2009</v>
      </c>
      <c r="AB1444" t="s">
        <v>14064</v>
      </c>
      <c r="AE1444">
        <v>12</v>
      </c>
      <c r="AF1444" t="s">
        <v>2902</v>
      </c>
      <c r="AG1444" t="s">
        <v>2915</v>
      </c>
      <c r="AH1444">
        <v>17</v>
      </c>
      <c r="AI1444">
        <v>2</v>
      </c>
      <c r="AJ1444">
        <v>0</v>
      </c>
      <c r="AK1444">
        <v>57.69</v>
      </c>
      <c r="AN1444" t="s">
        <v>2927</v>
      </c>
      <c r="AO1444">
        <v>9756</v>
      </c>
      <c r="AU1444">
        <v>45.3</v>
      </c>
      <c r="AV1444" t="s">
        <v>405</v>
      </c>
      <c r="AW1444" t="s">
        <v>158</v>
      </c>
    </row>
    <row r="1445" spans="1:50">
      <c r="A1445" s="1" t="s">
        <v>126</v>
      </c>
      <c r="B1445" t="s">
        <v>163</v>
      </c>
      <c r="C1445" t="s">
        <v>4655</v>
      </c>
      <c r="D1445" t="s">
        <v>194</v>
      </c>
      <c r="F1445" t="s">
        <v>746</v>
      </c>
      <c r="G1445" t="s">
        <v>8562</v>
      </c>
      <c r="H1445" t="s">
        <v>9627</v>
      </c>
      <c r="I1445" t="s">
        <v>11094</v>
      </c>
      <c r="J1445" t="s">
        <v>1641</v>
      </c>
      <c r="K1445">
        <v>10451</v>
      </c>
      <c r="L1445" t="s">
        <v>1670</v>
      </c>
      <c r="M1445" t="s">
        <v>1670</v>
      </c>
      <c r="N1445" t="s">
        <v>11981</v>
      </c>
      <c r="O1445" t="s">
        <v>1939</v>
      </c>
      <c r="P1445" t="s">
        <v>1960</v>
      </c>
      <c r="R1445" t="s">
        <v>50</v>
      </c>
      <c r="S1445" t="s">
        <v>1670</v>
      </c>
      <c r="U1445" t="s">
        <v>1972</v>
      </c>
      <c r="W1445" t="s">
        <v>359</v>
      </c>
      <c r="X1445">
        <v>1205</v>
      </c>
      <c r="Y1445" t="s">
        <v>2006</v>
      </c>
      <c r="Z1445" t="s">
        <v>2015</v>
      </c>
      <c r="AB1445" t="s">
        <v>14065</v>
      </c>
      <c r="AD1445" t="s">
        <v>16496</v>
      </c>
      <c r="AE1445">
        <v>100</v>
      </c>
      <c r="AF1445" t="s">
        <v>2902</v>
      </c>
      <c r="AG1445" t="s">
        <v>2915</v>
      </c>
      <c r="AH1445">
        <v>46</v>
      </c>
      <c r="AI1445">
        <v>2</v>
      </c>
      <c r="AJ1445">
        <v>0</v>
      </c>
      <c r="AK1445">
        <v>57.81</v>
      </c>
      <c r="AN1445" t="s">
        <v>2927</v>
      </c>
      <c r="AO1445">
        <v>9516</v>
      </c>
      <c r="AU1445" t="s">
        <v>13051</v>
      </c>
      <c r="AW1445" t="s">
        <v>3047</v>
      </c>
    </row>
    <row r="1446" spans="1:50">
      <c r="A1446" s="1" t="s">
        <v>73</v>
      </c>
      <c r="B1446" t="s">
        <v>163</v>
      </c>
      <c r="C1446" t="s">
        <v>4656</v>
      </c>
      <c r="D1446" t="s">
        <v>322</v>
      </c>
      <c r="F1446" t="s">
        <v>427</v>
      </c>
      <c r="G1446" t="s">
        <v>840</v>
      </c>
      <c r="H1446" t="s">
        <v>10021</v>
      </c>
      <c r="I1446" t="s">
        <v>11168</v>
      </c>
      <c r="J1446" t="s">
        <v>11739</v>
      </c>
      <c r="K1446">
        <v>11372</v>
      </c>
      <c r="L1446" t="s">
        <v>1670</v>
      </c>
      <c r="M1446" t="s">
        <v>1670</v>
      </c>
      <c r="N1446" t="s">
        <v>12242</v>
      </c>
      <c r="O1446" t="s">
        <v>1936</v>
      </c>
      <c r="P1446" t="s">
        <v>1960</v>
      </c>
      <c r="R1446" t="s">
        <v>50</v>
      </c>
      <c r="S1446" t="s">
        <v>1671</v>
      </c>
      <c r="U1446" t="s">
        <v>1972</v>
      </c>
      <c r="W1446" t="s">
        <v>322</v>
      </c>
      <c r="X1446">
        <v>1010.12</v>
      </c>
      <c r="Y1446" t="s">
        <v>2007</v>
      </c>
      <c r="Z1446" t="s">
        <v>2014</v>
      </c>
      <c r="AB1446" t="s">
        <v>14066</v>
      </c>
      <c r="AD1446" t="s">
        <v>16497</v>
      </c>
      <c r="AE1446" t="s">
        <v>13051</v>
      </c>
      <c r="AF1446" t="s">
        <v>2904</v>
      </c>
      <c r="AG1446" t="s">
        <v>1754</v>
      </c>
      <c r="AH1446">
        <v>25</v>
      </c>
      <c r="AI1446">
        <v>3</v>
      </c>
      <c r="AJ1446">
        <v>0</v>
      </c>
      <c r="AK1446">
        <v>57.83</v>
      </c>
      <c r="AN1446" t="s">
        <v>2927</v>
      </c>
      <c r="AO1446">
        <v>12336</v>
      </c>
      <c r="AU1446">
        <v>7.55</v>
      </c>
      <c r="AV1446" t="s">
        <v>289</v>
      </c>
      <c r="AW1446" t="s">
        <v>3044</v>
      </c>
      <c r="AX1446" t="s">
        <v>18685</v>
      </c>
    </row>
    <row r="1447" spans="1:50">
      <c r="A1447" s="1" t="s">
        <v>130</v>
      </c>
      <c r="B1447" t="s">
        <v>164</v>
      </c>
      <c r="C1447" t="s">
        <v>4657</v>
      </c>
      <c r="D1447" t="s">
        <v>313</v>
      </c>
      <c r="E1447" t="s">
        <v>240</v>
      </c>
      <c r="F1447" t="s">
        <v>588</v>
      </c>
      <c r="G1447" t="s">
        <v>888</v>
      </c>
      <c r="H1447" t="s">
        <v>9783</v>
      </c>
      <c r="I1447">
        <v>1</v>
      </c>
      <c r="J1447" t="s">
        <v>1644</v>
      </c>
      <c r="K1447">
        <v>11208</v>
      </c>
      <c r="L1447" t="s">
        <v>1670</v>
      </c>
      <c r="M1447" t="s">
        <v>1670</v>
      </c>
      <c r="N1447" t="s">
        <v>1754</v>
      </c>
      <c r="O1447" t="s">
        <v>1937</v>
      </c>
      <c r="P1447" t="s">
        <v>1962</v>
      </c>
      <c r="Q1447" t="s">
        <v>1968</v>
      </c>
      <c r="R1447" t="s">
        <v>50</v>
      </c>
      <c r="S1447" t="s">
        <v>1670</v>
      </c>
      <c r="U1447" t="s">
        <v>1972</v>
      </c>
      <c r="V1447" t="s">
        <v>1984</v>
      </c>
      <c r="W1447" t="s">
        <v>231</v>
      </c>
      <c r="X1447">
        <v>450</v>
      </c>
      <c r="Y1447" t="s">
        <v>2009</v>
      </c>
      <c r="AA1447" t="s">
        <v>2030</v>
      </c>
      <c r="AB1447" t="s">
        <v>14067</v>
      </c>
      <c r="AE1447">
        <v>7</v>
      </c>
      <c r="AF1447" t="s">
        <v>2903</v>
      </c>
      <c r="AG1447" t="s">
        <v>1754</v>
      </c>
      <c r="AH1447">
        <v>5</v>
      </c>
      <c r="AI1447">
        <v>2</v>
      </c>
      <c r="AJ1447">
        <v>0</v>
      </c>
      <c r="AK1447">
        <v>58.19</v>
      </c>
      <c r="AN1447" t="s">
        <v>2927</v>
      </c>
      <c r="AO1447">
        <v>9840</v>
      </c>
      <c r="AU1447">
        <v>0.1</v>
      </c>
      <c r="AV1447" t="s">
        <v>208</v>
      </c>
      <c r="AW1447" t="s">
        <v>3059</v>
      </c>
    </row>
    <row r="1448" spans="1:50">
      <c r="A1448" s="1" t="s">
        <v>130</v>
      </c>
      <c r="B1448" t="s">
        <v>164</v>
      </c>
      <c r="C1448" t="s">
        <v>4658</v>
      </c>
      <c r="D1448" t="s">
        <v>190</v>
      </c>
      <c r="E1448" t="s">
        <v>240</v>
      </c>
      <c r="F1448" t="s">
        <v>588</v>
      </c>
      <c r="G1448" t="s">
        <v>888</v>
      </c>
      <c r="H1448" t="s">
        <v>9783</v>
      </c>
      <c r="I1448">
        <v>1</v>
      </c>
      <c r="J1448" t="s">
        <v>1644</v>
      </c>
      <c r="K1448">
        <v>11208</v>
      </c>
      <c r="L1448" t="s">
        <v>1670</v>
      </c>
      <c r="M1448" t="s">
        <v>1670</v>
      </c>
      <c r="N1448" t="s">
        <v>12082</v>
      </c>
      <c r="O1448" t="s">
        <v>1939</v>
      </c>
      <c r="P1448" t="s">
        <v>1960</v>
      </c>
      <c r="Q1448" t="s">
        <v>1969</v>
      </c>
      <c r="R1448" t="s">
        <v>50</v>
      </c>
      <c r="S1448" t="s">
        <v>1670</v>
      </c>
      <c r="U1448" t="s">
        <v>1972</v>
      </c>
      <c r="V1448" t="s">
        <v>1984</v>
      </c>
      <c r="W1448" t="s">
        <v>1992</v>
      </c>
      <c r="X1448">
        <v>450</v>
      </c>
      <c r="Y1448" t="s">
        <v>2009</v>
      </c>
      <c r="AA1448" t="s">
        <v>2029</v>
      </c>
      <c r="AB1448" t="s">
        <v>14067</v>
      </c>
      <c r="AE1448">
        <v>7</v>
      </c>
      <c r="AF1448" t="s">
        <v>2904</v>
      </c>
      <c r="AG1448" t="s">
        <v>1754</v>
      </c>
      <c r="AH1448">
        <v>5</v>
      </c>
      <c r="AI1448">
        <v>2</v>
      </c>
      <c r="AJ1448">
        <v>0</v>
      </c>
      <c r="AK1448">
        <v>58.19</v>
      </c>
      <c r="AN1448" t="s">
        <v>2927</v>
      </c>
      <c r="AO1448">
        <v>9840</v>
      </c>
      <c r="AP1448" t="s">
        <v>18280</v>
      </c>
      <c r="AR1448" t="s">
        <v>18461</v>
      </c>
      <c r="AU1448">
        <v>0.1</v>
      </c>
      <c r="AV1448" t="s">
        <v>240</v>
      </c>
      <c r="AW1448" t="s">
        <v>3060</v>
      </c>
    </row>
    <row r="1449" spans="1:50">
      <c r="A1449" s="1" t="s">
        <v>109</v>
      </c>
      <c r="B1449" t="s">
        <v>164</v>
      </c>
      <c r="C1449" t="s">
        <v>4659</v>
      </c>
      <c r="D1449" t="s">
        <v>317</v>
      </c>
      <c r="E1449" t="s">
        <v>325</v>
      </c>
      <c r="F1449" t="s">
        <v>7421</v>
      </c>
      <c r="G1449" t="s">
        <v>8563</v>
      </c>
      <c r="H1449" t="s">
        <v>10022</v>
      </c>
      <c r="I1449" t="s">
        <v>10964</v>
      </c>
      <c r="J1449" t="s">
        <v>1646</v>
      </c>
      <c r="K1449">
        <v>10306</v>
      </c>
      <c r="L1449" t="s">
        <v>1670</v>
      </c>
      <c r="M1449" t="s">
        <v>1672</v>
      </c>
      <c r="N1449" t="s">
        <v>12243</v>
      </c>
      <c r="O1449" t="s">
        <v>1940</v>
      </c>
      <c r="P1449" t="s">
        <v>1960</v>
      </c>
      <c r="Q1449" t="s">
        <v>1969</v>
      </c>
      <c r="R1449" t="s">
        <v>50</v>
      </c>
      <c r="S1449" t="s">
        <v>1671</v>
      </c>
      <c r="U1449" t="s">
        <v>1972</v>
      </c>
      <c r="V1449" t="s">
        <v>1984</v>
      </c>
      <c r="W1449" t="s">
        <v>317</v>
      </c>
      <c r="X1449">
        <v>1200</v>
      </c>
      <c r="Y1449" t="s">
        <v>2010</v>
      </c>
      <c r="AA1449" t="s">
        <v>2033</v>
      </c>
      <c r="AB1449" t="s">
        <v>14068</v>
      </c>
      <c r="AD1449" t="s">
        <v>16498</v>
      </c>
      <c r="AE1449">
        <v>2</v>
      </c>
      <c r="AF1449" t="s">
        <v>2903</v>
      </c>
      <c r="AG1449" t="s">
        <v>1754</v>
      </c>
      <c r="AH1449">
        <v>9</v>
      </c>
      <c r="AI1449">
        <v>2</v>
      </c>
      <c r="AJ1449">
        <v>0</v>
      </c>
      <c r="AK1449">
        <v>58.19</v>
      </c>
      <c r="AN1449" t="s">
        <v>2926</v>
      </c>
      <c r="AO1449">
        <v>9840</v>
      </c>
      <c r="AQ1449" t="s">
        <v>2979</v>
      </c>
      <c r="AS1449" t="s">
        <v>2993</v>
      </c>
      <c r="AT1449" t="s">
        <v>18517</v>
      </c>
      <c r="AU1449">
        <v>11.2</v>
      </c>
      <c r="AV1449" t="s">
        <v>392</v>
      </c>
      <c r="AW1449" t="s">
        <v>3072</v>
      </c>
      <c r="AX1449" t="s">
        <v>18685</v>
      </c>
    </row>
    <row r="1450" spans="1:50">
      <c r="A1450" s="1" t="s">
        <v>123</v>
      </c>
      <c r="B1450" t="s">
        <v>163</v>
      </c>
      <c r="C1450" t="s">
        <v>4660</v>
      </c>
      <c r="D1450" t="s">
        <v>383</v>
      </c>
      <c r="F1450" t="s">
        <v>7221</v>
      </c>
      <c r="G1450" t="s">
        <v>487</v>
      </c>
      <c r="H1450" t="s">
        <v>10023</v>
      </c>
      <c r="I1450" t="s">
        <v>1484</v>
      </c>
      <c r="J1450" t="s">
        <v>1641</v>
      </c>
      <c r="K1450">
        <v>10453</v>
      </c>
      <c r="L1450" t="s">
        <v>1670</v>
      </c>
      <c r="M1450" t="s">
        <v>1670</v>
      </c>
      <c r="N1450" t="s">
        <v>12244</v>
      </c>
      <c r="O1450" t="s">
        <v>1936</v>
      </c>
      <c r="P1450" t="s">
        <v>1958</v>
      </c>
      <c r="R1450" t="s">
        <v>50</v>
      </c>
      <c r="U1450" t="s">
        <v>1972</v>
      </c>
      <c r="V1450" t="s">
        <v>1983</v>
      </c>
      <c r="W1450" t="s">
        <v>373</v>
      </c>
      <c r="X1450">
        <v>833.1</v>
      </c>
      <c r="Y1450" t="s">
        <v>2006</v>
      </c>
      <c r="Z1450" t="s">
        <v>2020</v>
      </c>
      <c r="AB1450" t="s">
        <v>14069</v>
      </c>
      <c r="AD1450" t="s">
        <v>16499</v>
      </c>
      <c r="AE1450">
        <v>30</v>
      </c>
      <c r="AF1450" t="s">
        <v>2908</v>
      </c>
      <c r="AG1450" t="s">
        <v>2919</v>
      </c>
      <c r="AH1450">
        <v>7</v>
      </c>
      <c r="AI1450">
        <v>2</v>
      </c>
      <c r="AJ1450">
        <v>0</v>
      </c>
      <c r="AK1450">
        <v>58.32</v>
      </c>
      <c r="AN1450" t="s">
        <v>2926</v>
      </c>
      <c r="AO1450">
        <v>9600</v>
      </c>
      <c r="AP1450" t="s">
        <v>2972</v>
      </c>
      <c r="AU1450">
        <v>1.6</v>
      </c>
      <c r="AV1450" t="s">
        <v>217</v>
      </c>
      <c r="AW1450" t="s">
        <v>3058</v>
      </c>
    </row>
    <row r="1451" spans="1:50">
      <c r="A1451" s="1" t="s">
        <v>59</v>
      </c>
      <c r="B1451" t="s">
        <v>163</v>
      </c>
      <c r="C1451" t="s">
        <v>4661</v>
      </c>
      <c r="D1451" t="s">
        <v>241</v>
      </c>
      <c r="F1451" t="s">
        <v>420</v>
      </c>
      <c r="G1451" t="s">
        <v>8564</v>
      </c>
      <c r="H1451" t="s">
        <v>10024</v>
      </c>
      <c r="I1451" t="s">
        <v>1539</v>
      </c>
      <c r="J1451" t="s">
        <v>1641</v>
      </c>
      <c r="K1451">
        <v>10459</v>
      </c>
      <c r="L1451" t="s">
        <v>1670</v>
      </c>
      <c r="M1451" t="s">
        <v>1670</v>
      </c>
      <c r="N1451" t="s">
        <v>12245</v>
      </c>
      <c r="O1451" t="s">
        <v>1940</v>
      </c>
      <c r="P1451" t="s">
        <v>1960</v>
      </c>
      <c r="R1451" t="s">
        <v>50</v>
      </c>
      <c r="S1451" t="s">
        <v>1671</v>
      </c>
      <c r="U1451" t="s">
        <v>1972</v>
      </c>
      <c r="V1451" t="s">
        <v>1984</v>
      </c>
      <c r="W1451" t="s">
        <v>215</v>
      </c>
      <c r="X1451">
        <v>1451</v>
      </c>
      <c r="Y1451" t="s">
        <v>2006</v>
      </c>
      <c r="Z1451" t="s">
        <v>2023</v>
      </c>
      <c r="AB1451" t="s">
        <v>14070</v>
      </c>
      <c r="AC1451" t="s">
        <v>15165</v>
      </c>
      <c r="AD1451" t="s">
        <v>16500</v>
      </c>
      <c r="AE1451">
        <v>39</v>
      </c>
      <c r="AF1451" t="s">
        <v>2907</v>
      </c>
      <c r="AG1451" t="s">
        <v>2922</v>
      </c>
      <c r="AH1451">
        <v>14</v>
      </c>
      <c r="AI1451">
        <v>2</v>
      </c>
      <c r="AJ1451">
        <v>0</v>
      </c>
      <c r="AK1451">
        <v>58.32</v>
      </c>
      <c r="AN1451" t="s">
        <v>2927</v>
      </c>
      <c r="AO1451">
        <v>9600</v>
      </c>
      <c r="AU1451">
        <v>35.4</v>
      </c>
      <c r="AV1451" t="s">
        <v>307</v>
      </c>
      <c r="AW1451" t="s">
        <v>3047</v>
      </c>
    </row>
    <row r="1452" spans="1:50">
      <c r="A1452" s="1" t="s">
        <v>91</v>
      </c>
      <c r="B1452" t="s">
        <v>163</v>
      </c>
      <c r="C1452" t="s">
        <v>4662</v>
      </c>
      <c r="D1452" t="s">
        <v>367</v>
      </c>
      <c r="F1452" t="s">
        <v>7422</v>
      </c>
      <c r="G1452" t="s">
        <v>8565</v>
      </c>
      <c r="H1452" t="s">
        <v>1318</v>
      </c>
      <c r="I1452" t="s">
        <v>1520</v>
      </c>
      <c r="J1452" t="s">
        <v>1643</v>
      </c>
      <c r="K1452">
        <v>10032</v>
      </c>
      <c r="L1452" t="s">
        <v>1670</v>
      </c>
      <c r="M1452" t="s">
        <v>1670</v>
      </c>
      <c r="P1452" t="s">
        <v>1960</v>
      </c>
      <c r="R1452" t="s">
        <v>50</v>
      </c>
      <c r="S1452" t="s">
        <v>1670</v>
      </c>
      <c r="U1452" t="s">
        <v>1972</v>
      </c>
      <c r="W1452" t="s">
        <v>367</v>
      </c>
      <c r="X1452">
        <v>982.2</v>
      </c>
      <c r="Y1452" t="s">
        <v>2008</v>
      </c>
      <c r="Z1452" t="s">
        <v>2013</v>
      </c>
      <c r="AB1452" t="s">
        <v>14071</v>
      </c>
      <c r="AD1452" t="s">
        <v>16501</v>
      </c>
      <c r="AE1452">
        <v>42</v>
      </c>
      <c r="AF1452" t="s">
        <v>2902</v>
      </c>
      <c r="AG1452" t="s">
        <v>2915</v>
      </c>
      <c r="AH1452">
        <v>37</v>
      </c>
      <c r="AI1452">
        <v>2</v>
      </c>
      <c r="AJ1452">
        <v>0</v>
      </c>
      <c r="AK1452">
        <v>58.32</v>
      </c>
      <c r="AN1452" t="s">
        <v>2927</v>
      </c>
      <c r="AO1452">
        <v>9600</v>
      </c>
      <c r="AU1452" t="s">
        <v>13051</v>
      </c>
      <c r="AW1452" t="s">
        <v>3042</v>
      </c>
    </row>
    <row r="1453" spans="1:50">
      <c r="A1453" s="1" t="s">
        <v>123</v>
      </c>
      <c r="B1453" t="s">
        <v>163</v>
      </c>
      <c r="C1453" t="s">
        <v>4663</v>
      </c>
      <c r="D1453" t="s">
        <v>266</v>
      </c>
      <c r="F1453" t="s">
        <v>427</v>
      </c>
      <c r="G1453" t="s">
        <v>855</v>
      </c>
      <c r="H1453" t="s">
        <v>10025</v>
      </c>
      <c r="I1453" t="s">
        <v>1482</v>
      </c>
      <c r="J1453" t="s">
        <v>1641</v>
      </c>
      <c r="K1453">
        <v>10460</v>
      </c>
      <c r="L1453" t="s">
        <v>1670</v>
      </c>
      <c r="M1453" t="s">
        <v>1672</v>
      </c>
      <c r="N1453" t="s">
        <v>12246</v>
      </c>
      <c r="O1453" t="s">
        <v>1936</v>
      </c>
      <c r="P1453" t="s">
        <v>1958</v>
      </c>
      <c r="R1453" t="s">
        <v>50</v>
      </c>
      <c r="U1453" t="s">
        <v>1972</v>
      </c>
      <c r="W1453" t="s">
        <v>1991</v>
      </c>
      <c r="X1453">
        <v>970</v>
      </c>
      <c r="Y1453" t="s">
        <v>2006</v>
      </c>
      <c r="Z1453" t="s">
        <v>2013</v>
      </c>
      <c r="AB1453" t="s">
        <v>14072</v>
      </c>
      <c r="AC1453">
        <v>6532660</v>
      </c>
      <c r="AD1453" t="s">
        <v>16502</v>
      </c>
      <c r="AE1453">
        <v>85</v>
      </c>
      <c r="AF1453" t="s">
        <v>2910</v>
      </c>
      <c r="AG1453" t="s">
        <v>1754</v>
      </c>
      <c r="AH1453">
        <v>21</v>
      </c>
      <c r="AI1453">
        <v>2</v>
      </c>
      <c r="AJ1453">
        <v>0</v>
      </c>
      <c r="AK1453">
        <v>58.77</v>
      </c>
      <c r="AN1453" t="s">
        <v>2926</v>
      </c>
      <c r="AO1453">
        <v>9938.4</v>
      </c>
      <c r="AU1453">
        <v>1</v>
      </c>
      <c r="AV1453" t="s">
        <v>266</v>
      </c>
      <c r="AW1453" t="s">
        <v>3078</v>
      </c>
      <c r="AX1453" t="s">
        <v>18685</v>
      </c>
    </row>
    <row r="1454" spans="1:50">
      <c r="A1454" s="1" t="s">
        <v>61</v>
      </c>
      <c r="B1454" t="s">
        <v>163</v>
      </c>
      <c r="C1454" t="s">
        <v>4664</v>
      </c>
      <c r="D1454" t="s">
        <v>379</v>
      </c>
      <c r="F1454" t="s">
        <v>7423</v>
      </c>
      <c r="G1454" t="s">
        <v>888</v>
      </c>
      <c r="H1454" t="s">
        <v>10026</v>
      </c>
      <c r="I1454" t="s">
        <v>11223</v>
      </c>
      <c r="J1454" t="s">
        <v>1644</v>
      </c>
      <c r="K1454">
        <v>11220</v>
      </c>
      <c r="L1454" t="s">
        <v>1670</v>
      </c>
      <c r="M1454" t="s">
        <v>1672</v>
      </c>
      <c r="P1454" t="s">
        <v>1960</v>
      </c>
      <c r="R1454" t="s">
        <v>50</v>
      </c>
      <c r="S1454" t="s">
        <v>1671</v>
      </c>
      <c r="U1454" t="s">
        <v>1972</v>
      </c>
      <c r="W1454" t="s">
        <v>379</v>
      </c>
      <c r="X1454" t="s">
        <v>13051</v>
      </c>
      <c r="Y1454" t="s">
        <v>2009</v>
      </c>
      <c r="Z1454" t="s">
        <v>2015</v>
      </c>
      <c r="AB1454" t="s">
        <v>14073</v>
      </c>
      <c r="AE1454">
        <v>8</v>
      </c>
      <c r="AF1454" t="s">
        <v>2909</v>
      </c>
      <c r="AG1454" t="s">
        <v>2915</v>
      </c>
      <c r="AH1454">
        <v>10</v>
      </c>
      <c r="AI1454">
        <v>3</v>
      </c>
      <c r="AJ1454">
        <v>0</v>
      </c>
      <c r="AK1454">
        <v>59.24</v>
      </c>
      <c r="AN1454" t="s">
        <v>2927</v>
      </c>
      <c r="AO1454">
        <v>12636</v>
      </c>
      <c r="AQ1454" t="s">
        <v>2976</v>
      </c>
      <c r="AR1454" t="s">
        <v>2988</v>
      </c>
      <c r="AS1454" t="s">
        <v>2992</v>
      </c>
      <c r="AT1454" t="s">
        <v>3008</v>
      </c>
      <c r="AU1454">
        <v>8.800000000000001</v>
      </c>
      <c r="AV1454" t="s">
        <v>397</v>
      </c>
      <c r="AW1454" t="s">
        <v>69</v>
      </c>
      <c r="AX1454" t="s">
        <v>18685</v>
      </c>
    </row>
    <row r="1455" spans="1:50">
      <c r="A1455" s="1" t="s">
        <v>148</v>
      </c>
      <c r="B1455" t="s">
        <v>164</v>
      </c>
      <c r="C1455" t="s">
        <v>4665</v>
      </c>
      <c r="D1455" t="s">
        <v>359</v>
      </c>
      <c r="E1455" t="s">
        <v>398</v>
      </c>
      <c r="F1455" t="s">
        <v>7424</v>
      </c>
      <c r="G1455" t="s">
        <v>8250</v>
      </c>
      <c r="H1455" t="s">
        <v>10027</v>
      </c>
      <c r="I1455" t="s">
        <v>11224</v>
      </c>
      <c r="J1455" t="s">
        <v>1644</v>
      </c>
      <c r="K1455">
        <v>11233</v>
      </c>
      <c r="L1455" t="s">
        <v>1670</v>
      </c>
      <c r="M1455" t="s">
        <v>1670</v>
      </c>
      <c r="N1455" t="s">
        <v>12247</v>
      </c>
      <c r="O1455" t="s">
        <v>1940</v>
      </c>
      <c r="P1455" t="s">
        <v>1962</v>
      </c>
      <c r="Q1455" t="s">
        <v>1968</v>
      </c>
      <c r="R1455" t="s">
        <v>50</v>
      </c>
      <c r="S1455" t="s">
        <v>1671</v>
      </c>
      <c r="U1455" t="s">
        <v>1972</v>
      </c>
      <c r="W1455" t="s">
        <v>237</v>
      </c>
      <c r="X1455">
        <v>1860</v>
      </c>
      <c r="Y1455" t="s">
        <v>2009</v>
      </c>
      <c r="AA1455" t="s">
        <v>2029</v>
      </c>
      <c r="AB1455" t="s">
        <v>14074</v>
      </c>
      <c r="AD1455" t="s">
        <v>16503</v>
      </c>
      <c r="AE1455">
        <v>2</v>
      </c>
      <c r="AG1455" t="s">
        <v>1754</v>
      </c>
      <c r="AH1455">
        <v>2</v>
      </c>
      <c r="AI1455">
        <v>1</v>
      </c>
      <c r="AJ1455">
        <v>0</v>
      </c>
      <c r="AK1455">
        <v>59.31</v>
      </c>
      <c r="AN1455" t="s">
        <v>2926</v>
      </c>
      <c r="AO1455">
        <v>7200</v>
      </c>
      <c r="AU1455">
        <v>0.9</v>
      </c>
      <c r="AV1455" t="s">
        <v>359</v>
      </c>
      <c r="AW1455" t="s">
        <v>18654</v>
      </c>
      <c r="AX1455" t="s">
        <v>18685</v>
      </c>
    </row>
    <row r="1456" spans="1:50">
      <c r="A1456" s="1" t="s">
        <v>132</v>
      </c>
      <c r="B1456" t="s">
        <v>164</v>
      </c>
      <c r="C1456" t="s">
        <v>4666</v>
      </c>
      <c r="D1456" t="s">
        <v>373</v>
      </c>
      <c r="E1456" t="s">
        <v>394</v>
      </c>
      <c r="F1456" t="s">
        <v>7419</v>
      </c>
      <c r="G1456" t="s">
        <v>8559</v>
      </c>
      <c r="H1456" t="s">
        <v>1248</v>
      </c>
      <c r="I1456" t="s">
        <v>1522</v>
      </c>
      <c r="J1456" t="s">
        <v>1644</v>
      </c>
      <c r="K1456">
        <v>11213</v>
      </c>
      <c r="L1456" t="s">
        <v>1670</v>
      </c>
      <c r="M1456" t="s">
        <v>1670</v>
      </c>
      <c r="N1456" t="s">
        <v>1675</v>
      </c>
      <c r="O1456" t="s">
        <v>1937</v>
      </c>
      <c r="P1456" t="s">
        <v>1962</v>
      </c>
      <c r="Q1456" t="s">
        <v>1968</v>
      </c>
      <c r="R1456" t="s">
        <v>50</v>
      </c>
      <c r="S1456" t="s">
        <v>1670</v>
      </c>
      <c r="U1456" t="s">
        <v>1972</v>
      </c>
      <c r="V1456" t="s">
        <v>1984</v>
      </c>
      <c r="W1456" t="s">
        <v>242</v>
      </c>
      <c r="X1456">
        <v>1229.5</v>
      </c>
      <c r="Y1456" t="s">
        <v>2009</v>
      </c>
      <c r="Z1456" t="s">
        <v>2027</v>
      </c>
      <c r="AA1456" t="s">
        <v>2031</v>
      </c>
      <c r="AB1456" t="s">
        <v>14062</v>
      </c>
      <c r="AC1456" t="s">
        <v>15155</v>
      </c>
      <c r="AD1456" t="s">
        <v>16494</v>
      </c>
      <c r="AE1456">
        <v>19</v>
      </c>
      <c r="AF1456" t="s">
        <v>2902</v>
      </c>
      <c r="AG1456" t="s">
        <v>2915</v>
      </c>
      <c r="AH1456">
        <v>25</v>
      </c>
      <c r="AI1456">
        <v>1</v>
      </c>
      <c r="AJ1456">
        <v>0</v>
      </c>
      <c r="AK1456">
        <v>59.31</v>
      </c>
      <c r="AN1456" t="s">
        <v>2926</v>
      </c>
      <c r="AO1456">
        <v>7200</v>
      </c>
      <c r="AU1456">
        <v>0.08</v>
      </c>
      <c r="AV1456" t="s">
        <v>332</v>
      </c>
      <c r="AW1456" t="s">
        <v>3060</v>
      </c>
    </row>
    <row r="1457" spans="1:50">
      <c r="A1457" s="1" t="s">
        <v>132</v>
      </c>
      <c r="B1457" t="s">
        <v>163</v>
      </c>
      <c r="C1457" t="s">
        <v>4667</v>
      </c>
      <c r="D1457" t="s">
        <v>176</v>
      </c>
      <c r="F1457" t="s">
        <v>7419</v>
      </c>
      <c r="G1457" t="s">
        <v>8559</v>
      </c>
      <c r="H1457" t="s">
        <v>1248</v>
      </c>
      <c r="I1457" t="s">
        <v>1522</v>
      </c>
      <c r="J1457" t="s">
        <v>1644</v>
      </c>
      <c r="K1457">
        <v>11213</v>
      </c>
      <c r="L1457" t="s">
        <v>1670</v>
      </c>
      <c r="M1457" t="s">
        <v>1670</v>
      </c>
      <c r="N1457" t="s">
        <v>1675</v>
      </c>
      <c r="O1457" t="s">
        <v>1938</v>
      </c>
      <c r="P1457" t="s">
        <v>1961</v>
      </c>
      <c r="R1457" t="s">
        <v>50</v>
      </c>
      <c r="S1457" t="s">
        <v>1670</v>
      </c>
      <c r="U1457" t="s">
        <v>1972</v>
      </c>
      <c r="V1457" t="s">
        <v>1984</v>
      </c>
      <c r="W1457" t="s">
        <v>242</v>
      </c>
      <c r="X1457">
        <v>1229.5</v>
      </c>
      <c r="Y1457" t="s">
        <v>2009</v>
      </c>
      <c r="Z1457" t="s">
        <v>2027</v>
      </c>
      <c r="AB1457" t="s">
        <v>14062</v>
      </c>
      <c r="AC1457" t="s">
        <v>1754</v>
      </c>
      <c r="AD1457" t="s">
        <v>16494</v>
      </c>
      <c r="AE1457">
        <v>19</v>
      </c>
      <c r="AF1457" t="s">
        <v>2902</v>
      </c>
      <c r="AG1457" t="s">
        <v>2915</v>
      </c>
      <c r="AH1457">
        <v>25</v>
      </c>
      <c r="AI1457">
        <v>1</v>
      </c>
      <c r="AJ1457">
        <v>0</v>
      </c>
      <c r="AK1457">
        <v>59.31</v>
      </c>
      <c r="AN1457" t="s">
        <v>2926</v>
      </c>
      <c r="AO1457">
        <v>7200</v>
      </c>
      <c r="AP1457" t="s">
        <v>18281</v>
      </c>
      <c r="AU1457" t="s">
        <v>13051</v>
      </c>
      <c r="AW1457" t="s">
        <v>3060</v>
      </c>
    </row>
    <row r="1458" spans="1:50">
      <c r="A1458" s="1" t="s">
        <v>153</v>
      </c>
      <c r="B1458" t="s">
        <v>164</v>
      </c>
      <c r="C1458" t="s">
        <v>4668</v>
      </c>
      <c r="D1458" t="s">
        <v>6177</v>
      </c>
      <c r="E1458" t="s">
        <v>364</v>
      </c>
      <c r="F1458" t="s">
        <v>7425</v>
      </c>
      <c r="G1458" t="s">
        <v>7214</v>
      </c>
      <c r="H1458" t="s">
        <v>10028</v>
      </c>
      <c r="I1458" t="s">
        <v>11050</v>
      </c>
      <c r="J1458" t="s">
        <v>1641</v>
      </c>
      <c r="K1458">
        <v>10453</v>
      </c>
      <c r="L1458" t="s">
        <v>1670</v>
      </c>
      <c r="M1458" t="s">
        <v>1670</v>
      </c>
      <c r="N1458" t="s">
        <v>12248</v>
      </c>
      <c r="O1458" t="s">
        <v>1940</v>
      </c>
      <c r="P1458" t="s">
        <v>1960</v>
      </c>
      <c r="Q1458" t="s">
        <v>1969</v>
      </c>
      <c r="R1458" t="s">
        <v>50</v>
      </c>
      <c r="S1458" t="s">
        <v>1671</v>
      </c>
      <c r="U1458" t="s">
        <v>1972</v>
      </c>
      <c r="V1458" t="s">
        <v>1984</v>
      </c>
      <c r="W1458" t="s">
        <v>216</v>
      </c>
      <c r="X1458">
        <v>1300</v>
      </c>
      <c r="Y1458" t="s">
        <v>2006</v>
      </c>
      <c r="Z1458" t="s">
        <v>2023</v>
      </c>
      <c r="AA1458" t="s">
        <v>2032</v>
      </c>
      <c r="AB1458" t="s">
        <v>14075</v>
      </c>
      <c r="AC1458" t="s">
        <v>15166</v>
      </c>
      <c r="AD1458" t="s">
        <v>16504</v>
      </c>
      <c r="AE1458">
        <v>103</v>
      </c>
      <c r="AF1458" t="s">
        <v>2902</v>
      </c>
      <c r="AG1458" t="s">
        <v>2915</v>
      </c>
      <c r="AH1458">
        <v>5</v>
      </c>
      <c r="AI1458">
        <v>1</v>
      </c>
      <c r="AJ1458">
        <v>0</v>
      </c>
      <c r="AK1458">
        <v>59.31</v>
      </c>
      <c r="AN1458" t="s">
        <v>2926</v>
      </c>
      <c r="AO1458">
        <v>7200</v>
      </c>
      <c r="AU1458">
        <v>57.6</v>
      </c>
      <c r="AV1458" t="s">
        <v>317</v>
      </c>
      <c r="AW1458" t="s">
        <v>3084</v>
      </c>
    </row>
    <row r="1459" spans="1:50">
      <c r="A1459" s="1" t="s">
        <v>132</v>
      </c>
      <c r="B1459" t="s">
        <v>163</v>
      </c>
      <c r="C1459" t="s">
        <v>4669</v>
      </c>
      <c r="D1459" t="s">
        <v>176</v>
      </c>
      <c r="F1459" t="s">
        <v>7419</v>
      </c>
      <c r="G1459" t="s">
        <v>8559</v>
      </c>
      <c r="H1459" t="s">
        <v>1248</v>
      </c>
      <c r="I1459" t="s">
        <v>1522</v>
      </c>
      <c r="J1459" t="s">
        <v>1644</v>
      </c>
      <c r="K1459">
        <v>11213</v>
      </c>
      <c r="L1459" t="s">
        <v>1670</v>
      </c>
      <c r="M1459" t="s">
        <v>1670</v>
      </c>
      <c r="O1459" t="s">
        <v>1939</v>
      </c>
      <c r="P1459" t="s">
        <v>1960</v>
      </c>
      <c r="R1459" t="s">
        <v>50</v>
      </c>
      <c r="S1459" t="s">
        <v>1670</v>
      </c>
      <c r="U1459" t="s">
        <v>1972</v>
      </c>
      <c r="V1459" t="s">
        <v>1984</v>
      </c>
      <c r="W1459" t="s">
        <v>394</v>
      </c>
      <c r="X1459">
        <v>1229.5</v>
      </c>
      <c r="Y1459" t="s">
        <v>2009</v>
      </c>
      <c r="Z1459" t="s">
        <v>2027</v>
      </c>
      <c r="AB1459" t="s">
        <v>14062</v>
      </c>
      <c r="AC1459" t="s">
        <v>15155</v>
      </c>
      <c r="AD1459" t="s">
        <v>16494</v>
      </c>
      <c r="AE1459">
        <v>19</v>
      </c>
      <c r="AF1459" t="s">
        <v>2902</v>
      </c>
      <c r="AG1459" t="s">
        <v>2915</v>
      </c>
      <c r="AH1459">
        <v>25</v>
      </c>
      <c r="AI1459">
        <v>1</v>
      </c>
      <c r="AJ1459">
        <v>0</v>
      </c>
      <c r="AK1459">
        <v>59.31</v>
      </c>
      <c r="AN1459" t="s">
        <v>2926</v>
      </c>
      <c r="AO1459">
        <v>7200</v>
      </c>
      <c r="AP1459" t="s">
        <v>18282</v>
      </c>
      <c r="AU1459" t="s">
        <v>13051</v>
      </c>
      <c r="AW1459" t="s">
        <v>3060</v>
      </c>
    </row>
    <row r="1460" spans="1:50">
      <c r="A1460" s="1" t="s">
        <v>119</v>
      </c>
      <c r="B1460" t="s">
        <v>163</v>
      </c>
      <c r="C1460" t="s">
        <v>4670</v>
      </c>
      <c r="D1460" t="s">
        <v>258</v>
      </c>
      <c r="F1460" t="s">
        <v>649</v>
      </c>
      <c r="G1460" t="s">
        <v>890</v>
      </c>
      <c r="H1460" t="s">
        <v>9558</v>
      </c>
      <c r="I1460" t="s">
        <v>1635</v>
      </c>
      <c r="J1460" t="s">
        <v>1644</v>
      </c>
      <c r="K1460">
        <v>11239</v>
      </c>
      <c r="L1460" t="s">
        <v>1670</v>
      </c>
      <c r="M1460" t="s">
        <v>1670</v>
      </c>
      <c r="N1460" t="s">
        <v>12249</v>
      </c>
      <c r="O1460" t="s">
        <v>1936</v>
      </c>
      <c r="P1460" t="s">
        <v>1960</v>
      </c>
      <c r="R1460" t="s">
        <v>50</v>
      </c>
      <c r="S1460" t="s">
        <v>1671</v>
      </c>
      <c r="U1460" t="s">
        <v>1972</v>
      </c>
      <c r="V1460" t="s">
        <v>1984</v>
      </c>
      <c r="W1460" t="s">
        <v>186</v>
      </c>
      <c r="X1460">
        <v>975</v>
      </c>
      <c r="Y1460" t="s">
        <v>2009</v>
      </c>
      <c r="AB1460" t="s">
        <v>14076</v>
      </c>
      <c r="AD1460" t="s">
        <v>16505</v>
      </c>
      <c r="AE1460">
        <v>60</v>
      </c>
      <c r="AF1460" t="s">
        <v>2909</v>
      </c>
      <c r="AH1460">
        <v>27</v>
      </c>
      <c r="AI1460">
        <v>2</v>
      </c>
      <c r="AJ1460">
        <v>0</v>
      </c>
      <c r="AK1460">
        <v>59.33</v>
      </c>
      <c r="AN1460" t="s">
        <v>2926</v>
      </c>
      <c r="AO1460">
        <v>10032</v>
      </c>
      <c r="AU1460">
        <v>9.6</v>
      </c>
      <c r="AV1460" t="s">
        <v>401</v>
      </c>
      <c r="AW1460" t="s">
        <v>119</v>
      </c>
      <c r="AX1460" t="s">
        <v>18685</v>
      </c>
    </row>
    <row r="1461" spans="1:50">
      <c r="A1461" s="1" t="s">
        <v>57</v>
      </c>
      <c r="B1461" t="s">
        <v>164</v>
      </c>
      <c r="C1461" t="s">
        <v>4671</v>
      </c>
      <c r="D1461" t="s">
        <v>367</v>
      </c>
      <c r="E1461" t="s">
        <v>320</v>
      </c>
      <c r="F1461" t="s">
        <v>6837</v>
      </c>
      <c r="G1461" t="s">
        <v>770</v>
      </c>
      <c r="H1461" t="s">
        <v>10029</v>
      </c>
      <c r="I1461" t="s">
        <v>11002</v>
      </c>
      <c r="J1461" t="s">
        <v>1641</v>
      </c>
      <c r="K1461">
        <v>10457</v>
      </c>
      <c r="L1461" t="s">
        <v>1670</v>
      </c>
      <c r="M1461" t="s">
        <v>1670</v>
      </c>
      <c r="O1461" t="s">
        <v>1936</v>
      </c>
      <c r="P1461" t="s">
        <v>1958</v>
      </c>
      <c r="Q1461" t="s">
        <v>1965</v>
      </c>
      <c r="R1461" t="s">
        <v>50</v>
      </c>
      <c r="S1461" t="s">
        <v>1671</v>
      </c>
      <c r="U1461" t="s">
        <v>1972</v>
      </c>
      <c r="W1461" t="s">
        <v>367</v>
      </c>
      <c r="X1461">
        <v>776</v>
      </c>
      <c r="Y1461" t="s">
        <v>2006</v>
      </c>
      <c r="AA1461" t="s">
        <v>2029</v>
      </c>
      <c r="AB1461" t="s">
        <v>14077</v>
      </c>
      <c r="AD1461" t="s">
        <v>16506</v>
      </c>
      <c r="AE1461" t="s">
        <v>13051</v>
      </c>
      <c r="AF1461" t="s">
        <v>18015</v>
      </c>
      <c r="AG1461" t="s">
        <v>1754</v>
      </c>
      <c r="AH1461">
        <v>15</v>
      </c>
      <c r="AI1461">
        <v>1</v>
      </c>
      <c r="AJ1461">
        <v>0</v>
      </c>
      <c r="AK1461">
        <v>59.41</v>
      </c>
      <c r="AN1461" t="s">
        <v>2926</v>
      </c>
      <c r="AO1461">
        <v>7212</v>
      </c>
      <c r="AP1461" t="s">
        <v>18283</v>
      </c>
      <c r="AU1461">
        <v>1.1</v>
      </c>
      <c r="AV1461" t="s">
        <v>353</v>
      </c>
      <c r="AW1461" t="s">
        <v>3071</v>
      </c>
    </row>
    <row r="1462" spans="1:50">
      <c r="A1462" s="1" t="s">
        <v>73</v>
      </c>
      <c r="B1462" t="s">
        <v>163</v>
      </c>
      <c r="C1462" t="s">
        <v>4672</v>
      </c>
      <c r="D1462" t="s">
        <v>183</v>
      </c>
      <c r="F1462" t="s">
        <v>7426</v>
      </c>
      <c r="G1462" t="s">
        <v>8079</v>
      </c>
      <c r="H1462" t="s">
        <v>1293</v>
      </c>
      <c r="I1462" t="s">
        <v>11173</v>
      </c>
      <c r="J1462" t="s">
        <v>1645</v>
      </c>
      <c r="K1462">
        <v>11691</v>
      </c>
      <c r="L1462" t="s">
        <v>1670</v>
      </c>
      <c r="M1462" t="s">
        <v>1670</v>
      </c>
      <c r="O1462" t="s">
        <v>1938</v>
      </c>
      <c r="P1462" t="s">
        <v>1962</v>
      </c>
      <c r="R1462" t="s">
        <v>50</v>
      </c>
      <c r="S1462" t="s">
        <v>1670</v>
      </c>
      <c r="U1462" t="s">
        <v>1972</v>
      </c>
      <c r="W1462" t="s">
        <v>183</v>
      </c>
      <c r="X1462">
        <v>340</v>
      </c>
      <c r="Y1462" t="s">
        <v>2007</v>
      </c>
      <c r="Z1462" t="s">
        <v>2014</v>
      </c>
      <c r="AB1462" t="s">
        <v>14078</v>
      </c>
      <c r="AD1462" t="s">
        <v>16507</v>
      </c>
      <c r="AE1462">
        <v>43</v>
      </c>
      <c r="AH1462">
        <v>43</v>
      </c>
      <c r="AI1462">
        <v>1</v>
      </c>
      <c r="AJ1462">
        <v>0</v>
      </c>
      <c r="AK1462">
        <v>59.57</v>
      </c>
      <c r="AN1462" t="s">
        <v>2926</v>
      </c>
      <c r="AO1462">
        <v>7440</v>
      </c>
      <c r="AU1462" t="s">
        <v>13051</v>
      </c>
      <c r="AW1462" t="s">
        <v>3073</v>
      </c>
    </row>
    <row r="1463" spans="1:50">
      <c r="A1463" s="1" t="s">
        <v>73</v>
      </c>
      <c r="B1463" t="s">
        <v>163</v>
      </c>
      <c r="C1463" t="s">
        <v>4673</v>
      </c>
      <c r="D1463" t="s">
        <v>183</v>
      </c>
      <c r="F1463" t="s">
        <v>7426</v>
      </c>
      <c r="G1463" t="s">
        <v>8079</v>
      </c>
      <c r="H1463" t="s">
        <v>1293</v>
      </c>
      <c r="I1463" t="s">
        <v>11173</v>
      </c>
      <c r="J1463" t="s">
        <v>1645</v>
      </c>
      <c r="K1463">
        <v>11691</v>
      </c>
      <c r="L1463" t="s">
        <v>1670</v>
      </c>
      <c r="M1463" t="s">
        <v>1670</v>
      </c>
      <c r="O1463" t="s">
        <v>1941</v>
      </c>
      <c r="P1463" t="s">
        <v>1962</v>
      </c>
      <c r="R1463" t="s">
        <v>50</v>
      </c>
      <c r="S1463" t="s">
        <v>1670</v>
      </c>
      <c r="U1463" t="s">
        <v>1972</v>
      </c>
      <c r="W1463" t="s">
        <v>183</v>
      </c>
      <c r="X1463">
        <v>340</v>
      </c>
      <c r="Y1463" t="s">
        <v>2007</v>
      </c>
      <c r="AB1463" t="s">
        <v>14078</v>
      </c>
      <c r="AD1463" t="s">
        <v>16507</v>
      </c>
      <c r="AE1463">
        <v>43</v>
      </c>
      <c r="AH1463">
        <v>43</v>
      </c>
      <c r="AI1463">
        <v>1</v>
      </c>
      <c r="AJ1463">
        <v>0</v>
      </c>
      <c r="AK1463">
        <v>59.57</v>
      </c>
      <c r="AN1463" t="s">
        <v>2926</v>
      </c>
      <c r="AO1463">
        <v>7440</v>
      </c>
      <c r="AU1463" t="s">
        <v>13051</v>
      </c>
      <c r="AW1463" t="s">
        <v>3073</v>
      </c>
    </row>
    <row r="1464" spans="1:50">
      <c r="A1464" s="1" t="s">
        <v>74</v>
      </c>
      <c r="B1464" t="s">
        <v>163</v>
      </c>
      <c r="C1464" t="s">
        <v>4674</v>
      </c>
      <c r="D1464" t="s">
        <v>230</v>
      </c>
      <c r="F1464" t="s">
        <v>7298</v>
      </c>
      <c r="G1464" t="s">
        <v>8566</v>
      </c>
      <c r="H1464" t="s">
        <v>1131</v>
      </c>
      <c r="I1464" t="s">
        <v>11225</v>
      </c>
      <c r="J1464" t="s">
        <v>1641</v>
      </c>
      <c r="K1464">
        <v>10460</v>
      </c>
      <c r="L1464" t="s">
        <v>1670</v>
      </c>
      <c r="M1464" t="s">
        <v>1672</v>
      </c>
      <c r="O1464" t="s">
        <v>1675</v>
      </c>
      <c r="P1464" t="s">
        <v>1959</v>
      </c>
      <c r="R1464" t="s">
        <v>50</v>
      </c>
      <c r="S1464" t="s">
        <v>1670</v>
      </c>
      <c r="U1464" t="s">
        <v>1972</v>
      </c>
      <c r="W1464" t="s">
        <v>1991</v>
      </c>
      <c r="X1464">
        <v>967</v>
      </c>
      <c r="Y1464" t="s">
        <v>2006</v>
      </c>
      <c r="Z1464" t="s">
        <v>2015</v>
      </c>
      <c r="AB1464" t="s">
        <v>14079</v>
      </c>
      <c r="AD1464" t="s">
        <v>16508</v>
      </c>
      <c r="AE1464">
        <v>169</v>
      </c>
      <c r="AF1464" t="s">
        <v>2904</v>
      </c>
      <c r="AG1464" t="s">
        <v>2915</v>
      </c>
      <c r="AH1464">
        <v>5</v>
      </c>
      <c r="AI1464">
        <v>1</v>
      </c>
      <c r="AJ1464">
        <v>0</v>
      </c>
      <c r="AK1464">
        <v>59.57</v>
      </c>
      <c r="AN1464" t="s">
        <v>2926</v>
      </c>
      <c r="AO1464">
        <v>7440</v>
      </c>
      <c r="AU1464" t="s">
        <v>13051</v>
      </c>
      <c r="AW1464" t="s">
        <v>3045</v>
      </c>
      <c r="AX1464" t="s">
        <v>18685</v>
      </c>
    </row>
    <row r="1465" spans="1:50">
      <c r="A1465" s="1" t="s">
        <v>73</v>
      </c>
      <c r="B1465" t="s">
        <v>163</v>
      </c>
      <c r="C1465" t="s">
        <v>4675</v>
      </c>
      <c r="D1465" t="s">
        <v>3039</v>
      </c>
      <c r="F1465" t="s">
        <v>7427</v>
      </c>
      <c r="G1465" t="s">
        <v>8567</v>
      </c>
      <c r="H1465" t="s">
        <v>10030</v>
      </c>
      <c r="J1465" t="s">
        <v>1661</v>
      </c>
      <c r="K1465">
        <v>11423</v>
      </c>
      <c r="L1465" t="s">
        <v>1670</v>
      </c>
      <c r="M1465" t="s">
        <v>1672</v>
      </c>
      <c r="N1465" t="s">
        <v>12250</v>
      </c>
      <c r="O1465" t="s">
        <v>1939</v>
      </c>
      <c r="P1465" t="s">
        <v>1962</v>
      </c>
      <c r="R1465" t="s">
        <v>50</v>
      </c>
      <c r="S1465" t="s">
        <v>1671</v>
      </c>
      <c r="U1465" t="s">
        <v>1972</v>
      </c>
      <c r="W1465" t="s">
        <v>3039</v>
      </c>
      <c r="X1465">
        <v>700</v>
      </c>
      <c r="Y1465" t="s">
        <v>2007</v>
      </c>
      <c r="Z1465" t="s">
        <v>2014</v>
      </c>
      <c r="AB1465" t="s">
        <v>14080</v>
      </c>
      <c r="AD1465" t="s">
        <v>16509</v>
      </c>
      <c r="AE1465" t="s">
        <v>13051</v>
      </c>
      <c r="AF1465" t="s">
        <v>2903</v>
      </c>
      <c r="AH1465">
        <v>53</v>
      </c>
      <c r="AI1465">
        <v>2</v>
      </c>
      <c r="AJ1465">
        <v>0</v>
      </c>
      <c r="AK1465">
        <v>59.61</v>
      </c>
      <c r="AN1465" t="s">
        <v>2926</v>
      </c>
      <c r="AO1465">
        <v>10080</v>
      </c>
      <c r="AU1465">
        <v>0.5</v>
      </c>
      <c r="AV1465" t="s">
        <v>3039</v>
      </c>
      <c r="AW1465" t="s">
        <v>73</v>
      </c>
    </row>
    <row r="1466" spans="1:50">
      <c r="A1466" s="1" t="s">
        <v>91</v>
      </c>
      <c r="B1466" t="s">
        <v>163</v>
      </c>
      <c r="C1466" t="s">
        <v>4676</v>
      </c>
      <c r="D1466" t="s">
        <v>367</v>
      </c>
      <c r="F1466" t="s">
        <v>1085</v>
      </c>
      <c r="G1466" t="s">
        <v>8568</v>
      </c>
      <c r="H1466" t="s">
        <v>1318</v>
      </c>
      <c r="I1466" t="s">
        <v>1562</v>
      </c>
      <c r="J1466" t="s">
        <v>1643</v>
      </c>
      <c r="K1466">
        <v>10032</v>
      </c>
      <c r="L1466" t="s">
        <v>1670</v>
      </c>
      <c r="M1466" t="s">
        <v>1670</v>
      </c>
      <c r="P1466" t="s">
        <v>1960</v>
      </c>
      <c r="R1466" t="s">
        <v>50</v>
      </c>
      <c r="S1466" t="s">
        <v>1670</v>
      </c>
      <c r="U1466" t="s">
        <v>1972</v>
      </c>
      <c r="W1466" t="s">
        <v>367</v>
      </c>
      <c r="X1466">
        <v>1299</v>
      </c>
      <c r="Y1466" t="s">
        <v>2008</v>
      </c>
      <c r="Z1466" t="s">
        <v>2013</v>
      </c>
      <c r="AB1466" t="s">
        <v>14081</v>
      </c>
      <c r="AE1466">
        <v>42</v>
      </c>
      <c r="AF1466" t="s">
        <v>2902</v>
      </c>
      <c r="AG1466" t="s">
        <v>2915</v>
      </c>
      <c r="AH1466" t="s">
        <v>13051</v>
      </c>
      <c r="AI1466">
        <v>4</v>
      </c>
      <c r="AJ1466">
        <v>0</v>
      </c>
      <c r="AK1466">
        <v>59.76</v>
      </c>
      <c r="AN1466" t="s">
        <v>2927</v>
      </c>
      <c r="AO1466">
        <v>15000</v>
      </c>
      <c r="AU1466" t="s">
        <v>13051</v>
      </c>
      <c r="AW1466" t="s">
        <v>3042</v>
      </c>
    </row>
    <row r="1467" spans="1:50">
      <c r="A1467" s="1" t="s">
        <v>130</v>
      </c>
      <c r="B1467" t="s">
        <v>164</v>
      </c>
      <c r="C1467" t="s">
        <v>4677</v>
      </c>
      <c r="D1467" t="s">
        <v>288</v>
      </c>
      <c r="E1467" t="s">
        <v>240</v>
      </c>
      <c r="F1467" t="s">
        <v>588</v>
      </c>
      <c r="G1467" t="s">
        <v>888</v>
      </c>
      <c r="H1467" t="s">
        <v>9783</v>
      </c>
      <c r="I1467">
        <v>1</v>
      </c>
      <c r="J1467" t="s">
        <v>1644</v>
      </c>
      <c r="K1467">
        <v>11208</v>
      </c>
      <c r="L1467" t="s">
        <v>1670</v>
      </c>
      <c r="M1467" t="s">
        <v>1670</v>
      </c>
      <c r="N1467" t="s">
        <v>12081</v>
      </c>
      <c r="O1467" t="s">
        <v>1940</v>
      </c>
      <c r="P1467" t="s">
        <v>1960</v>
      </c>
      <c r="Q1467" t="s">
        <v>1969</v>
      </c>
      <c r="R1467" t="s">
        <v>50</v>
      </c>
      <c r="S1467" t="s">
        <v>1670</v>
      </c>
      <c r="U1467" t="s">
        <v>1972</v>
      </c>
      <c r="V1467" t="s">
        <v>1984</v>
      </c>
      <c r="W1467" t="s">
        <v>284</v>
      </c>
      <c r="X1467">
        <v>450</v>
      </c>
      <c r="Y1467" t="s">
        <v>2009</v>
      </c>
      <c r="Z1467" t="s">
        <v>2016</v>
      </c>
      <c r="AA1467" t="s">
        <v>2029</v>
      </c>
      <c r="AB1467" t="s">
        <v>14067</v>
      </c>
      <c r="AC1467" t="s">
        <v>1754</v>
      </c>
      <c r="AE1467">
        <v>7</v>
      </c>
      <c r="AF1467" t="s">
        <v>2903</v>
      </c>
      <c r="AG1467" t="s">
        <v>1754</v>
      </c>
      <c r="AH1467">
        <v>5</v>
      </c>
      <c r="AI1467">
        <v>2</v>
      </c>
      <c r="AJ1467">
        <v>0</v>
      </c>
      <c r="AK1467">
        <v>59.78</v>
      </c>
      <c r="AN1467" t="s">
        <v>2927</v>
      </c>
      <c r="AO1467">
        <v>9840</v>
      </c>
      <c r="AP1467" t="s">
        <v>18284</v>
      </c>
      <c r="AQ1467" t="s">
        <v>2980</v>
      </c>
      <c r="AR1467" t="s">
        <v>18461</v>
      </c>
      <c r="AS1467" t="s">
        <v>2993</v>
      </c>
      <c r="AT1467" t="s">
        <v>18528</v>
      </c>
      <c r="AU1467">
        <v>0.1</v>
      </c>
      <c r="AV1467" t="s">
        <v>240</v>
      </c>
      <c r="AW1467" t="s">
        <v>3060</v>
      </c>
    </row>
    <row r="1468" spans="1:50">
      <c r="A1468" s="1" t="s">
        <v>90</v>
      </c>
      <c r="B1468" t="s">
        <v>163</v>
      </c>
      <c r="C1468" t="s">
        <v>4678</v>
      </c>
      <c r="D1468" t="s">
        <v>309</v>
      </c>
      <c r="F1468" t="s">
        <v>7392</v>
      </c>
      <c r="G1468" t="s">
        <v>7695</v>
      </c>
      <c r="H1468" t="s">
        <v>10031</v>
      </c>
      <c r="I1468" t="s">
        <v>1495</v>
      </c>
      <c r="J1468" t="s">
        <v>1646</v>
      </c>
      <c r="K1468">
        <v>10304</v>
      </c>
      <c r="L1468" t="s">
        <v>1670</v>
      </c>
      <c r="M1468" t="s">
        <v>1670</v>
      </c>
      <c r="N1468" t="s">
        <v>12251</v>
      </c>
      <c r="O1468" t="s">
        <v>1936</v>
      </c>
      <c r="P1468" t="s">
        <v>1960</v>
      </c>
      <c r="R1468" t="s">
        <v>50</v>
      </c>
      <c r="S1468" t="s">
        <v>1671</v>
      </c>
      <c r="U1468" t="s">
        <v>1972</v>
      </c>
      <c r="V1468" t="s">
        <v>1984</v>
      </c>
      <c r="W1468" t="s">
        <v>309</v>
      </c>
      <c r="X1468">
        <v>141</v>
      </c>
      <c r="Y1468" t="s">
        <v>2010</v>
      </c>
      <c r="Z1468" t="s">
        <v>2011</v>
      </c>
      <c r="AB1468" t="s">
        <v>14082</v>
      </c>
      <c r="AD1468" t="s">
        <v>16510</v>
      </c>
      <c r="AE1468">
        <v>132</v>
      </c>
      <c r="AF1468" t="s">
        <v>2909</v>
      </c>
      <c r="AG1468" t="s">
        <v>2915</v>
      </c>
      <c r="AH1468">
        <v>18</v>
      </c>
      <c r="AI1468">
        <v>2</v>
      </c>
      <c r="AJ1468">
        <v>0</v>
      </c>
      <c r="AK1468">
        <v>59.78</v>
      </c>
      <c r="AN1468" t="s">
        <v>2926</v>
      </c>
      <c r="AO1468">
        <v>9840</v>
      </c>
      <c r="AU1468">
        <v>23.2</v>
      </c>
      <c r="AV1468" t="s">
        <v>3034</v>
      </c>
      <c r="AW1468" t="s">
        <v>3056</v>
      </c>
    </row>
    <row r="1469" spans="1:50">
      <c r="A1469" s="1" t="s">
        <v>126</v>
      </c>
      <c r="B1469" t="s">
        <v>163</v>
      </c>
      <c r="C1469" t="s">
        <v>4679</v>
      </c>
      <c r="D1469" t="s">
        <v>175</v>
      </c>
      <c r="F1469" t="s">
        <v>7367</v>
      </c>
      <c r="G1469" t="s">
        <v>8569</v>
      </c>
      <c r="H1469" t="s">
        <v>9832</v>
      </c>
      <c r="I1469" t="s">
        <v>11226</v>
      </c>
      <c r="J1469" t="s">
        <v>1641</v>
      </c>
      <c r="K1469">
        <v>10453</v>
      </c>
      <c r="L1469" t="s">
        <v>1670</v>
      </c>
      <c r="M1469" t="s">
        <v>1670</v>
      </c>
      <c r="N1469" t="s">
        <v>12252</v>
      </c>
      <c r="O1469" t="s">
        <v>1936</v>
      </c>
      <c r="P1469" t="s">
        <v>1960</v>
      </c>
      <c r="R1469" t="s">
        <v>50</v>
      </c>
      <c r="S1469" t="s">
        <v>1671</v>
      </c>
      <c r="U1469" t="s">
        <v>1972</v>
      </c>
      <c r="W1469" t="s">
        <v>250</v>
      </c>
      <c r="X1469">
        <v>1562</v>
      </c>
      <c r="Y1469" t="s">
        <v>2006</v>
      </c>
      <c r="Z1469" t="s">
        <v>2014</v>
      </c>
      <c r="AB1469" t="s">
        <v>14083</v>
      </c>
      <c r="AD1469" t="s">
        <v>16511</v>
      </c>
      <c r="AE1469">
        <v>766</v>
      </c>
      <c r="AG1469" t="s">
        <v>2922</v>
      </c>
      <c r="AH1469">
        <v>3</v>
      </c>
      <c r="AI1469">
        <v>1</v>
      </c>
      <c r="AJ1469">
        <v>0</v>
      </c>
      <c r="AK1469">
        <v>59.96</v>
      </c>
      <c r="AN1469" t="s">
        <v>2926</v>
      </c>
      <c r="AO1469">
        <v>7279.44</v>
      </c>
      <c r="AU1469">
        <v>7.25</v>
      </c>
      <c r="AV1469" t="s">
        <v>329</v>
      </c>
      <c r="AW1469" t="s">
        <v>3047</v>
      </c>
    </row>
    <row r="1470" spans="1:50">
      <c r="A1470" s="1" t="s">
        <v>126</v>
      </c>
      <c r="B1470" t="s">
        <v>163</v>
      </c>
      <c r="C1470" t="s">
        <v>4680</v>
      </c>
      <c r="D1470" t="s">
        <v>245</v>
      </c>
      <c r="F1470" t="s">
        <v>7428</v>
      </c>
      <c r="G1470" t="s">
        <v>1048</v>
      </c>
      <c r="H1470" t="s">
        <v>9627</v>
      </c>
      <c r="I1470" t="s">
        <v>11227</v>
      </c>
      <c r="J1470" t="s">
        <v>1641</v>
      </c>
      <c r="K1470">
        <v>10451</v>
      </c>
      <c r="L1470" t="s">
        <v>1670</v>
      </c>
      <c r="M1470" t="s">
        <v>1670</v>
      </c>
      <c r="N1470" t="s">
        <v>11981</v>
      </c>
      <c r="O1470" t="s">
        <v>1939</v>
      </c>
      <c r="P1470" t="s">
        <v>1960</v>
      </c>
      <c r="R1470" t="s">
        <v>50</v>
      </c>
      <c r="S1470" t="s">
        <v>1670</v>
      </c>
      <c r="U1470" t="s">
        <v>1972</v>
      </c>
      <c r="W1470" t="s">
        <v>359</v>
      </c>
      <c r="X1470">
        <v>100</v>
      </c>
      <c r="Y1470" t="s">
        <v>2006</v>
      </c>
      <c r="Z1470" t="s">
        <v>2015</v>
      </c>
      <c r="AB1470" t="s">
        <v>14084</v>
      </c>
      <c r="AD1470" t="s">
        <v>16512</v>
      </c>
      <c r="AE1470">
        <v>100</v>
      </c>
      <c r="AF1470" t="s">
        <v>2902</v>
      </c>
      <c r="AG1470" t="s">
        <v>2915</v>
      </c>
      <c r="AH1470">
        <v>39</v>
      </c>
      <c r="AI1470">
        <v>1</v>
      </c>
      <c r="AJ1470">
        <v>0</v>
      </c>
      <c r="AK1470">
        <v>60.2</v>
      </c>
      <c r="AN1470" t="s">
        <v>2927</v>
      </c>
      <c r="AO1470">
        <v>7308</v>
      </c>
      <c r="AU1470" t="s">
        <v>13051</v>
      </c>
      <c r="AW1470" t="s">
        <v>3047</v>
      </c>
    </row>
    <row r="1471" spans="1:50">
      <c r="A1471" s="1" t="s">
        <v>154</v>
      </c>
      <c r="B1471" t="s">
        <v>163</v>
      </c>
      <c r="C1471" t="s">
        <v>4681</v>
      </c>
      <c r="D1471" t="s">
        <v>361</v>
      </c>
      <c r="F1471" t="s">
        <v>668</v>
      </c>
      <c r="G1471" t="s">
        <v>8570</v>
      </c>
      <c r="H1471" t="s">
        <v>10032</v>
      </c>
      <c r="I1471" t="s">
        <v>1606</v>
      </c>
      <c r="J1471" t="s">
        <v>1643</v>
      </c>
      <c r="K1471">
        <v>10036</v>
      </c>
      <c r="L1471" t="s">
        <v>1670</v>
      </c>
      <c r="M1471" t="s">
        <v>1672</v>
      </c>
      <c r="N1471" t="s">
        <v>12253</v>
      </c>
      <c r="O1471" t="s">
        <v>1940</v>
      </c>
      <c r="P1471" t="s">
        <v>1960</v>
      </c>
      <c r="R1471" t="s">
        <v>50</v>
      </c>
      <c r="S1471" t="s">
        <v>1671</v>
      </c>
      <c r="U1471" t="s">
        <v>1972</v>
      </c>
      <c r="W1471" t="s">
        <v>361</v>
      </c>
      <c r="X1471">
        <v>949.62</v>
      </c>
      <c r="Y1471" t="s">
        <v>2008</v>
      </c>
      <c r="Z1471" t="s">
        <v>2014</v>
      </c>
      <c r="AB1471" t="s">
        <v>14085</v>
      </c>
      <c r="AC1471" t="s">
        <v>15167</v>
      </c>
      <c r="AD1471" t="s">
        <v>16513</v>
      </c>
      <c r="AE1471" t="s">
        <v>13051</v>
      </c>
      <c r="AF1471" t="s">
        <v>2902</v>
      </c>
      <c r="AG1471" t="s">
        <v>2921</v>
      </c>
      <c r="AH1471">
        <v>2</v>
      </c>
      <c r="AI1471">
        <v>2</v>
      </c>
      <c r="AJ1471">
        <v>0</v>
      </c>
      <c r="AK1471">
        <v>60.25</v>
      </c>
      <c r="AN1471" t="s">
        <v>2926</v>
      </c>
      <c r="AO1471">
        <v>10188</v>
      </c>
      <c r="AU1471">
        <v>2</v>
      </c>
      <c r="AV1471" t="s">
        <v>289</v>
      </c>
      <c r="AW1471" t="s">
        <v>3061</v>
      </c>
      <c r="AX1471" t="s">
        <v>18686</v>
      </c>
    </row>
    <row r="1472" spans="1:50">
      <c r="A1472" s="1" t="s">
        <v>53</v>
      </c>
      <c r="B1472" t="s">
        <v>164</v>
      </c>
      <c r="C1472" t="s">
        <v>4682</v>
      </c>
      <c r="D1472" t="s">
        <v>360</v>
      </c>
      <c r="E1472" t="s">
        <v>209</v>
      </c>
      <c r="F1472" t="s">
        <v>7429</v>
      </c>
      <c r="G1472" t="s">
        <v>8571</v>
      </c>
      <c r="H1472" t="s">
        <v>10033</v>
      </c>
      <c r="I1472" t="s">
        <v>1550</v>
      </c>
      <c r="J1472" t="s">
        <v>1668</v>
      </c>
      <c r="K1472">
        <v>11355</v>
      </c>
      <c r="L1472" t="s">
        <v>1670</v>
      </c>
      <c r="M1472" t="s">
        <v>1670</v>
      </c>
      <c r="N1472" t="s">
        <v>1754</v>
      </c>
      <c r="O1472" t="s">
        <v>1675</v>
      </c>
      <c r="P1472" t="s">
        <v>1958</v>
      </c>
      <c r="Q1472" t="s">
        <v>1965</v>
      </c>
      <c r="R1472" t="s">
        <v>50</v>
      </c>
      <c r="S1472" t="s">
        <v>1671</v>
      </c>
      <c r="U1472" t="s">
        <v>1972</v>
      </c>
      <c r="V1472" t="s">
        <v>1984</v>
      </c>
      <c r="W1472" t="s">
        <v>358</v>
      </c>
      <c r="X1472">
        <v>665</v>
      </c>
      <c r="Y1472" t="s">
        <v>2007</v>
      </c>
      <c r="Z1472" t="s">
        <v>2028</v>
      </c>
      <c r="AA1472" t="s">
        <v>2029</v>
      </c>
      <c r="AB1472" t="s">
        <v>14086</v>
      </c>
      <c r="AC1472" t="s">
        <v>1754</v>
      </c>
      <c r="AD1472" t="s">
        <v>16514</v>
      </c>
      <c r="AE1472">
        <v>79</v>
      </c>
      <c r="AF1472" t="s">
        <v>2911</v>
      </c>
      <c r="AG1472" t="s">
        <v>1754</v>
      </c>
      <c r="AH1472">
        <v>8</v>
      </c>
      <c r="AI1472">
        <v>2</v>
      </c>
      <c r="AJ1472">
        <v>0</v>
      </c>
      <c r="AK1472">
        <v>60.51</v>
      </c>
      <c r="AN1472" t="s">
        <v>2933</v>
      </c>
      <c r="AO1472">
        <v>9960</v>
      </c>
      <c r="AU1472">
        <v>1.4</v>
      </c>
      <c r="AV1472" t="s">
        <v>209</v>
      </c>
      <c r="AW1472" t="s">
        <v>53</v>
      </c>
    </row>
    <row r="1473" spans="1:50">
      <c r="A1473" s="1" t="s">
        <v>132</v>
      </c>
      <c r="B1473" t="s">
        <v>163</v>
      </c>
      <c r="C1473" t="s">
        <v>4683</v>
      </c>
      <c r="D1473" t="s">
        <v>244</v>
      </c>
      <c r="F1473" t="s">
        <v>7257</v>
      </c>
      <c r="G1473" t="s">
        <v>8572</v>
      </c>
      <c r="H1473" t="s">
        <v>9605</v>
      </c>
      <c r="I1473" t="s">
        <v>11228</v>
      </c>
      <c r="J1473" t="s">
        <v>1644</v>
      </c>
      <c r="K1473">
        <v>11225</v>
      </c>
      <c r="L1473" t="s">
        <v>1670</v>
      </c>
      <c r="M1473" t="s">
        <v>1670</v>
      </c>
      <c r="N1473" t="s">
        <v>1675</v>
      </c>
      <c r="O1473" t="s">
        <v>1675</v>
      </c>
      <c r="P1473" t="s">
        <v>1962</v>
      </c>
      <c r="R1473" t="s">
        <v>50</v>
      </c>
      <c r="S1473" t="s">
        <v>1671</v>
      </c>
      <c r="U1473" t="s">
        <v>1972</v>
      </c>
      <c r="W1473" t="s">
        <v>6160</v>
      </c>
      <c r="X1473">
        <v>795.52</v>
      </c>
      <c r="Y1473" t="s">
        <v>2009</v>
      </c>
      <c r="Z1473" t="s">
        <v>2015</v>
      </c>
      <c r="AB1473" t="s">
        <v>14087</v>
      </c>
      <c r="AD1473" t="s">
        <v>16515</v>
      </c>
      <c r="AE1473">
        <v>89</v>
      </c>
      <c r="AF1473" t="s">
        <v>2902</v>
      </c>
      <c r="AG1473" t="s">
        <v>2915</v>
      </c>
      <c r="AH1473">
        <v>35</v>
      </c>
      <c r="AI1473">
        <v>2</v>
      </c>
      <c r="AJ1473">
        <v>0</v>
      </c>
      <c r="AK1473">
        <v>60.66</v>
      </c>
      <c r="AN1473" t="s">
        <v>2926</v>
      </c>
      <c r="AO1473">
        <v>9984</v>
      </c>
      <c r="AP1473" t="s">
        <v>2953</v>
      </c>
      <c r="AU1473" t="s">
        <v>13051</v>
      </c>
      <c r="AW1473" t="s">
        <v>3060</v>
      </c>
    </row>
    <row r="1474" spans="1:50">
      <c r="A1474" s="1" t="s">
        <v>132</v>
      </c>
      <c r="B1474" t="s">
        <v>163</v>
      </c>
      <c r="C1474" t="s">
        <v>4684</v>
      </c>
      <c r="D1474" t="s">
        <v>395</v>
      </c>
      <c r="F1474" t="s">
        <v>7257</v>
      </c>
      <c r="G1474" t="s">
        <v>8572</v>
      </c>
      <c r="H1474" t="s">
        <v>9605</v>
      </c>
      <c r="I1474" t="s">
        <v>11228</v>
      </c>
      <c r="J1474" t="s">
        <v>1644</v>
      </c>
      <c r="K1474">
        <v>11225</v>
      </c>
      <c r="L1474" t="s">
        <v>1670</v>
      </c>
      <c r="M1474" t="s">
        <v>1670</v>
      </c>
      <c r="O1474" t="s">
        <v>1938</v>
      </c>
      <c r="P1474" t="s">
        <v>1961</v>
      </c>
      <c r="R1474" t="s">
        <v>50</v>
      </c>
      <c r="S1474" t="s">
        <v>1670</v>
      </c>
      <c r="U1474" t="s">
        <v>1972</v>
      </c>
      <c r="W1474" t="s">
        <v>6160</v>
      </c>
      <c r="X1474">
        <v>795.52</v>
      </c>
      <c r="Y1474" t="s">
        <v>2009</v>
      </c>
      <c r="Z1474" t="s">
        <v>2015</v>
      </c>
      <c r="AB1474" t="s">
        <v>14087</v>
      </c>
      <c r="AD1474" t="s">
        <v>16515</v>
      </c>
      <c r="AE1474">
        <v>89</v>
      </c>
      <c r="AF1474" t="s">
        <v>2902</v>
      </c>
      <c r="AG1474" t="s">
        <v>2915</v>
      </c>
      <c r="AH1474">
        <v>35</v>
      </c>
      <c r="AI1474">
        <v>2</v>
      </c>
      <c r="AJ1474">
        <v>0</v>
      </c>
      <c r="AK1474">
        <v>60.66</v>
      </c>
      <c r="AN1474" t="s">
        <v>2926</v>
      </c>
      <c r="AO1474">
        <v>9984</v>
      </c>
      <c r="AU1474" t="s">
        <v>13051</v>
      </c>
      <c r="AW1474" t="s">
        <v>3059</v>
      </c>
    </row>
    <row r="1475" spans="1:50">
      <c r="A1475" s="1" t="s">
        <v>95</v>
      </c>
      <c r="B1475" t="s">
        <v>164</v>
      </c>
      <c r="C1475" t="s">
        <v>4685</v>
      </c>
      <c r="D1475" t="s">
        <v>255</v>
      </c>
      <c r="E1475" t="s">
        <v>220</v>
      </c>
      <c r="F1475" t="s">
        <v>588</v>
      </c>
      <c r="G1475" t="s">
        <v>8070</v>
      </c>
      <c r="H1475" t="s">
        <v>10034</v>
      </c>
      <c r="I1475" t="s">
        <v>1498</v>
      </c>
      <c r="J1475" t="s">
        <v>1641</v>
      </c>
      <c r="K1475">
        <v>10456</v>
      </c>
      <c r="L1475" t="s">
        <v>1670</v>
      </c>
      <c r="M1475" t="s">
        <v>1670</v>
      </c>
      <c r="O1475" t="s">
        <v>1675</v>
      </c>
      <c r="P1475" t="s">
        <v>1962</v>
      </c>
      <c r="Q1475" t="s">
        <v>1968</v>
      </c>
      <c r="R1475" t="s">
        <v>50</v>
      </c>
      <c r="S1475" t="s">
        <v>1671</v>
      </c>
      <c r="U1475" t="s">
        <v>1972</v>
      </c>
      <c r="W1475" t="s">
        <v>326</v>
      </c>
      <c r="X1475">
        <v>266</v>
      </c>
      <c r="Y1475" t="s">
        <v>2006</v>
      </c>
      <c r="Z1475" t="s">
        <v>2015</v>
      </c>
      <c r="AA1475" t="s">
        <v>2029</v>
      </c>
      <c r="AB1475" t="s">
        <v>14088</v>
      </c>
      <c r="AD1475" t="s">
        <v>16516</v>
      </c>
      <c r="AE1475">
        <v>60</v>
      </c>
      <c r="AF1475" t="s">
        <v>2902</v>
      </c>
      <c r="AG1475" t="s">
        <v>2915</v>
      </c>
      <c r="AH1475">
        <v>29</v>
      </c>
      <c r="AI1475">
        <v>1</v>
      </c>
      <c r="AJ1475">
        <v>0</v>
      </c>
      <c r="AK1475">
        <v>60.82</v>
      </c>
      <c r="AN1475" t="s">
        <v>2927</v>
      </c>
      <c r="AO1475">
        <v>7596</v>
      </c>
      <c r="AU1475">
        <v>1.75</v>
      </c>
      <c r="AV1475" t="s">
        <v>283</v>
      </c>
      <c r="AW1475" t="s">
        <v>95</v>
      </c>
    </row>
    <row r="1476" spans="1:50">
      <c r="A1476" s="1" t="s">
        <v>59</v>
      </c>
      <c r="B1476" t="s">
        <v>163</v>
      </c>
      <c r="C1476" t="s">
        <v>4686</v>
      </c>
      <c r="D1476" t="s">
        <v>185</v>
      </c>
      <c r="F1476" t="s">
        <v>757</v>
      </c>
      <c r="G1476" t="s">
        <v>8573</v>
      </c>
      <c r="H1476" t="s">
        <v>10035</v>
      </c>
      <c r="I1476" t="s">
        <v>1475</v>
      </c>
      <c r="J1476" t="s">
        <v>1641</v>
      </c>
      <c r="K1476">
        <v>10459</v>
      </c>
      <c r="L1476" t="s">
        <v>1670</v>
      </c>
      <c r="M1476" t="s">
        <v>1670</v>
      </c>
      <c r="N1476" t="s">
        <v>12254</v>
      </c>
      <c r="O1476" t="s">
        <v>1936</v>
      </c>
      <c r="P1476" t="s">
        <v>1960</v>
      </c>
      <c r="R1476" t="s">
        <v>50</v>
      </c>
      <c r="S1476" t="s">
        <v>1671</v>
      </c>
      <c r="U1476" t="s">
        <v>1972</v>
      </c>
      <c r="V1476" t="s">
        <v>1983</v>
      </c>
      <c r="W1476" t="s">
        <v>185</v>
      </c>
      <c r="X1476">
        <v>1032.47</v>
      </c>
      <c r="Y1476" t="s">
        <v>2006</v>
      </c>
      <c r="Z1476" t="s">
        <v>2023</v>
      </c>
      <c r="AB1476" t="s">
        <v>14089</v>
      </c>
      <c r="AC1476" t="s">
        <v>15168</v>
      </c>
      <c r="AD1476" t="s">
        <v>16517</v>
      </c>
      <c r="AE1476">
        <v>40</v>
      </c>
      <c r="AF1476" t="s">
        <v>2902</v>
      </c>
      <c r="AG1476" t="s">
        <v>1754</v>
      </c>
      <c r="AH1476">
        <v>22</v>
      </c>
      <c r="AI1476">
        <v>3</v>
      </c>
      <c r="AJ1476">
        <v>0</v>
      </c>
      <c r="AK1476">
        <v>60.87</v>
      </c>
      <c r="AN1476" t="s">
        <v>2926</v>
      </c>
      <c r="AO1476">
        <v>12648</v>
      </c>
      <c r="AP1476" t="s">
        <v>18250</v>
      </c>
      <c r="AU1476">
        <v>98.65000000000001</v>
      </c>
      <c r="AV1476" t="s">
        <v>289</v>
      </c>
      <c r="AW1476" t="s">
        <v>3071</v>
      </c>
    </row>
    <row r="1477" spans="1:50">
      <c r="A1477" s="1" t="s">
        <v>57</v>
      </c>
      <c r="B1477" t="s">
        <v>164</v>
      </c>
      <c r="C1477" t="s">
        <v>4687</v>
      </c>
      <c r="D1477" t="s">
        <v>342</v>
      </c>
      <c r="E1477" t="s">
        <v>384</v>
      </c>
      <c r="F1477" t="s">
        <v>7007</v>
      </c>
      <c r="G1477" t="s">
        <v>8574</v>
      </c>
      <c r="H1477" t="s">
        <v>10036</v>
      </c>
      <c r="J1477" t="s">
        <v>1641</v>
      </c>
      <c r="K1477">
        <v>10472</v>
      </c>
      <c r="L1477" t="s">
        <v>1670</v>
      </c>
      <c r="M1477" t="s">
        <v>1670</v>
      </c>
      <c r="O1477" t="s">
        <v>1936</v>
      </c>
      <c r="P1477" t="s">
        <v>1958</v>
      </c>
      <c r="Q1477" t="s">
        <v>1965</v>
      </c>
      <c r="R1477" t="s">
        <v>50</v>
      </c>
      <c r="S1477" t="s">
        <v>1671</v>
      </c>
      <c r="U1477" t="s">
        <v>1972</v>
      </c>
      <c r="V1477" t="s">
        <v>1985</v>
      </c>
      <c r="W1477" t="s">
        <v>316</v>
      </c>
      <c r="X1477">
        <v>968</v>
      </c>
      <c r="Y1477" t="s">
        <v>2006</v>
      </c>
      <c r="Z1477" t="s">
        <v>2015</v>
      </c>
      <c r="AA1477" t="s">
        <v>2029</v>
      </c>
      <c r="AB1477" t="s">
        <v>14090</v>
      </c>
      <c r="AD1477" t="s">
        <v>16518</v>
      </c>
      <c r="AE1477" t="s">
        <v>13051</v>
      </c>
      <c r="AF1477" t="s">
        <v>2902</v>
      </c>
      <c r="AH1477" t="s">
        <v>13051</v>
      </c>
      <c r="AI1477">
        <v>2</v>
      </c>
      <c r="AJ1477">
        <v>0</v>
      </c>
      <c r="AK1477">
        <v>60.95</v>
      </c>
      <c r="AN1477" t="s">
        <v>2927</v>
      </c>
      <c r="AO1477">
        <v>10032</v>
      </c>
      <c r="AU1477">
        <v>0.85</v>
      </c>
      <c r="AV1477" t="s">
        <v>384</v>
      </c>
      <c r="AW1477" t="s">
        <v>128</v>
      </c>
    </row>
    <row r="1478" spans="1:50">
      <c r="A1478" s="1" t="s">
        <v>52</v>
      </c>
      <c r="B1478" t="s">
        <v>164</v>
      </c>
      <c r="C1478" t="s">
        <v>4688</v>
      </c>
      <c r="D1478" t="s">
        <v>193</v>
      </c>
      <c r="E1478" t="s">
        <v>220</v>
      </c>
      <c r="F1478" t="s">
        <v>427</v>
      </c>
      <c r="G1478" t="s">
        <v>8575</v>
      </c>
      <c r="H1478" t="s">
        <v>10037</v>
      </c>
      <c r="I1478" t="s">
        <v>1488</v>
      </c>
      <c r="J1478" t="s">
        <v>1641</v>
      </c>
      <c r="K1478">
        <v>10453</v>
      </c>
      <c r="L1478" t="s">
        <v>1670</v>
      </c>
      <c r="M1478" t="s">
        <v>1670</v>
      </c>
      <c r="O1478" t="s">
        <v>1675</v>
      </c>
      <c r="P1478" t="s">
        <v>1958</v>
      </c>
      <c r="Q1478" t="s">
        <v>1965</v>
      </c>
      <c r="R1478" t="s">
        <v>50</v>
      </c>
      <c r="S1478" t="s">
        <v>1671</v>
      </c>
      <c r="U1478" t="s">
        <v>1972</v>
      </c>
      <c r="W1478" t="s">
        <v>1991</v>
      </c>
      <c r="X1478">
        <v>903</v>
      </c>
      <c r="Y1478" t="s">
        <v>2006</v>
      </c>
      <c r="Z1478" t="s">
        <v>2015</v>
      </c>
      <c r="AA1478" t="s">
        <v>2029</v>
      </c>
      <c r="AB1478" t="s">
        <v>14091</v>
      </c>
      <c r="AD1478" t="s">
        <v>16519</v>
      </c>
      <c r="AE1478" t="s">
        <v>13051</v>
      </c>
      <c r="AF1478" t="s">
        <v>2908</v>
      </c>
      <c r="AG1478" t="s">
        <v>2915</v>
      </c>
      <c r="AH1478">
        <v>29</v>
      </c>
      <c r="AI1478">
        <v>3</v>
      </c>
      <c r="AJ1478">
        <v>0</v>
      </c>
      <c r="AK1478">
        <v>60.95</v>
      </c>
      <c r="AN1478" t="s">
        <v>2927</v>
      </c>
      <c r="AO1478">
        <v>13000</v>
      </c>
      <c r="AU1478">
        <v>0.3</v>
      </c>
      <c r="AV1478" t="s">
        <v>220</v>
      </c>
      <c r="AW1478" t="s">
        <v>3045</v>
      </c>
      <c r="AX1478" t="s">
        <v>18685</v>
      </c>
    </row>
    <row r="1479" spans="1:50">
      <c r="A1479" s="1" t="s">
        <v>3163</v>
      </c>
      <c r="B1479" t="s">
        <v>163</v>
      </c>
      <c r="C1479" t="s">
        <v>4689</v>
      </c>
      <c r="D1479" t="s">
        <v>243</v>
      </c>
      <c r="F1479" t="s">
        <v>7430</v>
      </c>
      <c r="G1479" t="s">
        <v>1048</v>
      </c>
      <c r="H1479" t="s">
        <v>10038</v>
      </c>
      <c r="I1479" t="s">
        <v>1540</v>
      </c>
      <c r="J1479" t="s">
        <v>1643</v>
      </c>
      <c r="K1479">
        <v>10032</v>
      </c>
      <c r="L1479" t="s">
        <v>1670</v>
      </c>
      <c r="M1479" t="s">
        <v>1670</v>
      </c>
      <c r="P1479" t="s">
        <v>1963</v>
      </c>
      <c r="R1479" t="s">
        <v>50</v>
      </c>
      <c r="S1479" t="s">
        <v>1671</v>
      </c>
      <c r="U1479" t="s">
        <v>1972</v>
      </c>
      <c r="W1479" t="s">
        <v>243</v>
      </c>
      <c r="X1479">
        <v>558</v>
      </c>
      <c r="Y1479" t="s">
        <v>2008</v>
      </c>
      <c r="Z1479" t="s">
        <v>2013</v>
      </c>
      <c r="AB1479" t="s">
        <v>14092</v>
      </c>
      <c r="AD1479" t="s">
        <v>16520</v>
      </c>
      <c r="AE1479" t="s">
        <v>13051</v>
      </c>
      <c r="AF1479" t="s">
        <v>2902</v>
      </c>
      <c r="AG1479" t="s">
        <v>1754</v>
      </c>
      <c r="AH1479">
        <v>48</v>
      </c>
      <c r="AI1479">
        <v>2</v>
      </c>
      <c r="AJ1479">
        <v>0</v>
      </c>
      <c r="AK1479">
        <v>61.02</v>
      </c>
      <c r="AN1479" t="s">
        <v>2932</v>
      </c>
      <c r="AO1479">
        <v>10044</v>
      </c>
      <c r="AU1479">
        <v>6.5</v>
      </c>
      <c r="AV1479" t="s">
        <v>3036</v>
      </c>
      <c r="AW1479" t="s">
        <v>3042</v>
      </c>
    </row>
    <row r="1480" spans="1:50">
      <c r="A1480" s="1" t="s">
        <v>59</v>
      </c>
      <c r="B1480" t="s">
        <v>163</v>
      </c>
      <c r="C1480" t="s">
        <v>4690</v>
      </c>
      <c r="D1480" t="s">
        <v>297</v>
      </c>
      <c r="F1480" t="s">
        <v>7431</v>
      </c>
      <c r="G1480" t="s">
        <v>959</v>
      </c>
      <c r="H1480" t="s">
        <v>1114</v>
      </c>
      <c r="I1480" t="s">
        <v>1517</v>
      </c>
      <c r="J1480" t="s">
        <v>1641</v>
      </c>
      <c r="K1480">
        <v>10456</v>
      </c>
      <c r="L1480" t="s">
        <v>1670</v>
      </c>
      <c r="M1480" t="s">
        <v>1670</v>
      </c>
      <c r="N1480" t="s">
        <v>1680</v>
      </c>
      <c r="O1480" t="s">
        <v>1938</v>
      </c>
      <c r="P1480" t="s">
        <v>1961</v>
      </c>
      <c r="R1480" t="s">
        <v>50</v>
      </c>
      <c r="S1480" t="s">
        <v>1670</v>
      </c>
      <c r="U1480" t="s">
        <v>1972</v>
      </c>
      <c r="W1480" t="s">
        <v>359</v>
      </c>
      <c r="X1480">
        <v>1047</v>
      </c>
      <c r="Y1480" t="s">
        <v>2006</v>
      </c>
      <c r="Z1480" t="s">
        <v>2015</v>
      </c>
      <c r="AB1480" t="s">
        <v>14093</v>
      </c>
      <c r="AD1480" t="s">
        <v>16521</v>
      </c>
      <c r="AE1480">
        <v>131</v>
      </c>
      <c r="AF1480" t="s">
        <v>2902</v>
      </c>
      <c r="AG1480" t="s">
        <v>1754</v>
      </c>
      <c r="AH1480">
        <v>13</v>
      </c>
      <c r="AI1480">
        <v>2</v>
      </c>
      <c r="AJ1480">
        <v>0</v>
      </c>
      <c r="AK1480">
        <v>61.02</v>
      </c>
      <c r="AN1480" t="s">
        <v>2927</v>
      </c>
      <c r="AO1480">
        <v>10044</v>
      </c>
      <c r="AU1480" t="s">
        <v>13051</v>
      </c>
      <c r="AW1480" t="s">
        <v>3047</v>
      </c>
    </row>
    <row r="1481" spans="1:50">
      <c r="A1481" s="1" t="s">
        <v>59</v>
      </c>
      <c r="B1481" t="s">
        <v>163</v>
      </c>
      <c r="C1481" t="s">
        <v>4691</v>
      </c>
      <c r="D1481" t="s">
        <v>297</v>
      </c>
      <c r="F1481" t="s">
        <v>7431</v>
      </c>
      <c r="G1481" t="s">
        <v>959</v>
      </c>
      <c r="H1481" t="s">
        <v>1114</v>
      </c>
      <c r="I1481" t="s">
        <v>1517</v>
      </c>
      <c r="J1481" t="s">
        <v>1641</v>
      </c>
      <c r="K1481">
        <v>10456</v>
      </c>
      <c r="L1481" t="s">
        <v>1670</v>
      </c>
      <c r="M1481" t="s">
        <v>1670</v>
      </c>
      <c r="O1481" t="s">
        <v>1938</v>
      </c>
      <c r="P1481" t="s">
        <v>1961</v>
      </c>
      <c r="R1481" t="s">
        <v>50</v>
      </c>
      <c r="S1481" t="s">
        <v>1670</v>
      </c>
      <c r="U1481" t="s">
        <v>1972</v>
      </c>
      <c r="W1481" t="s">
        <v>283</v>
      </c>
      <c r="X1481">
        <v>1047</v>
      </c>
      <c r="Y1481" t="s">
        <v>2006</v>
      </c>
      <c r="Z1481" t="s">
        <v>2015</v>
      </c>
      <c r="AB1481" t="s">
        <v>14093</v>
      </c>
      <c r="AD1481" t="s">
        <v>16521</v>
      </c>
      <c r="AE1481">
        <v>131</v>
      </c>
      <c r="AF1481" t="s">
        <v>2902</v>
      </c>
      <c r="AG1481" t="s">
        <v>1754</v>
      </c>
      <c r="AH1481">
        <v>13</v>
      </c>
      <c r="AI1481">
        <v>2</v>
      </c>
      <c r="AJ1481">
        <v>0</v>
      </c>
      <c r="AK1481">
        <v>61.02</v>
      </c>
      <c r="AN1481" t="s">
        <v>2927</v>
      </c>
      <c r="AO1481">
        <v>10044</v>
      </c>
      <c r="AU1481" t="s">
        <v>13051</v>
      </c>
      <c r="AW1481" t="s">
        <v>3047</v>
      </c>
    </row>
    <row r="1482" spans="1:50">
      <c r="A1482" s="1" t="s">
        <v>125</v>
      </c>
      <c r="B1482" t="s">
        <v>163</v>
      </c>
      <c r="C1482" t="s">
        <v>4692</v>
      </c>
      <c r="D1482" t="s">
        <v>313</v>
      </c>
      <c r="F1482" t="s">
        <v>7432</v>
      </c>
      <c r="G1482" t="s">
        <v>8576</v>
      </c>
      <c r="H1482" t="s">
        <v>9428</v>
      </c>
      <c r="J1482" t="s">
        <v>1644</v>
      </c>
      <c r="K1482">
        <v>11226</v>
      </c>
      <c r="L1482" t="s">
        <v>1671</v>
      </c>
      <c r="M1482" t="s">
        <v>1670</v>
      </c>
      <c r="O1482" t="s">
        <v>1938</v>
      </c>
      <c r="P1482" t="s">
        <v>1961</v>
      </c>
      <c r="R1482" t="s">
        <v>50</v>
      </c>
      <c r="S1482" t="s">
        <v>1670</v>
      </c>
      <c r="U1482" t="s">
        <v>1972</v>
      </c>
      <c r="W1482" t="s">
        <v>307</v>
      </c>
      <c r="X1482">
        <v>856.9299999999999</v>
      </c>
      <c r="Y1482" t="s">
        <v>2009</v>
      </c>
      <c r="AB1482" t="s">
        <v>14094</v>
      </c>
      <c r="AD1482" t="s">
        <v>16522</v>
      </c>
      <c r="AE1482" t="s">
        <v>13051</v>
      </c>
      <c r="AH1482">
        <v>41</v>
      </c>
      <c r="AI1482">
        <v>2</v>
      </c>
      <c r="AJ1482">
        <v>0</v>
      </c>
      <c r="AK1482">
        <v>61.03</v>
      </c>
      <c r="AN1482" t="s">
        <v>2926</v>
      </c>
      <c r="AO1482">
        <v>10320</v>
      </c>
      <c r="AU1482" t="s">
        <v>13051</v>
      </c>
      <c r="AW1482" t="s">
        <v>158</v>
      </c>
    </row>
    <row r="1483" spans="1:50">
      <c r="A1483" s="1" t="s">
        <v>74</v>
      </c>
      <c r="B1483" t="s">
        <v>163</v>
      </c>
      <c r="C1483" t="s">
        <v>4693</v>
      </c>
      <c r="D1483" t="s">
        <v>281</v>
      </c>
      <c r="F1483" t="s">
        <v>7298</v>
      </c>
      <c r="G1483" t="s">
        <v>8566</v>
      </c>
      <c r="H1483" t="s">
        <v>1131</v>
      </c>
      <c r="I1483" t="s">
        <v>11225</v>
      </c>
      <c r="J1483" t="s">
        <v>1641</v>
      </c>
      <c r="K1483">
        <v>10460</v>
      </c>
      <c r="L1483" t="s">
        <v>1670</v>
      </c>
      <c r="M1483" t="s">
        <v>1670</v>
      </c>
      <c r="N1483" t="s">
        <v>1692</v>
      </c>
      <c r="O1483" t="s">
        <v>1939</v>
      </c>
      <c r="P1483" t="s">
        <v>1960</v>
      </c>
      <c r="R1483" t="s">
        <v>50</v>
      </c>
      <c r="S1483" t="s">
        <v>1670</v>
      </c>
      <c r="U1483" t="s">
        <v>1972</v>
      </c>
      <c r="W1483" t="s">
        <v>283</v>
      </c>
      <c r="X1483">
        <v>967</v>
      </c>
      <c r="Y1483" t="s">
        <v>2006</v>
      </c>
      <c r="Z1483" t="s">
        <v>2015</v>
      </c>
      <c r="AB1483" t="s">
        <v>14079</v>
      </c>
      <c r="AD1483" t="s">
        <v>16508</v>
      </c>
      <c r="AE1483">
        <v>169</v>
      </c>
      <c r="AG1483" t="s">
        <v>2915</v>
      </c>
      <c r="AH1483">
        <v>5</v>
      </c>
      <c r="AI1483">
        <v>1</v>
      </c>
      <c r="AJ1483">
        <v>0</v>
      </c>
      <c r="AK1483">
        <v>61.29</v>
      </c>
      <c r="AN1483" t="s">
        <v>2926</v>
      </c>
      <c r="AO1483">
        <v>7440</v>
      </c>
      <c r="AU1483" t="s">
        <v>13051</v>
      </c>
      <c r="AW1483" t="s">
        <v>76</v>
      </c>
    </row>
    <row r="1484" spans="1:50">
      <c r="A1484" s="1" t="s">
        <v>53</v>
      </c>
      <c r="B1484" t="s">
        <v>163</v>
      </c>
      <c r="C1484" t="s">
        <v>4694</v>
      </c>
      <c r="D1484" t="s">
        <v>230</v>
      </c>
      <c r="F1484" t="s">
        <v>7433</v>
      </c>
      <c r="G1484" t="s">
        <v>8577</v>
      </c>
      <c r="H1484" t="s">
        <v>10039</v>
      </c>
      <c r="I1484" t="s">
        <v>11229</v>
      </c>
      <c r="J1484" t="s">
        <v>1668</v>
      </c>
      <c r="K1484">
        <v>11354</v>
      </c>
      <c r="L1484" t="s">
        <v>1670</v>
      </c>
      <c r="M1484" t="s">
        <v>1672</v>
      </c>
      <c r="N1484" t="s">
        <v>12255</v>
      </c>
      <c r="O1484" t="s">
        <v>1939</v>
      </c>
      <c r="P1484" t="s">
        <v>1960</v>
      </c>
      <c r="R1484" t="s">
        <v>50</v>
      </c>
      <c r="S1484" t="s">
        <v>1671</v>
      </c>
      <c r="U1484" t="s">
        <v>1972</v>
      </c>
      <c r="V1484" t="s">
        <v>1984</v>
      </c>
      <c r="W1484" t="s">
        <v>230</v>
      </c>
      <c r="X1484">
        <v>1100</v>
      </c>
      <c r="Y1484" t="s">
        <v>2007</v>
      </c>
      <c r="Z1484" t="s">
        <v>2014</v>
      </c>
      <c r="AB1484" t="s">
        <v>14095</v>
      </c>
      <c r="AC1484" t="s">
        <v>15169</v>
      </c>
      <c r="AD1484" t="s">
        <v>16523</v>
      </c>
      <c r="AE1484">
        <v>200</v>
      </c>
      <c r="AF1484" t="s">
        <v>2902</v>
      </c>
      <c r="AG1484" t="s">
        <v>2919</v>
      </c>
      <c r="AH1484">
        <v>58</v>
      </c>
      <c r="AI1484">
        <v>1</v>
      </c>
      <c r="AJ1484">
        <v>0</v>
      </c>
      <c r="AK1484">
        <v>61.3</v>
      </c>
      <c r="AN1484" t="s">
        <v>2927</v>
      </c>
      <c r="AO1484">
        <v>7656</v>
      </c>
      <c r="AU1484">
        <v>3.05</v>
      </c>
      <c r="AV1484" t="s">
        <v>346</v>
      </c>
      <c r="AW1484" t="s">
        <v>18669</v>
      </c>
      <c r="AX1484" t="s">
        <v>18685</v>
      </c>
    </row>
    <row r="1485" spans="1:50">
      <c r="A1485" s="1" t="s">
        <v>153</v>
      </c>
      <c r="B1485" t="s">
        <v>163</v>
      </c>
      <c r="C1485" t="s">
        <v>4695</v>
      </c>
      <c r="D1485" t="s">
        <v>267</v>
      </c>
      <c r="F1485" t="s">
        <v>7078</v>
      </c>
      <c r="G1485" t="s">
        <v>8578</v>
      </c>
      <c r="H1485" t="s">
        <v>10040</v>
      </c>
      <c r="I1485" t="s">
        <v>11230</v>
      </c>
      <c r="J1485" t="s">
        <v>1641</v>
      </c>
      <c r="K1485">
        <v>10457</v>
      </c>
      <c r="L1485" t="s">
        <v>1670</v>
      </c>
      <c r="M1485" t="s">
        <v>1670</v>
      </c>
      <c r="N1485" t="s">
        <v>12256</v>
      </c>
      <c r="O1485" t="s">
        <v>1954</v>
      </c>
      <c r="P1485" t="s">
        <v>1958</v>
      </c>
      <c r="R1485" t="s">
        <v>50</v>
      </c>
      <c r="S1485" t="s">
        <v>1671</v>
      </c>
      <c r="U1485" t="s">
        <v>1972</v>
      </c>
      <c r="V1485" t="s">
        <v>1986</v>
      </c>
      <c r="W1485" t="s">
        <v>267</v>
      </c>
      <c r="X1485">
        <v>1100</v>
      </c>
      <c r="Y1485" t="s">
        <v>2006</v>
      </c>
      <c r="Z1485" t="s">
        <v>2014</v>
      </c>
      <c r="AB1485" t="s">
        <v>14096</v>
      </c>
      <c r="AD1485" t="s">
        <v>16524</v>
      </c>
      <c r="AE1485">
        <v>300</v>
      </c>
      <c r="AF1485" t="s">
        <v>2904</v>
      </c>
      <c r="AH1485" t="s">
        <v>13051</v>
      </c>
      <c r="AI1485">
        <v>2</v>
      </c>
      <c r="AJ1485">
        <v>0</v>
      </c>
      <c r="AK1485">
        <v>61.36</v>
      </c>
      <c r="AN1485" t="s">
        <v>2927</v>
      </c>
      <c r="AO1485">
        <v>10100</v>
      </c>
      <c r="AU1485">
        <v>3.35</v>
      </c>
      <c r="AV1485" t="s">
        <v>307</v>
      </c>
      <c r="AW1485" t="s">
        <v>3041</v>
      </c>
    </row>
    <row r="1486" spans="1:50">
      <c r="A1486" s="1" t="s">
        <v>65</v>
      </c>
      <c r="B1486" t="s">
        <v>163</v>
      </c>
      <c r="C1486" t="s">
        <v>4696</v>
      </c>
      <c r="D1486" t="s">
        <v>315</v>
      </c>
      <c r="F1486" t="s">
        <v>7044</v>
      </c>
      <c r="G1486" t="s">
        <v>873</v>
      </c>
      <c r="H1486" t="s">
        <v>1438</v>
      </c>
      <c r="J1486" t="s">
        <v>1644</v>
      </c>
      <c r="K1486">
        <v>11220</v>
      </c>
      <c r="L1486" t="s">
        <v>1670</v>
      </c>
      <c r="M1486" t="s">
        <v>1670</v>
      </c>
      <c r="O1486" t="s">
        <v>1938</v>
      </c>
      <c r="P1486" t="s">
        <v>1961</v>
      </c>
      <c r="R1486" t="s">
        <v>50</v>
      </c>
      <c r="S1486" t="s">
        <v>1670</v>
      </c>
      <c r="U1486" t="s">
        <v>1972</v>
      </c>
      <c r="W1486" t="s">
        <v>345</v>
      </c>
      <c r="X1486" t="s">
        <v>13051</v>
      </c>
      <c r="Y1486" t="s">
        <v>2009</v>
      </c>
      <c r="AB1486" t="s">
        <v>13808</v>
      </c>
      <c r="AD1486" t="s">
        <v>16525</v>
      </c>
      <c r="AE1486" t="s">
        <v>13051</v>
      </c>
      <c r="AH1486" t="s">
        <v>13051</v>
      </c>
      <c r="AI1486">
        <v>2</v>
      </c>
      <c r="AJ1486">
        <v>0</v>
      </c>
      <c r="AK1486">
        <v>61.39</v>
      </c>
      <c r="AN1486" t="s">
        <v>2927</v>
      </c>
      <c r="AO1486">
        <v>10104</v>
      </c>
      <c r="AU1486">
        <v>33.95</v>
      </c>
      <c r="AV1486" t="s">
        <v>313</v>
      </c>
      <c r="AW1486" t="s">
        <v>3085</v>
      </c>
    </row>
    <row r="1487" spans="1:50">
      <c r="A1487" s="1" t="s">
        <v>118</v>
      </c>
      <c r="B1487" t="s">
        <v>163</v>
      </c>
      <c r="C1487" t="s">
        <v>4697</v>
      </c>
      <c r="D1487" t="s">
        <v>269</v>
      </c>
      <c r="F1487" t="s">
        <v>7434</v>
      </c>
      <c r="G1487" t="s">
        <v>814</v>
      </c>
      <c r="H1487" t="s">
        <v>10041</v>
      </c>
      <c r="I1487" t="s">
        <v>11231</v>
      </c>
      <c r="J1487" t="s">
        <v>1641</v>
      </c>
      <c r="K1487">
        <v>10452</v>
      </c>
      <c r="L1487" t="s">
        <v>1670</v>
      </c>
      <c r="M1487" t="s">
        <v>1671</v>
      </c>
      <c r="O1487" t="s">
        <v>1939</v>
      </c>
      <c r="P1487" t="s">
        <v>1962</v>
      </c>
      <c r="R1487" t="s">
        <v>50</v>
      </c>
      <c r="S1487" t="s">
        <v>1671</v>
      </c>
      <c r="U1487" t="s">
        <v>1972</v>
      </c>
      <c r="W1487" t="s">
        <v>1991</v>
      </c>
      <c r="X1487">
        <v>1800</v>
      </c>
      <c r="Y1487" t="s">
        <v>2006</v>
      </c>
      <c r="Z1487" t="s">
        <v>2013</v>
      </c>
      <c r="AC1487" t="s">
        <v>15170</v>
      </c>
      <c r="AD1487" t="s">
        <v>16526</v>
      </c>
      <c r="AE1487" t="s">
        <v>13051</v>
      </c>
      <c r="AH1487">
        <v>6</v>
      </c>
      <c r="AI1487">
        <v>2</v>
      </c>
      <c r="AJ1487">
        <v>0</v>
      </c>
      <c r="AK1487">
        <v>61.5</v>
      </c>
      <c r="AN1487" t="s">
        <v>2926</v>
      </c>
      <c r="AO1487">
        <v>10400</v>
      </c>
      <c r="AU1487">
        <v>1.5</v>
      </c>
      <c r="AV1487" t="s">
        <v>269</v>
      </c>
      <c r="AW1487" t="s">
        <v>118</v>
      </c>
      <c r="AX1487" t="s">
        <v>18686</v>
      </c>
    </row>
    <row r="1488" spans="1:50">
      <c r="A1488" s="1" t="s">
        <v>79</v>
      </c>
      <c r="B1488" t="s">
        <v>163</v>
      </c>
      <c r="C1488" t="s">
        <v>4698</v>
      </c>
      <c r="D1488" t="s">
        <v>217</v>
      </c>
      <c r="F1488" t="s">
        <v>7435</v>
      </c>
      <c r="G1488" t="s">
        <v>8579</v>
      </c>
      <c r="H1488" t="s">
        <v>10042</v>
      </c>
      <c r="I1488">
        <v>201</v>
      </c>
      <c r="J1488" t="s">
        <v>1643</v>
      </c>
      <c r="K1488">
        <v>10025</v>
      </c>
      <c r="L1488" t="s">
        <v>1670</v>
      </c>
      <c r="M1488" t="s">
        <v>1670</v>
      </c>
      <c r="O1488" t="s">
        <v>1937</v>
      </c>
      <c r="P1488" t="s">
        <v>1962</v>
      </c>
      <c r="R1488" t="s">
        <v>50</v>
      </c>
      <c r="S1488" t="s">
        <v>1671</v>
      </c>
      <c r="U1488" t="s">
        <v>1972</v>
      </c>
      <c r="V1488" t="s">
        <v>1984</v>
      </c>
      <c r="W1488" t="s">
        <v>347</v>
      </c>
      <c r="X1488" t="s">
        <v>13051</v>
      </c>
      <c r="Y1488" t="s">
        <v>2009</v>
      </c>
      <c r="AB1488" t="s">
        <v>14097</v>
      </c>
      <c r="AD1488" t="s">
        <v>16527</v>
      </c>
      <c r="AE1488" t="s">
        <v>13051</v>
      </c>
      <c r="AH1488" t="s">
        <v>13051</v>
      </c>
      <c r="AI1488">
        <v>2</v>
      </c>
      <c r="AJ1488">
        <v>0</v>
      </c>
      <c r="AK1488">
        <v>61.5</v>
      </c>
      <c r="AN1488" t="s">
        <v>2926</v>
      </c>
      <c r="AO1488">
        <v>10400</v>
      </c>
      <c r="AP1488" t="s">
        <v>18285</v>
      </c>
      <c r="AU1488" t="s">
        <v>13051</v>
      </c>
      <c r="AW1488" t="s">
        <v>3060</v>
      </c>
    </row>
    <row r="1489" spans="1:50">
      <c r="A1489" s="1" t="s">
        <v>52</v>
      </c>
      <c r="B1489" t="s">
        <v>163</v>
      </c>
      <c r="C1489" t="s">
        <v>4699</v>
      </c>
      <c r="D1489" t="s">
        <v>334</v>
      </c>
      <c r="F1489" t="s">
        <v>6916</v>
      </c>
      <c r="G1489" t="s">
        <v>870</v>
      </c>
      <c r="H1489" t="s">
        <v>10043</v>
      </c>
      <c r="I1489" t="s">
        <v>1580</v>
      </c>
      <c r="J1489" t="s">
        <v>1641</v>
      </c>
      <c r="K1489">
        <v>10455</v>
      </c>
      <c r="L1489" t="s">
        <v>1670</v>
      </c>
      <c r="M1489" t="s">
        <v>1672</v>
      </c>
      <c r="N1489" t="s">
        <v>12257</v>
      </c>
      <c r="O1489" t="s">
        <v>1936</v>
      </c>
      <c r="P1489" t="s">
        <v>1960</v>
      </c>
      <c r="R1489" t="s">
        <v>50</v>
      </c>
      <c r="S1489" t="s">
        <v>1671</v>
      </c>
      <c r="U1489" t="s">
        <v>1972</v>
      </c>
      <c r="V1489" t="s">
        <v>1987</v>
      </c>
      <c r="W1489" t="s">
        <v>334</v>
      </c>
      <c r="X1489">
        <v>347</v>
      </c>
      <c r="Y1489" t="s">
        <v>2006</v>
      </c>
      <c r="Z1489" t="s">
        <v>2021</v>
      </c>
      <c r="AB1489" t="s">
        <v>13366</v>
      </c>
      <c r="AD1489" t="s">
        <v>16528</v>
      </c>
      <c r="AE1489">
        <v>45</v>
      </c>
      <c r="AF1489" t="s">
        <v>2909</v>
      </c>
      <c r="AG1489" t="s">
        <v>1754</v>
      </c>
      <c r="AH1489">
        <v>16</v>
      </c>
      <c r="AI1489">
        <v>2</v>
      </c>
      <c r="AJ1489">
        <v>0</v>
      </c>
      <c r="AK1489">
        <v>61.5</v>
      </c>
      <c r="AN1489" t="s">
        <v>2926</v>
      </c>
      <c r="AO1489">
        <v>10400</v>
      </c>
      <c r="AU1489">
        <v>6.1</v>
      </c>
      <c r="AV1489" t="s">
        <v>1994</v>
      </c>
      <c r="AW1489" t="s">
        <v>3045</v>
      </c>
      <c r="AX1489" t="s">
        <v>18685</v>
      </c>
    </row>
    <row r="1490" spans="1:50">
      <c r="A1490" s="1" t="s">
        <v>80</v>
      </c>
      <c r="B1490" t="s">
        <v>163</v>
      </c>
      <c r="C1490" t="s">
        <v>4700</v>
      </c>
      <c r="D1490" t="s">
        <v>174</v>
      </c>
      <c r="F1490" t="s">
        <v>7436</v>
      </c>
      <c r="G1490" t="s">
        <v>8580</v>
      </c>
      <c r="H1490" t="s">
        <v>10044</v>
      </c>
      <c r="I1490" t="s">
        <v>1553</v>
      </c>
      <c r="J1490" t="s">
        <v>1646</v>
      </c>
      <c r="K1490">
        <v>10314</v>
      </c>
      <c r="L1490" t="s">
        <v>1670</v>
      </c>
      <c r="M1490" t="s">
        <v>1670</v>
      </c>
      <c r="N1490" t="s">
        <v>12258</v>
      </c>
      <c r="O1490" t="s">
        <v>1936</v>
      </c>
      <c r="P1490" t="s">
        <v>1960</v>
      </c>
      <c r="R1490" t="s">
        <v>50</v>
      </c>
      <c r="S1490" t="s">
        <v>1671</v>
      </c>
      <c r="U1490" t="s">
        <v>1972</v>
      </c>
      <c r="W1490" t="s">
        <v>174</v>
      </c>
      <c r="X1490">
        <v>164</v>
      </c>
      <c r="Y1490" t="s">
        <v>2010</v>
      </c>
      <c r="Z1490" t="s">
        <v>2014</v>
      </c>
      <c r="AB1490" t="s">
        <v>13192</v>
      </c>
      <c r="AD1490" t="s">
        <v>16529</v>
      </c>
      <c r="AE1490">
        <v>2</v>
      </c>
      <c r="AF1490" t="s">
        <v>2907</v>
      </c>
      <c r="AG1490" t="s">
        <v>2915</v>
      </c>
      <c r="AH1490">
        <v>1</v>
      </c>
      <c r="AI1490">
        <v>2</v>
      </c>
      <c r="AJ1490">
        <v>0</v>
      </c>
      <c r="AK1490">
        <v>61.6</v>
      </c>
      <c r="AN1490" t="s">
        <v>2926</v>
      </c>
      <c r="AO1490">
        <v>10140</v>
      </c>
      <c r="AU1490">
        <v>12</v>
      </c>
      <c r="AV1490" t="s">
        <v>325</v>
      </c>
      <c r="AW1490" t="s">
        <v>18666</v>
      </c>
    </row>
    <row r="1491" spans="1:50">
      <c r="A1491" s="1" t="s">
        <v>157</v>
      </c>
      <c r="B1491" t="s">
        <v>164</v>
      </c>
      <c r="C1491" t="s">
        <v>4701</v>
      </c>
      <c r="D1491" t="s">
        <v>361</v>
      </c>
      <c r="E1491" t="s">
        <v>405</v>
      </c>
      <c r="F1491" t="s">
        <v>7236</v>
      </c>
      <c r="G1491" t="s">
        <v>860</v>
      </c>
      <c r="H1491" t="s">
        <v>9432</v>
      </c>
      <c r="I1491" t="s">
        <v>1544</v>
      </c>
      <c r="J1491" t="s">
        <v>1643</v>
      </c>
      <c r="K1491">
        <v>10030</v>
      </c>
      <c r="L1491" t="s">
        <v>1670</v>
      </c>
      <c r="M1491" t="s">
        <v>1672</v>
      </c>
      <c r="N1491" t="s">
        <v>12259</v>
      </c>
      <c r="O1491" t="s">
        <v>1936</v>
      </c>
      <c r="P1491" t="s">
        <v>1958</v>
      </c>
      <c r="Q1491" t="s">
        <v>1965</v>
      </c>
      <c r="R1491" t="s">
        <v>50</v>
      </c>
      <c r="S1491" t="s">
        <v>1671</v>
      </c>
      <c r="U1491" t="s">
        <v>1972</v>
      </c>
      <c r="W1491" t="s">
        <v>361</v>
      </c>
      <c r="X1491">
        <v>1415</v>
      </c>
      <c r="Y1491" t="s">
        <v>2008</v>
      </c>
      <c r="Z1491" t="s">
        <v>2014</v>
      </c>
      <c r="AA1491" t="s">
        <v>2029</v>
      </c>
      <c r="AB1491" t="s">
        <v>14098</v>
      </c>
      <c r="AC1491" t="s">
        <v>15171</v>
      </c>
      <c r="AD1491" t="s">
        <v>16530</v>
      </c>
      <c r="AE1491" t="s">
        <v>13051</v>
      </c>
      <c r="AF1491" t="s">
        <v>2909</v>
      </c>
      <c r="AG1491" t="s">
        <v>2915</v>
      </c>
      <c r="AH1491">
        <v>25</v>
      </c>
      <c r="AI1491">
        <v>2</v>
      </c>
      <c r="AJ1491">
        <v>0</v>
      </c>
      <c r="AK1491">
        <v>61.74</v>
      </c>
      <c r="AN1491" t="s">
        <v>2926</v>
      </c>
      <c r="AO1491">
        <v>10440</v>
      </c>
      <c r="AU1491">
        <v>0.75</v>
      </c>
      <c r="AV1491" t="s">
        <v>361</v>
      </c>
      <c r="AW1491" t="s">
        <v>3061</v>
      </c>
      <c r="AX1491" t="s">
        <v>18686</v>
      </c>
    </row>
    <row r="1492" spans="1:50">
      <c r="A1492" s="1" t="s">
        <v>71</v>
      </c>
      <c r="B1492" t="s">
        <v>164</v>
      </c>
      <c r="C1492" t="s">
        <v>4702</v>
      </c>
      <c r="D1492" t="s">
        <v>279</v>
      </c>
      <c r="E1492" t="s">
        <v>338</v>
      </c>
      <c r="F1492" t="s">
        <v>7437</v>
      </c>
      <c r="G1492" t="s">
        <v>8581</v>
      </c>
      <c r="H1492" t="s">
        <v>10045</v>
      </c>
      <c r="I1492" t="s">
        <v>1542</v>
      </c>
      <c r="J1492" t="s">
        <v>1646</v>
      </c>
      <c r="K1492">
        <v>10304</v>
      </c>
      <c r="L1492" t="s">
        <v>1670</v>
      </c>
      <c r="M1492" t="s">
        <v>1670</v>
      </c>
      <c r="N1492" t="s">
        <v>12260</v>
      </c>
      <c r="O1492" t="s">
        <v>1940</v>
      </c>
      <c r="P1492" t="s">
        <v>1960</v>
      </c>
      <c r="Q1492" t="s">
        <v>1969</v>
      </c>
      <c r="R1492" t="s">
        <v>50</v>
      </c>
      <c r="S1492" t="s">
        <v>1671</v>
      </c>
      <c r="U1492" t="s">
        <v>1972</v>
      </c>
      <c r="V1492" t="s">
        <v>1983</v>
      </c>
      <c r="W1492" t="s">
        <v>279</v>
      </c>
      <c r="X1492">
        <v>462</v>
      </c>
      <c r="Y1492" t="s">
        <v>2010</v>
      </c>
      <c r="Z1492" t="s">
        <v>2014</v>
      </c>
      <c r="AA1492" t="s">
        <v>2033</v>
      </c>
      <c r="AB1492" t="s">
        <v>14099</v>
      </c>
      <c r="AD1492" t="s">
        <v>16531</v>
      </c>
      <c r="AE1492">
        <v>2</v>
      </c>
      <c r="AF1492" t="s">
        <v>2903</v>
      </c>
      <c r="AG1492" t="s">
        <v>2915</v>
      </c>
      <c r="AH1492">
        <v>2</v>
      </c>
      <c r="AI1492">
        <v>2</v>
      </c>
      <c r="AJ1492">
        <v>0</v>
      </c>
      <c r="AK1492">
        <v>61.92</v>
      </c>
      <c r="AN1492" t="s">
        <v>2926</v>
      </c>
      <c r="AO1492">
        <v>10192</v>
      </c>
      <c r="AQ1492" t="s">
        <v>2979</v>
      </c>
      <c r="AR1492" t="s">
        <v>2984</v>
      </c>
      <c r="AS1492" t="s">
        <v>2993</v>
      </c>
      <c r="AT1492" t="s">
        <v>18505</v>
      </c>
      <c r="AU1492">
        <v>5.7</v>
      </c>
      <c r="AV1492" t="s">
        <v>338</v>
      </c>
      <c r="AW1492" t="s">
        <v>71</v>
      </c>
    </row>
    <row r="1493" spans="1:50">
      <c r="A1493" s="1" t="s">
        <v>111</v>
      </c>
      <c r="B1493" t="s">
        <v>163</v>
      </c>
      <c r="C1493" t="s">
        <v>4703</v>
      </c>
      <c r="D1493" t="s">
        <v>174</v>
      </c>
      <c r="F1493" t="s">
        <v>6959</v>
      </c>
      <c r="G1493" t="s">
        <v>8582</v>
      </c>
      <c r="H1493" t="s">
        <v>1260</v>
      </c>
      <c r="I1493" t="s">
        <v>1519</v>
      </c>
      <c r="J1493" t="s">
        <v>1641</v>
      </c>
      <c r="K1493">
        <v>10453</v>
      </c>
      <c r="L1493" t="s">
        <v>1670</v>
      </c>
      <c r="M1493" t="s">
        <v>1670</v>
      </c>
      <c r="O1493" t="s">
        <v>1938</v>
      </c>
      <c r="P1493" t="s">
        <v>1961</v>
      </c>
      <c r="R1493" t="s">
        <v>50</v>
      </c>
      <c r="S1493" t="s">
        <v>1670</v>
      </c>
      <c r="U1493" t="s">
        <v>1972</v>
      </c>
      <c r="W1493" t="s">
        <v>283</v>
      </c>
      <c r="X1493">
        <v>187</v>
      </c>
      <c r="Y1493" t="s">
        <v>2006</v>
      </c>
      <c r="Z1493" t="s">
        <v>2015</v>
      </c>
      <c r="AB1493" t="s">
        <v>14100</v>
      </c>
      <c r="AD1493" t="s">
        <v>16532</v>
      </c>
      <c r="AE1493">
        <v>44</v>
      </c>
      <c r="AF1493" t="s">
        <v>2902</v>
      </c>
      <c r="AG1493" t="s">
        <v>2915</v>
      </c>
      <c r="AH1493">
        <v>25</v>
      </c>
      <c r="AI1493">
        <v>1</v>
      </c>
      <c r="AJ1493">
        <v>0</v>
      </c>
      <c r="AK1493">
        <v>62.16</v>
      </c>
      <c r="AN1493" t="s">
        <v>2927</v>
      </c>
      <c r="AO1493">
        <v>7764</v>
      </c>
      <c r="AU1493" t="s">
        <v>13051</v>
      </c>
      <c r="AW1493" t="s">
        <v>3047</v>
      </c>
    </row>
    <row r="1494" spans="1:50">
      <c r="A1494" s="1" t="s">
        <v>135</v>
      </c>
      <c r="B1494" t="s">
        <v>164</v>
      </c>
      <c r="C1494" t="s">
        <v>4704</v>
      </c>
      <c r="D1494" t="s">
        <v>384</v>
      </c>
      <c r="E1494" t="s">
        <v>361</v>
      </c>
      <c r="F1494" t="s">
        <v>7438</v>
      </c>
      <c r="G1494" t="s">
        <v>832</v>
      </c>
      <c r="H1494" t="s">
        <v>9632</v>
      </c>
      <c r="I1494" t="s">
        <v>1504</v>
      </c>
      <c r="J1494" t="s">
        <v>1644</v>
      </c>
      <c r="K1494">
        <v>11212</v>
      </c>
      <c r="L1494" t="s">
        <v>1670</v>
      </c>
      <c r="M1494" t="s">
        <v>1670</v>
      </c>
      <c r="N1494" t="s">
        <v>1693</v>
      </c>
      <c r="O1494" t="s">
        <v>1938</v>
      </c>
      <c r="P1494" t="s">
        <v>1958</v>
      </c>
      <c r="Q1494" t="s">
        <v>1965</v>
      </c>
      <c r="R1494" t="s">
        <v>50</v>
      </c>
      <c r="S1494" t="s">
        <v>1670</v>
      </c>
      <c r="U1494" t="s">
        <v>1972</v>
      </c>
      <c r="V1494" t="s">
        <v>1984</v>
      </c>
      <c r="W1494" t="s">
        <v>253</v>
      </c>
      <c r="X1494">
        <v>1386</v>
      </c>
      <c r="Y1494" t="s">
        <v>2009</v>
      </c>
      <c r="Z1494" t="s">
        <v>2015</v>
      </c>
      <c r="AA1494" t="s">
        <v>2029</v>
      </c>
      <c r="AB1494" t="s">
        <v>14101</v>
      </c>
      <c r="AC1494" t="s">
        <v>1754</v>
      </c>
      <c r="AE1494">
        <v>38</v>
      </c>
      <c r="AF1494" t="s">
        <v>2902</v>
      </c>
      <c r="AG1494" t="s">
        <v>2017</v>
      </c>
      <c r="AH1494">
        <v>4</v>
      </c>
      <c r="AI1494">
        <v>1</v>
      </c>
      <c r="AJ1494">
        <v>0</v>
      </c>
      <c r="AK1494">
        <v>62.45</v>
      </c>
      <c r="AN1494" t="s">
        <v>2926</v>
      </c>
      <c r="AO1494">
        <v>7800</v>
      </c>
      <c r="AU1494">
        <v>0.1</v>
      </c>
      <c r="AV1494" t="s">
        <v>361</v>
      </c>
      <c r="AW1494" t="s">
        <v>3059</v>
      </c>
      <c r="AX1494" t="s">
        <v>18685</v>
      </c>
    </row>
    <row r="1495" spans="1:50">
      <c r="A1495" s="1" t="s">
        <v>153</v>
      </c>
      <c r="B1495" t="s">
        <v>163</v>
      </c>
      <c r="C1495" t="s">
        <v>4705</v>
      </c>
      <c r="D1495" t="s">
        <v>170</v>
      </c>
      <c r="F1495" t="s">
        <v>415</v>
      </c>
      <c r="G1495" t="s">
        <v>8583</v>
      </c>
      <c r="H1495" t="s">
        <v>10046</v>
      </c>
      <c r="I1495" t="s">
        <v>11232</v>
      </c>
      <c r="J1495" t="s">
        <v>1641</v>
      </c>
      <c r="K1495">
        <v>10466</v>
      </c>
      <c r="L1495" t="s">
        <v>1670</v>
      </c>
      <c r="M1495" t="s">
        <v>1670</v>
      </c>
      <c r="P1495" t="s">
        <v>1958</v>
      </c>
      <c r="R1495" t="s">
        <v>50</v>
      </c>
      <c r="S1495" t="s">
        <v>1671</v>
      </c>
      <c r="U1495" t="s">
        <v>1972</v>
      </c>
      <c r="W1495" t="s">
        <v>1991</v>
      </c>
      <c r="X1495">
        <v>700</v>
      </c>
      <c r="Y1495" t="s">
        <v>2006</v>
      </c>
      <c r="Z1495" t="s">
        <v>2015</v>
      </c>
      <c r="AB1495" t="s">
        <v>13705</v>
      </c>
      <c r="AD1495" t="s">
        <v>15077</v>
      </c>
      <c r="AE1495" t="s">
        <v>13051</v>
      </c>
      <c r="AF1495" t="s">
        <v>2904</v>
      </c>
      <c r="AH1495">
        <v>1</v>
      </c>
      <c r="AI1495">
        <v>1</v>
      </c>
      <c r="AJ1495">
        <v>0</v>
      </c>
      <c r="AK1495">
        <v>62.45</v>
      </c>
      <c r="AN1495" t="s">
        <v>2926</v>
      </c>
      <c r="AO1495">
        <v>7800</v>
      </c>
      <c r="AU1495" t="s">
        <v>13051</v>
      </c>
      <c r="AW1495" t="s">
        <v>18660</v>
      </c>
      <c r="AX1495" t="s">
        <v>18685</v>
      </c>
    </row>
    <row r="1496" spans="1:50">
      <c r="A1496" s="1" t="s">
        <v>116</v>
      </c>
      <c r="B1496" t="s">
        <v>163</v>
      </c>
      <c r="C1496" t="s">
        <v>4706</v>
      </c>
      <c r="D1496" t="s">
        <v>237</v>
      </c>
      <c r="F1496" t="s">
        <v>7439</v>
      </c>
      <c r="G1496" t="s">
        <v>8584</v>
      </c>
      <c r="H1496" t="s">
        <v>10047</v>
      </c>
      <c r="I1496" t="s">
        <v>1477</v>
      </c>
      <c r="J1496" t="s">
        <v>1643</v>
      </c>
      <c r="K1496">
        <v>10128</v>
      </c>
      <c r="L1496" t="s">
        <v>1670</v>
      </c>
      <c r="M1496" t="s">
        <v>1670</v>
      </c>
      <c r="N1496" t="s">
        <v>12261</v>
      </c>
      <c r="O1496" t="s">
        <v>1936</v>
      </c>
      <c r="P1496" t="s">
        <v>1960</v>
      </c>
      <c r="R1496" t="s">
        <v>50</v>
      </c>
      <c r="S1496" t="s">
        <v>1671</v>
      </c>
      <c r="U1496" t="s">
        <v>1972</v>
      </c>
      <c r="V1496" t="s">
        <v>1984</v>
      </c>
      <c r="W1496" t="s">
        <v>237</v>
      </c>
      <c r="X1496">
        <v>1660.44</v>
      </c>
      <c r="Y1496" t="s">
        <v>2008</v>
      </c>
      <c r="Z1496" t="s">
        <v>2021</v>
      </c>
      <c r="AB1496" t="s">
        <v>14102</v>
      </c>
      <c r="AD1496" t="s">
        <v>16533</v>
      </c>
      <c r="AE1496">
        <v>19</v>
      </c>
      <c r="AF1496" t="s">
        <v>2902</v>
      </c>
      <c r="AG1496" t="s">
        <v>1754</v>
      </c>
      <c r="AH1496">
        <v>3</v>
      </c>
      <c r="AI1496">
        <v>1</v>
      </c>
      <c r="AJ1496">
        <v>0</v>
      </c>
      <c r="AK1496">
        <v>62.45</v>
      </c>
      <c r="AN1496" t="s">
        <v>2926</v>
      </c>
      <c r="AO1496">
        <v>7800</v>
      </c>
      <c r="AQ1496" t="s">
        <v>2978</v>
      </c>
      <c r="AR1496" t="s">
        <v>2017</v>
      </c>
      <c r="AS1496" t="s">
        <v>2993</v>
      </c>
      <c r="AT1496" t="s">
        <v>3028</v>
      </c>
      <c r="AU1496">
        <v>20.2</v>
      </c>
      <c r="AV1496" t="s">
        <v>405</v>
      </c>
      <c r="AW1496" t="s">
        <v>3051</v>
      </c>
      <c r="AX1496" t="s">
        <v>18685</v>
      </c>
    </row>
    <row r="1497" spans="1:50">
      <c r="A1497" s="1" t="s">
        <v>94</v>
      </c>
      <c r="B1497" t="s">
        <v>164</v>
      </c>
      <c r="C1497" t="s">
        <v>4707</v>
      </c>
      <c r="D1497" t="s">
        <v>211</v>
      </c>
      <c r="E1497" t="s">
        <v>211</v>
      </c>
      <c r="F1497" t="s">
        <v>7440</v>
      </c>
      <c r="G1497" t="s">
        <v>8585</v>
      </c>
      <c r="H1497" t="s">
        <v>10048</v>
      </c>
      <c r="I1497" t="s">
        <v>1520</v>
      </c>
      <c r="J1497" t="s">
        <v>1643</v>
      </c>
      <c r="K1497">
        <v>10034</v>
      </c>
      <c r="L1497" t="s">
        <v>1670</v>
      </c>
      <c r="M1497" t="s">
        <v>1670</v>
      </c>
      <c r="O1497" t="s">
        <v>1940</v>
      </c>
      <c r="P1497" t="s">
        <v>1958</v>
      </c>
      <c r="Q1497" t="s">
        <v>1965</v>
      </c>
      <c r="R1497" t="s">
        <v>50</v>
      </c>
      <c r="S1497" t="s">
        <v>1671</v>
      </c>
      <c r="U1497" t="s">
        <v>1972</v>
      </c>
      <c r="W1497" t="s">
        <v>211</v>
      </c>
      <c r="X1497">
        <v>871.59</v>
      </c>
      <c r="Y1497" t="s">
        <v>2008</v>
      </c>
      <c r="Z1497" t="s">
        <v>2013</v>
      </c>
      <c r="AA1497" t="s">
        <v>2029</v>
      </c>
      <c r="AB1497" t="s">
        <v>14103</v>
      </c>
      <c r="AD1497" t="s">
        <v>16534</v>
      </c>
      <c r="AE1497" t="s">
        <v>13051</v>
      </c>
      <c r="AF1497" t="s">
        <v>2902</v>
      </c>
      <c r="AG1497" t="s">
        <v>1754</v>
      </c>
      <c r="AH1497">
        <v>12</v>
      </c>
      <c r="AI1497">
        <v>2</v>
      </c>
      <c r="AJ1497">
        <v>0</v>
      </c>
      <c r="AK1497">
        <v>62.48</v>
      </c>
      <c r="AN1497" t="s">
        <v>2927</v>
      </c>
      <c r="AO1497">
        <v>10284</v>
      </c>
      <c r="AU1497">
        <v>1</v>
      </c>
      <c r="AV1497" t="s">
        <v>211</v>
      </c>
      <c r="AW1497" t="s">
        <v>3042</v>
      </c>
    </row>
    <row r="1498" spans="1:50">
      <c r="A1498" s="1" t="s">
        <v>96</v>
      </c>
      <c r="B1498" t="s">
        <v>163</v>
      </c>
      <c r="C1498" t="s">
        <v>4708</v>
      </c>
      <c r="D1498" t="s">
        <v>202</v>
      </c>
      <c r="F1498" t="s">
        <v>7432</v>
      </c>
      <c r="G1498" t="s">
        <v>8576</v>
      </c>
      <c r="H1498" t="s">
        <v>9428</v>
      </c>
      <c r="J1498" t="s">
        <v>1644</v>
      </c>
      <c r="K1498">
        <v>11226</v>
      </c>
      <c r="L1498" t="s">
        <v>1671</v>
      </c>
      <c r="M1498" t="s">
        <v>1670</v>
      </c>
      <c r="N1498" t="s">
        <v>12071</v>
      </c>
      <c r="O1498" t="s">
        <v>1938</v>
      </c>
      <c r="P1498" t="s">
        <v>1961</v>
      </c>
      <c r="R1498" t="s">
        <v>50</v>
      </c>
      <c r="S1498" t="s">
        <v>1670</v>
      </c>
      <c r="U1498" t="s">
        <v>1972</v>
      </c>
      <c r="W1498" t="s">
        <v>176</v>
      </c>
      <c r="X1498">
        <v>856.9299999999999</v>
      </c>
      <c r="Y1498" t="s">
        <v>2009</v>
      </c>
      <c r="Z1498" t="s">
        <v>2016</v>
      </c>
      <c r="AB1498" t="s">
        <v>14094</v>
      </c>
      <c r="AD1498" t="s">
        <v>16522</v>
      </c>
      <c r="AE1498">
        <v>43</v>
      </c>
      <c r="AF1498" t="s">
        <v>2902</v>
      </c>
      <c r="AH1498">
        <v>40</v>
      </c>
      <c r="AI1498">
        <v>2</v>
      </c>
      <c r="AJ1498">
        <v>0</v>
      </c>
      <c r="AK1498">
        <v>62.7</v>
      </c>
      <c r="AN1498" t="s">
        <v>2926</v>
      </c>
      <c r="AO1498">
        <v>10320</v>
      </c>
      <c r="AQ1498" t="s">
        <v>2976</v>
      </c>
      <c r="AU1498">
        <v>2.6</v>
      </c>
      <c r="AV1498" t="s">
        <v>193</v>
      </c>
      <c r="AW1498" t="s">
        <v>158</v>
      </c>
    </row>
    <row r="1499" spans="1:50">
      <c r="A1499" s="1" t="s">
        <v>73</v>
      </c>
      <c r="B1499" t="s">
        <v>163</v>
      </c>
      <c r="C1499" t="s">
        <v>4709</v>
      </c>
      <c r="D1499" t="s">
        <v>317</v>
      </c>
      <c r="F1499" t="s">
        <v>7441</v>
      </c>
      <c r="G1499" t="s">
        <v>8586</v>
      </c>
      <c r="H1499" t="s">
        <v>9890</v>
      </c>
      <c r="I1499" t="s">
        <v>10991</v>
      </c>
      <c r="J1499" t="s">
        <v>1645</v>
      </c>
      <c r="K1499">
        <v>11691</v>
      </c>
      <c r="L1499" t="s">
        <v>1670</v>
      </c>
      <c r="M1499" t="s">
        <v>1670</v>
      </c>
      <c r="O1499" t="s">
        <v>1953</v>
      </c>
      <c r="P1499" t="s">
        <v>1962</v>
      </c>
      <c r="R1499" t="s">
        <v>50</v>
      </c>
      <c r="S1499" t="s">
        <v>1671</v>
      </c>
      <c r="U1499" t="s">
        <v>1972</v>
      </c>
      <c r="W1499" t="s">
        <v>317</v>
      </c>
      <c r="X1499">
        <v>940</v>
      </c>
      <c r="Y1499" t="s">
        <v>2007</v>
      </c>
      <c r="Z1499" t="s">
        <v>2013</v>
      </c>
      <c r="AB1499" t="s">
        <v>14104</v>
      </c>
      <c r="AC1499" t="s">
        <v>15172</v>
      </c>
      <c r="AD1499" t="s">
        <v>16535</v>
      </c>
      <c r="AE1499">
        <v>240</v>
      </c>
      <c r="AF1499" t="s">
        <v>2906</v>
      </c>
      <c r="AG1499" t="s">
        <v>2915</v>
      </c>
      <c r="AH1499">
        <v>4</v>
      </c>
      <c r="AI1499">
        <v>1</v>
      </c>
      <c r="AJ1499">
        <v>0</v>
      </c>
      <c r="AK1499">
        <v>62.74</v>
      </c>
      <c r="AN1499" t="s">
        <v>2926</v>
      </c>
      <c r="AO1499">
        <v>7836</v>
      </c>
      <c r="AR1499" t="s">
        <v>2017</v>
      </c>
      <c r="AU1499">
        <v>1.3</v>
      </c>
      <c r="AV1499" t="s">
        <v>3031</v>
      </c>
      <c r="AW1499" t="s">
        <v>3044</v>
      </c>
    </row>
    <row r="1500" spans="1:50">
      <c r="A1500" s="1" t="s">
        <v>3172</v>
      </c>
      <c r="B1500" t="s">
        <v>164</v>
      </c>
      <c r="C1500" t="s">
        <v>4710</v>
      </c>
      <c r="D1500" t="s">
        <v>317</v>
      </c>
      <c r="E1500" t="s">
        <v>191</v>
      </c>
      <c r="F1500" t="s">
        <v>7441</v>
      </c>
      <c r="G1500" t="s">
        <v>8586</v>
      </c>
      <c r="H1500" t="s">
        <v>9890</v>
      </c>
      <c r="I1500" t="s">
        <v>10991</v>
      </c>
      <c r="J1500" t="s">
        <v>1645</v>
      </c>
      <c r="K1500">
        <v>11691</v>
      </c>
      <c r="L1500" t="s">
        <v>1670</v>
      </c>
      <c r="M1500" t="s">
        <v>1670</v>
      </c>
      <c r="N1500" t="s">
        <v>12262</v>
      </c>
      <c r="O1500" t="s">
        <v>1936</v>
      </c>
      <c r="P1500" t="s">
        <v>1960</v>
      </c>
      <c r="Q1500" t="s">
        <v>1969</v>
      </c>
      <c r="R1500" t="s">
        <v>50</v>
      </c>
      <c r="S1500" t="s">
        <v>1671</v>
      </c>
      <c r="U1500" t="s">
        <v>1972</v>
      </c>
      <c r="V1500" t="s">
        <v>1983</v>
      </c>
      <c r="W1500" t="s">
        <v>317</v>
      </c>
      <c r="X1500">
        <v>940</v>
      </c>
      <c r="Y1500" t="s">
        <v>2007</v>
      </c>
      <c r="Z1500" t="s">
        <v>2013</v>
      </c>
      <c r="AA1500" t="s">
        <v>2032</v>
      </c>
      <c r="AB1500" t="s">
        <v>14104</v>
      </c>
      <c r="AC1500" t="s">
        <v>15172</v>
      </c>
      <c r="AD1500" t="s">
        <v>16535</v>
      </c>
      <c r="AE1500">
        <v>240</v>
      </c>
      <c r="AF1500" t="s">
        <v>2906</v>
      </c>
      <c r="AG1500" t="s">
        <v>2915</v>
      </c>
      <c r="AH1500">
        <v>4</v>
      </c>
      <c r="AI1500">
        <v>1</v>
      </c>
      <c r="AJ1500">
        <v>0</v>
      </c>
      <c r="AK1500">
        <v>62.74</v>
      </c>
      <c r="AN1500" t="s">
        <v>2926</v>
      </c>
      <c r="AO1500">
        <v>7836</v>
      </c>
      <c r="AQ1500" t="s">
        <v>2976</v>
      </c>
      <c r="AR1500" t="s">
        <v>2982</v>
      </c>
      <c r="AS1500" t="s">
        <v>2992</v>
      </c>
      <c r="AT1500" t="s">
        <v>18550</v>
      </c>
      <c r="AU1500">
        <v>0.45</v>
      </c>
      <c r="AV1500" t="s">
        <v>191</v>
      </c>
      <c r="AW1500" t="s">
        <v>3044</v>
      </c>
    </row>
    <row r="1501" spans="1:50">
      <c r="A1501" s="1" t="s">
        <v>3147</v>
      </c>
      <c r="B1501" t="s">
        <v>164</v>
      </c>
      <c r="C1501" t="s">
        <v>4711</v>
      </c>
      <c r="D1501" t="s">
        <v>184</v>
      </c>
      <c r="E1501" t="s">
        <v>306</v>
      </c>
      <c r="F1501" t="s">
        <v>431</v>
      </c>
      <c r="G1501" t="s">
        <v>8587</v>
      </c>
      <c r="H1501" t="s">
        <v>10049</v>
      </c>
      <c r="I1501" t="s">
        <v>1478</v>
      </c>
      <c r="J1501" t="s">
        <v>11753</v>
      </c>
      <c r="K1501">
        <v>11373</v>
      </c>
      <c r="L1501" t="s">
        <v>1670</v>
      </c>
      <c r="M1501" t="s">
        <v>1670</v>
      </c>
      <c r="N1501" t="s">
        <v>1754</v>
      </c>
      <c r="O1501" t="s">
        <v>1675</v>
      </c>
      <c r="P1501" t="s">
        <v>1958</v>
      </c>
      <c r="Q1501" t="s">
        <v>1965</v>
      </c>
      <c r="R1501" t="s">
        <v>50</v>
      </c>
      <c r="S1501" t="s">
        <v>1671</v>
      </c>
      <c r="U1501" t="s">
        <v>1972</v>
      </c>
      <c r="V1501" t="s">
        <v>1984</v>
      </c>
      <c r="W1501" t="s">
        <v>323</v>
      </c>
      <c r="X1501">
        <v>849</v>
      </c>
      <c r="Y1501" t="s">
        <v>2007</v>
      </c>
      <c r="Z1501" t="s">
        <v>2028</v>
      </c>
      <c r="AA1501" t="s">
        <v>2029</v>
      </c>
      <c r="AB1501" t="s">
        <v>14105</v>
      </c>
      <c r="AC1501" t="s">
        <v>15077</v>
      </c>
      <c r="AD1501" t="s">
        <v>15077</v>
      </c>
      <c r="AE1501">
        <v>66</v>
      </c>
      <c r="AF1501" t="s">
        <v>2902</v>
      </c>
      <c r="AG1501" t="s">
        <v>2919</v>
      </c>
      <c r="AH1501">
        <v>40</v>
      </c>
      <c r="AI1501">
        <v>2</v>
      </c>
      <c r="AJ1501">
        <v>0</v>
      </c>
      <c r="AK1501">
        <v>63.06</v>
      </c>
      <c r="AN1501" t="s">
        <v>2926</v>
      </c>
      <c r="AO1501">
        <v>10380</v>
      </c>
      <c r="AU1501">
        <v>4.9</v>
      </c>
      <c r="AV1501" t="s">
        <v>166</v>
      </c>
      <c r="AW1501" t="s">
        <v>85</v>
      </c>
    </row>
    <row r="1502" spans="1:50">
      <c r="A1502" s="1" t="s">
        <v>3187</v>
      </c>
      <c r="B1502" t="s">
        <v>164</v>
      </c>
      <c r="C1502" t="s">
        <v>4712</v>
      </c>
      <c r="D1502" t="s">
        <v>168</v>
      </c>
      <c r="E1502" t="s">
        <v>359</v>
      </c>
      <c r="F1502" t="s">
        <v>7433</v>
      </c>
      <c r="G1502" t="s">
        <v>8577</v>
      </c>
      <c r="H1502" t="s">
        <v>10050</v>
      </c>
      <c r="I1502" t="s">
        <v>11229</v>
      </c>
      <c r="J1502" t="s">
        <v>1668</v>
      </c>
      <c r="K1502">
        <v>11354</v>
      </c>
      <c r="L1502" t="s">
        <v>1670</v>
      </c>
      <c r="M1502" t="s">
        <v>1670</v>
      </c>
      <c r="N1502" t="s">
        <v>12255</v>
      </c>
      <c r="O1502" t="s">
        <v>1939</v>
      </c>
      <c r="P1502" t="s">
        <v>1960</v>
      </c>
      <c r="Q1502" t="s">
        <v>1969</v>
      </c>
      <c r="R1502" t="s">
        <v>50</v>
      </c>
      <c r="S1502" t="s">
        <v>1670</v>
      </c>
      <c r="U1502" t="s">
        <v>1972</v>
      </c>
      <c r="V1502" t="s">
        <v>1984</v>
      </c>
      <c r="W1502" t="s">
        <v>251</v>
      </c>
      <c r="X1502">
        <v>1100</v>
      </c>
      <c r="Y1502" t="s">
        <v>2007</v>
      </c>
      <c r="Z1502" t="s">
        <v>2014</v>
      </c>
      <c r="AA1502" t="s">
        <v>2031</v>
      </c>
      <c r="AB1502" t="s">
        <v>14095</v>
      </c>
      <c r="AC1502" t="s">
        <v>15169</v>
      </c>
      <c r="AD1502" t="s">
        <v>16523</v>
      </c>
      <c r="AE1502">
        <v>200</v>
      </c>
      <c r="AF1502" t="s">
        <v>2902</v>
      </c>
      <c r="AG1502" t="s">
        <v>2919</v>
      </c>
      <c r="AH1502">
        <v>58</v>
      </c>
      <c r="AI1502">
        <v>1</v>
      </c>
      <c r="AJ1502">
        <v>0</v>
      </c>
      <c r="AK1502">
        <v>63.06</v>
      </c>
      <c r="AN1502" t="s">
        <v>2927</v>
      </c>
      <c r="AO1502">
        <v>7656</v>
      </c>
      <c r="AQ1502" t="s">
        <v>2979</v>
      </c>
      <c r="AR1502" t="s">
        <v>18453</v>
      </c>
      <c r="AS1502" t="s">
        <v>2992</v>
      </c>
      <c r="AT1502" t="s">
        <v>18551</v>
      </c>
      <c r="AU1502">
        <v>18.4</v>
      </c>
      <c r="AV1502" t="s">
        <v>191</v>
      </c>
      <c r="AW1502" t="s">
        <v>89</v>
      </c>
    </row>
    <row r="1503" spans="1:50">
      <c r="A1503" s="1" t="s">
        <v>91</v>
      </c>
      <c r="B1503" t="s">
        <v>163</v>
      </c>
      <c r="C1503" t="s">
        <v>4713</v>
      </c>
      <c r="D1503" t="s">
        <v>315</v>
      </c>
      <c r="F1503" t="s">
        <v>7442</v>
      </c>
      <c r="G1503" t="s">
        <v>8588</v>
      </c>
      <c r="H1503" t="s">
        <v>10051</v>
      </c>
      <c r="I1503" t="s">
        <v>1534</v>
      </c>
      <c r="J1503" t="s">
        <v>1643</v>
      </c>
      <c r="K1503">
        <v>10031</v>
      </c>
      <c r="L1503" t="s">
        <v>1670</v>
      </c>
      <c r="M1503" t="s">
        <v>1670</v>
      </c>
      <c r="P1503" t="s">
        <v>1960</v>
      </c>
      <c r="R1503" t="s">
        <v>50</v>
      </c>
      <c r="S1503" t="s">
        <v>1671</v>
      </c>
      <c r="U1503" t="s">
        <v>1972</v>
      </c>
      <c r="W1503" t="s">
        <v>315</v>
      </c>
      <c r="X1503">
        <v>818</v>
      </c>
      <c r="Y1503" t="s">
        <v>2008</v>
      </c>
      <c r="Z1503" t="s">
        <v>2013</v>
      </c>
      <c r="AB1503" t="s">
        <v>14106</v>
      </c>
      <c r="AC1503" t="s">
        <v>15173</v>
      </c>
      <c r="AE1503" t="s">
        <v>13051</v>
      </c>
      <c r="AF1503" t="s">
        <v>2902</v>
      </c>
      <c r="AG1503" t="s">
        <v>1754</v>
      </c>
      <c r="AH1503" t="s">
        <v>13051</v>
      </c>
      <c r="AI1503">
        <v>4</v>
      </c>
      <c r="AJ1503">
        <v>0</v>
      </c>
      <c r="AK1503">
        <v>63.11</v>
      </c>
      <c r="AN1503" t="s">
        <v>2927</v>
      </c>
      <c r="AO1503">
        <v>15840</v>
      </c>
      <c r="AU1503">
        <v>52.5</v>
      </c>
      <c r="AV1503" t="s">
        <v>333</v>
      </c>
      <c r="AW1503" t="s">
        <v>3042</v>
      </c>
    </row>
    <row r="1504" spans="1:50">
      <c r="A1504" s="1" t="s">
        <v>79</v>
      </c>
      <c r="B1504" t="s">
        <v>163</v>
      </c>
      <c r="C1504" t="s">
        <v>4714</v>
      </c>
      <c r="D1504" t="s">
        <v>347</v>
      </c>
      <c r="F1504" t="s">
        <v>7435</v>
      </c>
      <c r="G1504" t="s">
        <v>8579</v>
      </c>
      <c r="H1504" t="s">
        <v>10042</v>
      </c>
      <c r="I1504">
        <v>201</v>
      </c>
      <c r="J1504" t="s">
        <v>1643</v>
      </c>
      <c r="K1504">
        <v>10025</v>
      </c>
      <c r="L1504" t="s">
        <v>1670</v>
      </c>
      <c r="M1504" t="s">
        <v>1670</v>
      </c>
      <c r="P1504" t="s">
        <v>1962</v>
      </c>
      <c r="R1504" t="s">
        <v>50</v>
      </c>
      <c r="U1504" t="s">
        <v>13033</v>
      </c>
      <c r="W1504" t="s">
        <v>347</v>
      </c>
      <c r="X1504" t="s">
        <v>13051</v>
      </c>
      <c r="Y1504" t="s">
        <v>2009</v>
      </c>
      <c r="AB1504" t="s">
        <v>14097</v>
      </c>
      <c r="AD1504" t="s">
        <v>16527</v>
      </c>
      <c r="AE1504" t="s">
        <v>13051</v>
      </c>
      <c r="AH1504" t="s">
        <v>13051</v>
      </c>
      <c r="AI1504">
        <v>2</v>
      </c>
      <c r="AJ1504">
        <v>0</v>
      </c>
      <c r="AK1504">
        <v>63.18</v>
      </c>
      <c r="AN1504" t="s">
        <v>2926</v>
      </c>
      <c r="AO1504">
        <v>10400</v>
      </c>
      <c r="AP1504" t="s">
        <v>18286</v>
      </c>
      <c r="AU1504">
        <v>9.25</v>
      </c>
      <c r="AV1504" t="s">
        <v>325</v>
      </c>
      <c r="AW1504" t="s">
        <v>79</v>
      </c>
    </row>
    <row r="1505" spans="1:50">
      <c r="A1505" s="1" t="s">
        <v>70</v>
      </c>
      <c r="B1505" t="s">
        <v>164</v>
      </c>
      <c r="C1505" t="s">
        <v>4715</v>
      </c>
      <c r="D1505" t="s">
        <v>2003</v>
      </c>
      <c r="E1505" t="s">
        <v>176</v>
      </c>
      <c r="F1505" t="s">
        <v>7205</v>
      </c>
      <c r="G1505" t="s">
        <v>7916</v>
      </c>
      <c r="H1505" t="s">
        <v>10052</v>
      </c>
      <c r="I1505" t="s">
        <v>1570</v>
      </c>
      <c r="J1505" t="s">
        <v>1641</v>
      </c>
      <c r="K1505">
        <v>10459</v>
      </c>
      <c r="L1505" t="s">
        <v>1670</v>
      </c>
      <c r="M1505" t="s">
        <v>1670</v>
      </c>
      <c r="N1505" t="s">
        <v>12263</v>
      </c>
      <c r="O1505" t="s">
        <v>1940</v>
      </c>
      <c r="P1505" t="s">
        <v>1960</v>
      </c>
      <c r="Q1505" t="s">
        <v>1971</v>
      </c>
      <c r="R1505" t="s">
        <v>50</v>
      </c>
      <c r="S1505" t="s">
        <v>1671</v>
      </c>
      <c r="U1505" t="s">
        <v>1972</v>
      </c>
      <c r="V1505" t="s">
        <v>1986</v>
      </c>
      <c r="W1505" t="s">
        <v>216</v>
      </c>
      <c r="X1505">
        <v>605</v>
      </c>
      <c r="Y1505" t="s">
        <v>2006</v>
      </c>
      <c r="Z1505" t="s">
        <v>2023</v>
      </c>
      <c r="AA1505" t="s">
        <v>2042</v>
      </c>
      <c r="AB1505" t="s">
        <v>14107</v>
      </c>
      <c r="AD1505" t="s">
        <v>16536</v>
      </c>
      <c r="AE1505">
        <v>44</v>
      </c>
      <c r="AF1505" t="s">
        <v>2902</v>
      </c>
      <c r="AH1505">
        <v>34</v>
      </c>
      <c r="AI1505">
        <v>2</v>
      </c>
      <c r="AJ1505">
        <v>0</v>
      </c>
      <c r="AK1505">
        <v>63.18</v>
      </c>
      <c r="AN1505" t="s">
        <v>2926</v>
      </c>
      <c r="AO1505">
        <v>10400</v>
      </c>
      <c r="AP1505" t="s">
        <v>18250</v>
      </c>
      <c r="AQ1505" t="s">
        <v>18426</v>
      </c>
      <c r="AR1505" t="s">
        <v>18457</v>
      </c>
      <c r="AS1505" t="s">
        <v>2993</v>
      </c>
      <c r="AT1505" t="s">
        <v>18552</v>
      </c>
      <c r="AU1505">
        <v>134.15</v>
      </c>
      <c r="AV1505" t="s">
        <v>176</v>
      </c>
      <c r="AW1505" t="s">
        <v>3064</v>
      </c>
    </row>
    <row r="1506" spans="1:50">
      <c r="A1506" s="1" t="s">
        <v>105</v>
      </c>
      <c r="B1506" t="s">
        <v>164</v>
      </c>
      <c r="C1506" t="s">
        <v>4716</v>
      </c>
      <c r="D1506" t="s">
        <v>2005</v>
      </c>
      <c r="E1506" t="s">
        <v>176</v>
      </c>
      <c r="F1506" t="s">
        <v>7443</v>
      </c>
      <c r="G1506" t="s">
        <v>870</v>
      </c>
      <c r="H1506" t="s">
        <v>1416</v>
      </c>
      <c r="I1506" t="s">
        <v>11233</v>
      </c>
      <c r="J1506" t="s">
        <v>1641</v>
      </c>
      <c r="K1506">
        <v>10458</v>
      </c>
      <c r="L1506" t="s">
        <v>1670</v>
      </c>
      <c r="M1506" t="s">
        <v>1670</v>
      </c>
      <c r="O1506" t="s">
        <v>1956</v>
      </c>
      <c r="P1506" t="s">
        <v>1958</v>
      </c>
      <c r="Q1506" t="s">
        <v>1965</v>
      </c>
      <c r="R1506" t="s">
        <v>50</v>
      </c>
      <c r="S1506" t="s">
        <v>1671</v>
      </c>
      <c r="U1506" t="s">
        <v>1972</v>
      </c>
      <c r="V1506" t="s">
        <v>1984</v>
      </c>
      <c r="W1506" t="s">
        <v>2005</v>
      </c>
      <c r="X1506">
        <v>1500</v>
      </c>
      <c r="Y1506" t="s">
        <v>2006</v>
      </c>
      <c r="Z1506" t="s">
        <v>2015</v>
      </c>
      <c r="AA1506" t="s">
        <v>2029</v>
      </c>
      <c r="AB1506" t="s">
        <v>14108</v>
      </c>
      <c r="AC1506" t="s">
        <v>15174</v>
      </c>
      <c r="AD1506" t="s">
        <v>16537</v>
      </c>
      <c r="AE1506">
        <v>142</v>
      </c>
      <c r="AF1506" t="s">
        <v>2904</v>
      </c>
      <c r="AG1506" t="s">
        <v>2017</v>
      </c>
      <c r="AH1506">
        <v>9</v>
      </c>
      <c r="AI1506">
        <v>1</v>
      </c>
      <c r="AJ1506">
        <v>0</v>
      </c>
      <c r="AK1506">
        <v>63.26</v>
      </c>
      <c r="AN1506" t="s">
        <v>2927</v>
      </c>
      <c r="AO1506">
        <v>7680</v>
      </c>
      <c r="AU1506">
        <v>0.1</v>
      </c>
      <c r="AV1506" t="s">
        <v>176</v>
      </c>
      <c r="AW1506" t="s">
        <v>3047</v>
      </c>
    </row>
    <row r="1507" spans="1:50">
      <c r="A1507" s="1" t="s">
        <v>91</v>
      </c>
      <c r="B1507" t="s">
        <v>163</v>
      </c>
      <c r="C1507" t="s">
        <v>4717</v>
      </c>
      <c r="D1507" t="s">
        <v>208</v>
      </c>
      <c r="F1507" t="s">
        <v>6966</v>
      </c>
      <c r="G1507" t="s">
        <v>8589</v>
      </c>
      <c r="H1507" t="s">
        <v>10053</v>
      </c>
      <c r="I1507" t="s">
        <v>11190</v>
      </c>
      <c r="J1507" t="s">
        <v>1643</v>
      </c>
      <c r="K1507">
        <v>10033</v>
      </c>
      <c r="L1507" t="s">
        <v>1670</v>
      </c>
      <c r="M1507" t="s">
        <v>1670</v>
      </c>
      <c r="P1507" t="s">
        <v>1960</v>
      </c>
      <c r="R1507" t="s">
        <v>50</v>
      </c>
      <c r="S1507" t="s">
        <v>1671</v>
      </c>
      <c r="U1507" t="s">
        <v>1972</v>
      </c>
      <c r="W1507" t="s">
        <v>208</v>
      </c>
      <c r="X1507">
        <v>1213</v>
      </c>
      <c r="Y1507" t="s">
        <v>2008</v>
      </c>
      <c r="Z1507" t="s">
        <v>2013</v>
      </c>
      <c r="AB1507" t="s">
        <v>14109</v>
      </c>
      <c r="AD1507" t="s">
        <v>16538</v>
      </c>
      <c r="AE1507">
        <v>24</v>
      </c>
      <c r="AF1507" t="s">
        <v>2902</v>
      </c>
      <c r="AG1507" t="s">
        <v>2920</v>
      </c>
      <c r="AH1507">
        <v>3</v>
      </c>
      <c r="AI1507">
        <v>1</v>
      </c>
      <c r="AJ1507">
        <v>0</v>
      </c>
      <c r="AK1507">
        <v>63.28</v>
      </c>
      <c r="AN1507" t="s">
        <v>2926</v>
      </c>
      <c r="AO1507">
        <v>7904</v>
      </c>
      <c r="AU1507">
        <v>143.1</v>
      </c>
      <c r="AV1507" t="s">
        <v>399</v>
      </c>
      <c r="AW1507" t="s">
        <v>3042</v>
      </c>
    </row>
    <row r="1508" spans="1:50">
      <c r="A1508" s="1" t="s">
        <v>146</v>
      </c>
      <c r="B1508" t="s">
        <v>164</v>
      </c>
      <c r="C1508" t="s">
        <v>4718</v>
      </c>
      <c r="D1508" t="s">
        <v>185</v>
      </c>
      <c r="E1508" t="s">
        <v>359</v>
      </c>
      <c r="F1508" t="s">
        <v>7444</v>
      </c>
      <c r="G1508" t="s">
        <v>780</v>
      </c>
      <c r="H1508" t="s">
        <v>10054</v>
      </c>
      <c r="I1508" t="s">
        <v>1517</v>
      </c>
      <c r="J1508" t="s">
        <v>1641</v>
      </c>
      <c r="K1508">
        <v>10459</v>
      </c>
      <c r="L1508" t="s">
        <v>1670</v>
      </c>
      <c r="M1508" t="s">
        <v>1670</v>
      </c>
      <c r="O1508" t="s">
        <v>1675</v>
      </c>
      <c r="P1508" t="s">
        <v>1962</v>
      </c>
      <c r="Q1508" t="s">
        <v>1968</v>
      </c>
      <c r="R1508" t="s">
        <v>50</v>
      </c>
      <c r="S1508" t="s">
        <v>1671</v>
      </c>
      <c r="U1508" t="s">
        <v>1972</v>
      </c>
      <c r="W1508" t="s">
        <v>216</v>
      </c>
      <c r="X1508">
        <v>1520</v>
      </c>
      <c r="Y1508" t="s">
        <v>2006</v>
      </c>
      <c r="Z1508" t="s">
        <v>2015</v>
      </c>
      <c r="AA1508" t="s">
        <v>2029</v>
      </c>
      <c r="AB1508" t="s">
        <v>14110</v>
      </c>
      <c r="AD1508" t="s">
        <v>16539</v>
      </c>
      <c r="AE1508">
        <v>30</v>
      </c>
      <c r="AF1508" t="s">
        <v>2909</v>
      </c>
      <c r="AG1508" t="s">
        <v>2017</v>
      </c>
      <c r="AH1508">
        <v>34</v>
      </c>
      <c r="AI1508">
        <v>2</v>
      </c>
      <c r="AJ1508">
        <v>0</v>
      </c>
      <c r="AK1508">
        <v>63.57</v>
      </c>
      <c r="AN1508" t="s">
        <v>2926</v>
      </c>
      <c r="AO1508">
        <v>10464</v>
      </c>
      <c r="AP1508" t="s">
        <v>18287</v>
      </c>
      <c r="AQ1508" t="s">
        <v>2979</v>
      </c>
      <c r="AU1508">
        <v>1.75</v>
      </c>
      <c r="AV1508" t="s">
        <v>2003</v>
      </c>
      <c r="AW1508" t="s">
        <v>3071</v>
      </c>
    </row>
    <row r="1509" spans="1:50">
      <c r="A1509" s="1" t="s">
        <v>162</v>
      </c>
      <c r="B1509" t="s">
        <v>163</v>
      </c>
      <c r="C1509" t="s">
        <v>4719</v>
      </c>
      <c r="D1509" t="s">
        <v>286</v>
      </c>
      <c r="F1509" t="s">
        <v>6943</v>
      </c>
      <c r="G1509" t="s">
        <v>8530</v>
      </c>
      <c r="H1509" t="s">
        <v>10055</v>
      </c>
      <c r="I1509" t="s">
        <v>11234</v>
      </c>
      <c r="J1509" t="s">
        <v>11753</v>
      </c>
      <c r="K1509">
        <v>11373</v>
      </c>
      <c r="L1509" t="s">
        <v>1670</v>
      </c>
      <c r="M1509" t="s">
        <v>1670</v>
      </c>
      <c r="O1509" t="s">
        <v>1950</v>
      </c>
      <c r="P1509" t="s">
        <v>1959</v>
      </c>
      <c r="R1509" t="s">
        <v>50</v>
      </c>
      <c r="S1509" t="s">
        <v>1671</v>
      </c>
      <c r="U1509" t="s">
        <v>1972</v>
      </c>
      <c r="V1509" t="s">
        <v>1983</v>
      </c>
      <c r="W1509" t="s">
        <v>294</v>
      </c>
      <c r="X1509">
        <v>947.9299999999999</v>
      </c>
      <c r="Y1509" t="s">
        <v>2007</v>
      </c>
      <c r="Z1509" t="s">
        <v>2014</v>
      </c>
      <c r="AB1509" t="s">
        <v>14111</v>
      </c>
      <c r="AC1509" t="s">
        <v>15175</v>
      </c>
      <c r="AD1509" t="s">
        <v>16540</v>
      </c>
      <c r="AE1509">
        <v>125</v>
      </c>
      <c r="AF1509" t="s">
        <v>2902</v>
      </c>
      <c r="AG1509" t="s">
        <v>2919</v>
      </c>
      <c r="AH1509">
        <v>25</v>
      </c>
      <c r="AI1509">
        <v>1</v>
      </c>
      <c r="AJ1509">
        <v>0</v>
      </c>
      <c r="AK1509">
        <v>63.7</v>
      </c>
      <c r="AN1509" t="s">
        <v>2926</v>
      </c>
      <c r="AO1509">
        <v>7956</v>
      </c>
      <c r="AU1509">
        <v>0.05</v>
      </c>
      <c r="AV1509" t="s">
        <v>199</v>
      </c>
      <c r="AW1509" t="s">
        <v>53</v>
      </c>
    </row>
    <row r="1510" spans="1:50">
      <c r="A1510" s="1" t="s">
        <v>149</v>
      </c>
      <c r="B1510" t="s">
        <v>164</v>
      </c>
      <c r="C1510" t="s">
        <v>4720</v>
      </c>
      <c r="D1510" t="s">
        <v>249</v>
      </c>
      <c r="E1510" t="s">
        <v>404</v>
      </c>
      <c r="F1510" t="s">
        <v>460</v>
      </c>
      <c r="G1510" t="s">
        <v>1000</v>
      </c>
      <c r="H1510" t="s">
        <v>10056</v>
      </c>
      <c r="I1510" t="s">
        <v>11235</v>
      </c>
      <c r="J1510" t="s">
        <v>1649</v>
      </c>
      <c r="K1510">
        <v>11692</v>
      </c>
      <c r="L1510" t="s">
        <v>1670</v>
      </c>
      <c r="M1510" t="s">
        <v>1672</v>
      </c>
      <c r="N1510" t="s">
        <v>12264</v>
      </c>
      <c r="O1510" t="s">
        <v>1936</v>
      </c>
      <c r="P1510" t="s">
        <v>1960</v>
      </c>
      <c r="Q1510" t="s">
        <v>1969</v>
      </c>
      <c r="R1510" t="s">
        <v>50</v>
      </c>
      <c r="S1510" t="s">
        <v>1670</v>
      </c>
      <c r="U1510" t="s">
        <v>1972</v>
      </c>
      <c r="W1510" t="s">
        <v>249</v>
      </c>
      <c r="X1510">
        <v>519</v>
      </c>
      <c r="Y1510" t="s">
        <v>2007</v>
      </c>
      <c r="Z1510" t="s">
        <v>2014</v>
      </c>
      <c r="AA1510" t="s">
        <v>2032</v>
      </c>
      <c r="AB1510" t="s">
        <v>14112</v>
      </c>
      <c r="AC1510" t="s">
        <v>15176</v>
      </c>
      <c r="AD1510" t="s">
        <v>16541</v>
      </c>
      <c r="AE1510">
        <v>18</v>
      </c>
      <c r="AG1510" t="s">
        <v>2915</v>
      </c>
      <c r="AH1510">
        <v>2</v>
      </c>
      <c r="AI1510">
        <v>2</v>
      </c>
      <c r="AJ1510">
        <v>0</v>
      </c>
      <c r="AK1510">
        <v>63.87</v>
      </c>
      <c r="AN1510" t="s">
        <v>2926</v>
      </c>
      <c r="AO1510">
        <v>10800</v>
      </c>
      <c r="AQ1510" t="s">
        <v>2978</v>
      </c>
      <c r="AR1510" t="s">
        <v>2982</v>
      </c>
      <c r="AS1510" t="s">
        <v>2992</v>
      </c>
      <c r="AT1510" t="s">
        <v>18553</v>
      </c>
      <c r="AU1510">
        <v>11.1</v>
      </c>
      <c r="AV1510" t="s">
        <v>404</v>
      </c>
      <c r="AW1510" t="s">
        <v>3073</v>
      </c>
      <c r="AX1510" t="s">
        <v>18685</v>
      </c>
    </row>
    <row r="1511" spans="1:50">
      <c r="A1511" s="1" t="s">
        <v>111</v>
      </c>
      <c r="B1511" t="s">
        <v>163</v>
      </c>
      <c r="C1511" t="s">
        <v>4721</v>
      </c>
      <c r="D1511" t="s">
        <v>174</v>
      </c>
      <c r="F1511" t="s">
        <v>6959</v>
      </c>
      <c r="G1511" t="s">
        <v>8582</v>
      </c>
      <c r="H1511" t="s">
        <v>1260</v>
      </c>
      <c r="I1511" t="s">
        <v>1519</v>
      </c>
      <c r="J1511" t="s">
        <v>1641</v>
      </c>
      <c r="K1511">
        <v>10453</v>
      </c>
      <c r="L1511" t="s">
        <v>1670</v>
      </c>
      <c r="M1511" t="s">
        <v>1670</v>
      </c>
      <c r="N1511" t="s">
        <v>1778</v>
      </c>
      <c r="O1511" t="s">
        <v>1939</v>
      </c>
      <c r="P1511" t="s">
        <v>1960</v>
      </c>
      <c r="R1511" t="s">
        <v>50</v>
      </c>
      <c r="S1511" t="s">
        <v>1670</v>
      </c>
      <c r="U1511" t="s">
        <v>1972</v>
      </c>
      <c r="W1511" t="s">
        <v>283</v>
      </c>
      <c r="X1511">
        <v>187</v>
      </c>
      <c r="Y1511" t="s">
        <v>2006</v>
      </c>
      <c r="Z1511" t="s">
        <v>2015</v>
      </c>
      <c r="AB1511" t="s">
        <v>14100</v>
      </c>
      <c r="AD1511" t="s">
        <v>16532</v>
      </c>
      <c r="AE1511">
        <v>44</v>
      </c>
      <c r="AF1511" t="s">
        <v>2902</v>
      </c>
      <c r="AG1511" t="s">
        <v>2915</v>
      </c>
      <c r="AH1511">
        <v>25</v>
      </c>
      <c r="AI1511">
        <v>1</v>
      </c>
      <c r="AJ1511">
        <v>0</v>
      </c>
      <c r="AK1511">
        <v>63.95</v>
      </c>
      <c r="AN1511" t="s">
        <v>2927</v>
      </c>
      <c r="AO1511">
        <v>7764</v>
      </c>
      <c r="AU1511" t="s">
        <v>13051</v>
      </c>
      <c r="AW1511" t="s">
        <v>3047</v>
      </c>
    </row>
    <row r="1512" spans="1:50">
      <c r="A1512" s="1" t="s">
        <v>73</v>
      </c>
      <c r="B1512" t="s">
        <v>163</v>
      </c>
      <c r="C1512" t="s">
        <v>4722</v>
      </c>
      <c r="D1512" t="s">
        <v>295</v>
      </c>
      <c r="F1512" t="s">
        <v>6914</v>
      </c>
      <c r="G1512" t="s">
        <v>7467</v>
      </c>
      <c r="H1512" t="s">
        <v>1293</v>
      </c>
      <c r="I1512" t="s">
        <v>11236</v>
      </c>
      <c r="J1512" t="s">
        <v>1645</v>
      </c>
      <c r="K1512">
        <v>11691</v>
      </c>
      <c r="L1512" t="s">
        <v>1670</v>
      </c>
      <c r="M1512" t="s">
        <v>1670</v>
      </c>
      <c r="O1512" t="s">
        <v>1938</v>
      </c>
      <c r="P1512" t="s">
        <v>1962</v>
      </c>
      <c r="R1512" t="s">
        <v>50</v>
      </c>
      <c r="S1512" t="s">
        <v>1670</v>
      </c>
      <c r="U1512" t="s">
        <v>1972</v>
      </c>
      <c r="W1512" t="s">
        <v>295</v>
      </c>
      <c r="X1512">
        <v>637</v>
      </c>
      <c r="Y1512" t="s">
        <v>2007</v>
      </c>
      <c r="Z1512" t="s">
        <v>2016</v>
      </c>
      <c r="AB1512" t="s">
        <v>14113</v>
      </c>
      <c r="AD1512" t="s">
        <v>16542</v>
      </c>
      <c r="AE1512">
        <v>43</v>
      </c>
      <c r="AF1512" t="s">
        <v>2902</v>
      </c>
      <c r="AH1512">
        <v>20</v>
      </c>
      <c r="AI1512">
        <v>1</v>
      </c>
      <c r="AJ1512">
        <v>0</v>
      </c>
      <c r="AK1512">
        <v>64.05</v>
      </c>
      <c r="AN1512" t="s">
        <v>2926</v>
      </c>
      <c r="AO1512">
        <v>8000</v>
      </c>
      <c r="AU1512">
        <v>0.15</v>
      </c>
      <c r="AV1512" t="s">
        <v>327</v>
      </c>
      <c r="AW1512" t="s">
        <v>3073</v>
      </c>
    </row>
    <row r="1513" spans="1:50">
      <c r="A1513" s="1" t="s">
        <v>73</v>
      </c>
      <c r="B1513" t="s">
        <v>163</v>
      </c>
      <c r="C1513" t="s">
        <v>4723</v>
      </c>
      <c r="D1513" t="s">
        <v>295</v>
      </c>
      <c r="F1513" t="s">
        <v>6914</v>
      </c>
      <c r="G1513" t="s">
        <v>7467</v>
      </c>
      <c r="H1513" t="s">
        <v>1293</v>
      </c>
      <c r="I1513" t="s">
        <v>11236</v>
      </c>
      <c r="J1513" t="s">
        <v>1645</v>
      </c>
      <c r="K1513">
        <v>11691</v>
      </c>
      <c r="L1513" t="s">
        <v>1670</v>
      </c>
      <c r="M1513" t="s">
        <v>1670</v>
      </c>
      <c r="O1513" t="s">
        <v>1941</v>
      </c>
      <c r="P1513" t="s">
        <v>1962</v>
      </c>
      <c r="R1513" t="s">
        <v>50</v>
      </c>
      <c r="S1513" t="s">
        <v>1670</v>
      </c>
      <c r="U1513" t="s">
        <v>1972</v>
      </c>
      <c r="W1513" t="s">
        <v>295</v>
      </c>
      <c r="X1513">
        <v>637</v>
      </c>
      <c r="Y1513" t="s">
        <v>2007</v>
      </c>
      <c r="Z1513" t="s">
        <v>2016</v>
      </c>
      <c r="AB1513" t="s">
        <v>14113</v>
      </c>
      <c r="AD1513" t="s">
        <v>16542</v>
      </c>
      <c r="AE1513">
        <v>43</v>
      </c>
      <c r="AF1513" t="s">
        <v>2902</v>
      </c>
      <c r="AH1513">
        <v>20</v>
      </c>
      <c r="AI1513">
        <v>1</v>
      </c>
      <c r="AJ1513">
        <v>0</v>
      </c>
      <c r="AK1513">
        <v>64.05</v>
      </c>
      <c r="AN1513" t="s">
        <v>2926</v>
      </c>
      <c r="AO1513">
        <v>8000</v>
      </c>
      <c r="AU1513">
        <v>40.15</v>
      </c>
      <c r="AV1513" t="s">
        <v>393</v>
      </c>
      <c r="AW1513" t="s">
        <v>3073</v>
      </c>
    </row>
    <row r="1514" spans="1:50">
      <c r="A1514" s="1" t="s">
        <v>107</v>
      </c>
      <c r="B1514" t="s">
        <v>164</v>
      </c>
      <c r="C1514" t="s">
        <v>4724</v>
      </c>
      <c r="D1514" t="s">
        <v>2005</v>
      </c>
      <c r="E1514" t="s">
        <v>359</v>
      </c>
      <c r="F1514" t="s">
        <v>7445</v>
      </c>
      <c r="G1514" t="s">
        <v>8590</v>
      </c>
      <c r="H1514" t="s">
        <v>10057</v>
      </c>
      <c r="I1514" t="s">
        <v>1577</v>
      </c>
      <c r="J1514" t="s">
        <v>1644</v>
      </c>
      <c r="K1514">
        <v>11239</v>
      </c>
      <c r="L1514" t="s">
        <v>1670</v>
      </c>
      <c r="M1514" t="s">
        <v>1670</v>
      </c>
      <c r="P1514" t="s">
        <v>1958</v>
      </c>
      <c r="Q1514" t="s">
        <v>1965</v>
      </c>
      <c r="R1514" t="s">
        <v>50</v>
      </c>
      <c r="U1514" t="s">
        <v>1972</v>
      </c>
      <c r="W1514" t="s">
        <v>252</v>
      </c>
      <c r="X1514">
        <v>400</v>
      </c>
      <c r="Y1514" t="s">
        <v>2009</v>
      </c>
      <c r="Z1514" t="s">
        <v>2026</v>
      </c>
      <c r="AA1514" t="s">
        <v>2029</v>
      </c>
      <c r="AB1514" t="s">
        <v>14114</v>
      </c>
      <c r="AD1514" t="s">
        <v>16543</v>
      </c>
      <c r="AE1514">
        <v>17</v>
      </c>
      <c r="AF1514" t="s">
        <v>2902</v>
      </c>
      <c r="AH1514">
        <v>2</v>
      </c>
      <c r="AI1514">
        <v>2</v>
      </c>
      <c r="AJ1514">
        <v>0</v>
      </c>
      <c r="AK1514">
        <v>64.16</v>
      </c>
      <c r="AN1514" t="s">
        <v>2926</v>
      </c>
      <c r="AO1514">
        <v>10560</v>
      </c>
      <c r="AU1514">
        <v>2.2</v>
      </c>
      <c r="AV1514" t="s">
        <v>261</v>
      </c>
      <c r="AW1514" t="s">
        <v>3049</v>
      </c>
      <c r="AX1514" t="s">
        <v>18685</v>
      </c>
    </row>
    <row r="1515" spans="1:50">
      <c r="A1515" s="1" t="s">
        <v>86</v>
      </c>
      <c r="B1515" t="s">
        <v>164</v>
      </c>
      <c r="C1515" t="s">
        <v>4725</v>
      </c>
      <c r="D1515" t="s">
        <v>201</v>
      </c>
      <c r="E1515" t="s">
        <v>314</v>
      </c>
      <c r="F1515" t="s">
        <v>510</v>
      </c>
      <c r="G1515" t="s">
        <v>8591</v>
      </c>
      <c r="H1515" t="s">
        <v>10058</v>
      </c>
      <c r="I1515">
        <v>2</v>
      </c>
      <c r="J1515" t="s">
        <v>1641</v>
      </c>
      <c r="K1515">
        <v>10458</v>
      </c>
      <c r="L1515" t="s">
        <v>1670</v>
      </c>
      <c r="M1515" t="s">
        <v>1670</v>
      </c>
      <c r="N1515" t="s">
        <v>1691</v>
      </c>
      <c r="O1515" t="s">
        <v>1941</v>
      </c>
      <c r="P1515" t="s">
        <v>1958</v>
      </c>
      <c r="Q1515" t="s">
        <v>1965</v>
      </c>
      <c r="R1515" t="s">
        <v>50</v>
      </c>
      <c r="S1515" t="s">
        <v>1671</v>
      </c>
      <c r="U1515" t="s">
        <v>1972</v>
      </c>
      <c r="V1515" t="s">
        <v>1984</v>
      </c>
      <c r="W1515" t="s">
        <v>201</v>
      </c>
      <c r="X1515">
        <v>1266</v>
      </c>
      <c r="Y1515" t="s">
        <v>2006</v>
      </c>
      <c r="Z1515" t="s">
        <v>2015</v>
      </c>
      <c r="AA1515" t="s">
        <v>2029</v>
      </c>
      <c r="AB1515" t="s">
        <v>14115</v>
      </c>
      <c r="AC1515" t="s">
        <v>15177</v>
      </c>
      <c r="AE1515">
        <v>8</v>
      </c>
      <c r="AF1515" t="s">
        <v>2902</v>
      </c>
      <c r="AG1515" t="s">
        <v>2915</v>
      </c>
      <c r="AH1515">
        <v>11</v>
      </c>
      <c r="AI1515">
        <v>1</v>
      </c>
      <c r="AJ1515">
        <v>0</v>
      </c>
      <c r="AK1515">
        <v>64.25</v>
      </c>
      <c r="AN1515" t="s">
        <v>2926</v>
      </c>
      <c r="AO1515">
        <v>7800</v>
      </c>
      <c r="AP1515" t="s">
        <v>18288</v>
      </c>
      <c r="AU1515">
        <v>0.4</v>
      </c>
      <c r="AV1515" t="s">
        <v>175</v>
      </c>
      <c r="AW1515" t="s">
        <v>3047</v>
      </c>
    </row>
    <row r="1516" spans="1:50">
      <c r="A1516" s="1" t="s">
        <v>119</v>
      </c>
      <c r="B1516" t="s">
        <v>164</v>
      </c>
      <c r="C1516" t="s">
        <v>4726</v>
      </c>
      <c r="D1516" t="s">
        <v>332</v>
      </c>
      <c r="E1516" t="s">
        <v>327</v>
      </c>
      <c r="F1516" t="s">
        <v>7446</v>
      </c>
      <c r="G1516" t="s">
        <v>8592</v>
      </c>
      <c r="H1516" t="s">
        <v>10059</v>
      </c>
      <c r="I1516" t="s">
        <v>1543</v>
      </c>
      <c r="J1516" t="s">
        <v>1644</v>
      </c>
      <c r="K1516">
        <v>11208</v>
      </c>
      <c r="L1516" t="s">
        <v>1670</v>
      </c>
      <c r="M1516" t="s">
        <v>1670</v>
      </c>
      <c r="N1516" t="s">
        <v>12265</v>
      </c>
      <c r="O1516" t="s">
        <v>1940</v>
      </c>
      <c r="P1516" t="s">
        <v>1962</v>
      </c>
      <c r="Q1516" t="s">
        <v>1968</v>
      </c>
      <c r="R1516" t="s">
        <v>50</v>
      </c>
      <c r="S1516" t="s">
        <v>1671</v>
      </c>
      <c r="U1516" t="s">
        <v>1972</v>
      </c>
      <c r="W1516" t="s">
        <v>332</v>
      </c>
      <c r="X1516">
        <v>1725</v>
      </c>
      <c r="Y1516" t="s">
        <v>2009</v>
      </c>
      <c r="Z1516" t="s">
        <v>2024</v>
      </c>
      <c r="AA1516" t="s">
        <v>2029</v>
      </c>
      <c r="AB1516" t="s">
        <v>14116</v>
      </c>
      <c r="AD1516" t="s">
        <v>16544</v>
      </c>
      <c r="AE1516">
        <v>4</v>
      </c>
      <c r="AH1516">
        <v>10</v>
      </c>
      <c r="AI1516">
        <v>1</v>
      </c>
      <c r="AJ1516">
        <v>0</v>
      </c>
      <c r="AK1516">
        <v>64.25</v>
      </c>
      <c r="AN1516" t="s">
        <v>2927</v>
      </c>
      <c r="AO1516">
        <v>7800</v>
      </c>
      <c r="AU1516">
        <v>2.2</v>
      </c>
      <c r="AV1516" t="s">
        <v>237</v>
      </c>
      <c r="AW1516" t="s">
        <v>18658</v>
      </c>
    </row>
    <row r="1517" spans="1:50">
      <c r="A1517" s="1" t="s">
        <v>143</v>
      </c>
      <c r="B1517" t="s">
        <v>164</v>
      </c>
      <c r="C1517" t="s">
        <v>4727</v>
      </c>
      <c r="D1517" t="s">
        <v>6178</v>
      </c>
      <c r="E1517" t="s">
        <v>352</v>
      </c>
      <c r="F1517" t="s">
        <v>546</v>
      </c>
      <c r="G1517" t="s">
        <v>542</v>
      </c>
      <c r="H1517" t="s">
        <v>10060</v>
      </c>
      <c r="I1517">
        <v>731</v>
      </c>
      <c r="J1517" t="s">
        <v>1644</v>
      </c>
      <c r="K1517">
        <v>11207</v>
      </c>
      <c r="L1517" t="s">
        <v>1670</v>
      </c>
      <c r="M1517" t="s">
        <v>1670</v>
      </c>
      <c r="N1517" t="s">
        <v>12266</v>
      </c>
      <c r="O1517" t="s">
        <v>1940</v>
      </c>
      <c r="P1517" t="s">
        <v>1962</v>
      </c>
      <c r="Q1517" t="s">
        <v>1968</v>
      </c>
      <c r="R1517" t="s">
        <v>50</v>
      </c>
      <c r="U1517" t="s">
        <v>1972</v>
      </c>
      <c r="W1517" t="s">
        <v>352</v>
      </c>
      <c r="X1517">
        <v>650</v>
      </c>
      <c r="Y1517" t="s">
        <v>2009</v>
      </c>
      <c r="Z1517" t="s">
        <v>2018</v>
      </c>
      <c r="AA1517" t="s">
        <v>13062</v>
      </c>
      <c r="AB1517" t="s">
        <v>14117</v>
      </c>
      <c r="AD1517" t="s">
        <v>16545</v>
      </c>
      <c r="AE1517">
        <v>3</v>
      </c>
      <c r="AH1517">
        <v>5</v>
      </c>
      <c r="AI1517">
        <v>1</v>
      </c>
      <c r="AJ1517">
        <v>0</v>
      </c>
      <c r="AK1517">
        <v>64.25</v>
      </c>
      <c r="AN1517" t="s">
        <v>2926</v>
      </c>
      <c r="AO1517">
        <v>7800</v>
      </c>
      <c r="AU1517">
        <v>0.5</v>
      </c>
      <c r="AV1517" t="s">
        <v>352</v>
      </c>
      <c r="AW1517" t="s">
        <v>3049</v>
      </c>
    </row>
    <row r="1518" spans="1:50">
      <c r="A1518" s="1" t="s">
        <v>131</v>
      </c>
      <c r="B1518" t="s">
        <v>164</v>
      </c>
      <c r="C1518" t="s">
        <v>4728</v>
      </c>
      <c r="D1518" t="s">
        <v>238</v>
      </c>
      <c r="E1518" t="s">
        <v>293</v>
      </c>
      <c r="F1518" t="s">
        <v>7439</v>
      </c>
      <c r="G1518" t="s">
        <v>8584</v>
      </c>
      <c r="H1518" t="s">
        <v>10047</v>
      </c>
      <c r="I1518" t="s">
        <v>1477</v>
      </c>
      <c r="J1518" t="s">
        <v>1643</v>
      </c>
      <c r="K1518">
        <v>10128</v>
      </c>
      <c r="L1518" t="s">
        <v>1670</v>
      </c>
      <c r="M1518" t="s">
        <v>1670</v>
      </c>
      <c r="O1518" t="s">
        <v>1944</v>
      </c>
      <c r="P1518" t="s">
        <v>1961</v>
      </c>
      <c r="Q1518" t="s">
        <v>1966</v>
      </c>
      <c r="R1518" t="s">
        <v>50</v>
      </c>
      <c r="S1518" t="s">
        <v>1671</v>
      </c>
      <c r="U1518" t="s">
        <v>1976</v>
      </c>
      <c r="V1518" t="s">
        <v>1984</v>
      </c>
      <c r="W1518" t="s">
        <v>238</v>
      </c>
      <c r="X1518">
        <v>1660.44</v>
      </c>
      <c r="Y1518" t="s">
        <v>2008</v>
      </c>
      <c r="Z1518" t="s">
        <v>2021</v>
      </c>
      <c r="AA1518" t="s">
        <v>2039</v>
      </c>
      <c r="AB1518" t="s">
        <v>14102</v>
      </c>
      <c r="AD1518" t="s">
        <v>16533</v>
      </c>
      <c r="AE1518">
        <v>19</v>
      </c>
      <c r="AF1518" t="s">
        <v>2902</v>
      </c>
      <c r="AG1518" t="s">
        <v>1754</v>
      </c>
      <c r="AH1518">
        <v>3</v>
      </c>
      <c r="AI1518">
        <v>1</v>
      </c>
      <c r="AJ1518">
        <v>0</v>
      </c>
      <c r="AK1518">
        <v>64.25</v>
      </c>
      <c r="AN1518" t="s">
        <v>2926</v>
      </c>
      <c r="AO1518">
        <v>7800</v>
      </c>
      <c r="AU1518">
        <v>31.25</v>
      </c>
      <c r="AV1518" t="s">
        <v>220</v>
      </c>
      <c r="AW1518" t="s">
        <v>3051</v>
      </c>
      <c r="AX1518" t="s">
        <v>18685</v>
      </c>
    </row>
    <row r="1519" spans="1:50">
      <c r="A1519" s="1" t="s">
        <v>74</v>
      </c>
      <c r="B1519" t="s">
        <v>164</v>
      </c>
      <c r="C1519" t="s">
        <v>4729</v>
      </c>
      <c r="D1519" t="s">
        <v>339</v>
      </c>
      <c r="E1519" t="s">
        <v>401</v>
      </c>
      <c r="F1519" t="s">
        <v>7153</v>
      </c>
      <c r="G1519" t="s">
        <v>1048</v>
      </c>
      <c r="H1519" t="s">
        <v>10061</v>
      </c>
      <c r="I1519" t="s">
        <v>11237</v>
      </c>
      <c r="J1519" t="s">
        <v>1641</v>
      </c>
      <c r="K1519">
        <v>10452</v>
      </c>
      <c r="L1519" t="s">
        <v>1670</v>
      </c>
      <c r="M1519" t="s">
        <v>1672</v>
      </c>
      <c r="N1519" t="s">
        <v>1687</v>
      </c>
      <c r="O1519" t="s">
        <v>1943</v>
      </c>
      <c r="P1519" t="s">
        <v>1958</v>
      </c>
      <c r="Q1519" t="s">
        <v>1965</v>
      </c>
      <c r="R1519" t="s">
        <v>50</v>
      </c>
      <c r="S1519" t="s">
        <v>1671</v>
      </c>
      <c r="U1519" t="s">
        <v>1973</v>
      </c>
      <c r="V1519" t="s">
        <v>1984</v>
      </c>
      <c r="W1519" t="s">
        <v>1991</v>
      </c>
      <c r="X1519">
        <v>1141.09</v>
      </c>
      <c r="Y1519" t="s">
        <v>2006</v>
      </c>
      <c r="Z1519" t="s">
        <v>2015</v>
      </c>
      <c r="AA1519" t="s">
        <v>2037</v>
      </c>
      <c r="AB1519" t="s">
        <v>14118</v>
      </c>
      <c r="AD1519" t="s">
        <v>16546</v>
      </c>
      <c r="AE1519">
        <v>61</v>
      </c>
      <c r="AF1519" t="s">
        <v>2902</v>
      </c>
      <c r="AG1519" t="s">
        <v>2915</v>
      </c>
      <c r="AH1519" t="s">
        <v>13051</v>
      </c>
      <c r="AI1519">
        <v>1</v>
      </c>
      <c r="AJ1519">
        <v>0</v>
      </c>
      <c r="AK1519">
        <v>64.28</v>
      </c>
      <c r="AN1519" t="s">
        <v>2927</v>
      </c>
      <c r="AO1519">
        <v>8028</v>
      </c>
      <c r="AP1519" t="s">
        <v>18289</v>
      </c>
      <c r="AT1519" t="s">
        <v>3021</v>
      </c>
      <c r="AU1519">
        <v>0.5</v>
      </c>
      <c r="AV1519" t="s">
        <v>339</v>
      </c>
      <c r="AW1519" t="s">
        <v>74</v>
      </c>
      <c r="AX1519" t="s">
        <v>18685</v>
      </c>
    </row>
    <row r="1520" spans="1:50">
      <c r="A1520" s="1" t="s">
        <v>66</v>
      </c>
      <c r="B1520" t="s">
        <v>163</v>
      </c>
      <c r="C1520" t="s">
        <v>4730</v>
      </c>
      <c r="D1520" t="s">
        <v>320</v>
      </c>
      <c r="F1520" t="s">
        <v>7447</v>
      </c>
      <c r="G1520" t="s">
        <v>8593</v>
      </c>
      <c r="H1520" t="s">
        <v>10062</v>
      </c>
      <c r="I1520" t="s">
        <v>10955</v>
      </c>
      <c r="J1520" t="s">
        <v>1644</v>
      </c>
      <c r="K1520">
        <v>11233</v>
      </c>
      <c r="L1520" t="s">
        <v>1670</v>
      </c>
      <c r="M1520" t="s">
        <v>1671</v>
      </c>
      <c r="N1520" t="s">
        <v>12267</v>
      </c>
      <c r="O1520" t="s">
        <v>1940</v>
      </c>
      <c r="P1520" t="s">
        <v>1960</v>
      </c>
      <c r="R1520" t="s">
        <v>50</v>
      </c>
      <c r="S1520" t="s">
        <v>1671</v>
      </c>
      <c r="U1520" t="s">
        <v>1972</v>
      </c>
      <c r="V1520" t="s">
        <v>1984</v>
      </c>
      <c r="W1520" t="s">
        <v>316</v>
      </c>
      <c r="X1520">
        <v>200</v>
      </c>
      <c r="Y1520" t="s">
        <v>2009</v>
      </c>
      <c r="Z1520" t="s">
        <v>2013</v>
      </c>
      <c r="AB1520" t="s">
        <v>14119</v>
      </c>
      <c r="AC1520" t="s">
        <v>1754</v>
      </c>
      <c r="AD1520" t="s">
        <v>16547</v>
      </c>
      <c r="AE1520">
        <v>100</v>
      </c>
      <c r="AF1520" t="s">
        <v>2904</v>
      </c>
      <c r="AG1520" t="s">
        <v>1754</v>
      </c>
      <c r="AH1520">
        <v>25</v>
      </c>
      <c r="AI1520">
        <v>1</v>
      </c>
      <c r="AJ1520">
        <v>0</v>
      </c>
      <c r="AK1520">
        <v>64.37</v>
      </c>
      <c r="AN1520" t="s">
        <v>2937</v>
      </c>
      <c r="AO1520">
        <v>8040</v>
      </c>
      <c r="AU1520">
        <v>23.2</v>
      </c>
      <c r="AV1520" t="s">
        <v>399</v>
      </c>
      <c r="AW1520" t="s">
        <v>18654</v>
      </c>
      <c r="AX1520" t="s">
        <v>18685</v>
      </c>
    </row>
    <row r="1521" spans="1:50">
      <c r="A1521" s="1" t="s">
        <v>132</v>
      </c>
      <c r="B1521" t="s">
        <v>163</v>
      </c>
      <c r="C1521" t="s">
        <v>4731</v>
      </c>
      <c r="D1521" t="s">
        <v>380</v>
      </c>
      <c r="F1521" t="s">
        <v>7435</v>
      </c>
      <c r="G1521" t="s">
        <v>8594</v>
      </c>
      <c r="H1521" t="s">
        <v>9446</v>
      </c>
      <c r="I1521" t="s">
        <v>11238</v>
      </c>
      <c r="J1521" t="s">
        <v>1644</v>
      </c>
      <c r="K1521">
        <v>11206</v>
      </c>
      <c r="L1521" t="s">
        <v>1670</v>
      </c>
      <c r="M1521" t="s">
        <v>1670</v>
      </c>
      <c r="O1521" t="s">
        <v>1937</v>
      </c>
      <c r="P1521" t="s">
        <v>1961</v>
      </c>
      <c r="R1521" t="s">
        <v>50</v>
      </c>
      <c r="S1521" t="s">
        <v>1670</v>
      </c>
      <c r="U1521" t="s">
        <v>1972</v>
      </c>
      <c r="W1521" t="s">
        <v>380</v>
      </c>
      <c r="X1521">
        <v>1057.68</v>
      </c>
      <c r="Y1521" t="s">
        <v>2009</v>
      </c>
      <c r="Z1521" t="s">
        <v>2017</v>
      </c>
      <c r="AB1521" t="s">
        <v>14120</v>
      </c>
      <c r="AD1521" t="s">
        <v>16548</v>
      </c>
      <c r="AE1521">
        <v>25</v>
      </c>
      <c r="AF1521" t="s">
        <v>2902</v>
      </c>
      <c r="AG1521" t="s">
        <v>2915</v>
      </c>
      <c r="AH1521">
        <v>9</v>
      </c>
      <c r="AI1521">
        <v>2</v>
      </c>
      <c r="AJ1521">
        <v>0</v>
      </c>
      <c r="AK1521">
        <v>64.67</v>
      </c>
      <c r="AN1521" t="s">
        <v>2926</v>
      </c>
      <c r="AO1521">
        <v>10644</v>
      </c>
      <c r="AP1521" t="s">
        <v>18290</v>
      </c>
      <c r="AU1521">
        <v>0.5</v>
      </c>
      <c r="AV1521" t="s">
        <v>216</v>
      </c>
      <c r="AW1521" t="s">
        <v>18659</v>
      </c>
    </row>
    <row r="1522" spans="1:50">
      <c r="A1522" s="1" t="s">
        <v>153</v>
      </c>
      <c r="B1522" t="s">
        <v>163</v>
      </c>
      <c r="C1522" t="s">
        <v>4732</v>
      </c>
      <c r="D1522" t="s">
        <v>291</v>
      </c>
      <c r="F1522" t="s">
        <v>7318</v>
      </c>
      <c r="G1522" t="s">
        <v>8595</v>
      </c>
      <c r="H1522" t="s">
        <v>9854</v>
      </c>
      <c r="I1522" t="s">
        <v>1584</v>
      </c>
      <c r="J1522" t="s">
        <v>1641</v>
      </c>
      <c r="K1522">
        <v>10467</v>
      </c>
      <c r="L1522" t="s">
        <v>1670</v>
      </c>
      <c r="M1522" t="s">
        <v>1672</v>
      </c>
      <c r="P1522" t="s">
        <v>1958</v>
      </c>
      <c r="R1522" t="s">
        <v>50</v>
      </c>
      <c r="S1522" t="s">
        <v>1671</v>
      </c>
      <c r="U1522" t="s">
        <v>1972</v>
      </c>
      <c r="W1522" t="s">
        <v>1991</v>
      </c>
      <c r="X1522">
        <v>1531.65</v>
      </c>
      <c r="Y1522" t="s">
        <v>2006</v>
      </c>
      <c r="Z1522" t="s">
        <v>2016</v>
      </c>
      <c r="AB1522" t="s">
        <v>13858</v>
      </c>
      <c r="AC1522">
        <v>4043580</v>
      </c>
      <c r="AD1522" t="s">
        <v>16291</v>
      </c>
      <c r="AE1522">
        <v>65</v>
      </c>
      <c r="AF1522" t="s">
        <v>2902</v>
      </c>
      <c r="AG1522" t="s">
        <v>2915</v>
      </c>
      <c r="AH1522">
        <v>15</v>
      </c>
      <c r="AI1522">
        <v>2</v>
      </c>
      <c r="AJ1522">
        <v>0</v>
      </c>
      <c r="AK1522">
        <v>65.06999999999999</v>
      </c>
      <c r="AN1522" t="s">
        <v>2926</v>
      </c>
      <c r="AO1522">
        <v>11004</v>
      </c>
      <c r="AU1522" t="s">
        <v>13051</v>
      </c>
      <c r="AW1522" t="s">
        <v>3046</v>
      </c>
      <c r="AX1522" t="s">
        <v>18685</v>
      </c>
    </row>
    <row r="1523" spans="1:50">
      <c r="A1523" s="1" t="s">
        <v>66</v>
      </c>
      <c r="B1523" t="s">
        <v>164</v>
      </c>
      <c r="C1523" t="s">
        <v>4733</v>
      </c>
      <c r="D1523" t="s">
        <v>344</v>
      </c>
      <c r="E1523" t="s">
        <v>384</v>
      </c>
      <c r="F1523" t="s">
        <v>7448</v>
      </c>
      <c r="G1523" t="s">
        <v>767</v>
      </c>
      <c r="H1523" t="s">
        <v>10063</v>
      </c>
      <c r="I1523" t="s">
        <v>11239</v>
      </c>
      <c r="J1523" t="s">
        <v>1644</v>
      </c>
      <c r="K1523">
        <v>11207</v>
      </c>
      <c r="L1523" t="s">
        <v>1670</v>
      </c>
      <c r="M1523" t="s">
        <v>1670</v>
      </c>
      <c r="N1523" t="s">
        <v>1675</v>
      </c>
      <c r="O1523" t="s">
        <v>1675</v>
      </c>
      <c r="P1523" t="s">
        <v>1962</v>
      </c>
      <c r="Q1523" t="s">
        <v>1966</v>
      </c>
      <c r="R1523" t="s">
        <v>50</v>
      </c>
      <c r="S1523" t="s">
        <v>1671</v>
      </c>
      <c r="U1523" t="s">
        <v>1972</v>
      </c>
      <c r="V1523" t="s">
        <v>1984</v>
      </c>
      <c r="W1523" t="s">
        <v>223</v>
      </c>
      <c r="X1523">
        <v>1425</v>
      </c>
      <c r="Y1523" t="s">
        <v>2009</v>
      </c>
      <c r="AA1523" t="s">
        <v>2042</v>
      </c>
      <c r="AB1523" t="s">
        <v>14121</v>
      </c>
      <c r="AC1523" t="s">
        <v>15178</v>
      </c>
      <c r="AD1523" t="s">
        <v>16549</v>
      </c>
      <c r="AE1523">
        <v>72</v>
      </c>
      <c r="AF1523" t="s">
        <v>2907</v>
      </c>
      <c r="AG1523" t="s">
        <v>1754</v>
      </c>
      <c r="AH1523">
        <v>4</v>
      </c>
      <c r="AI1523">
        <v>1</v>
      </c>
      <c r="AJ1523">
        <v>0</v>
      </c>
      <c r="AK1523">
        <v>65.23999999999999</v>
      </c>
      <c r="AN1523" t="s">
        <v>2926</v>
      </c>
      <c r="AO1523">
        <v>7920</v>
      </c>
      <c r="AU1523">
        <v>2.6</v>
      </c>
      <c r="AV1523" t="s">
        <v>384</v>
      </c>
      <c r="AW1523" t="s">
        <v>3052</v>
      </c>
      <c r="AX1523" t="s">
        <v>18685</v>
      </c>
    </row>
    <row r="1524" spans="1:50">
      <c r="A1524" s="1" t="s">
        <v>119</v>
      </c>
      <c r="B1524" t="s">
        <v>163</v>
      </c>
      <c r="C1524" t="s">
        <v>4734</v>
      </c>
      <c r="D1524" t="s">
        <v>338</v>
      </c>
      <c r="F1524" t="s">
        <v>458</v>
      </c>
      <c r="G1524" t="s">
        <v>8596</v>
      </c>
      <c r="H1524" t="s">
        <v>10064</v>
      </c>
      <c r="I1524" t="s">
        <v>1486</v>
      </c>
      <c r="J1524" t="s">
        <v>1644</v>
      </c>
      <c r="K1524">
        <v>11207</v>
      </c>
      <c r="L1524" t="s">
        <v>1670</v>
      </c>
      <c r="M1524" t="s">
        <v>1670</v>
      </c>
      <c r="N1524" t="s">
        <v>12268</v>
      </c>
      <c r="O1524" t="s">
        <v>1936</v>
      </c>
      <c r="P1524" t="s">
        <v>1960</v>
      </c>
      <c r="R1524" t="s">
        <v>50</v>
      </c>
      <c r="S1524" t="s">
        <v>1671</v>
      </c>
      <c r="U1524" t="s">
        <v>1972</v>
      </c>
      <c r="W1524" t="s">
        <v>266</v>
      </c>
      <c r="X1524">
        <v>160</v>
      </c>
      <c r="Y1524" t="s">
        <v>2009</v>
      </c>
      <c r="Z1524" t="s">
        <v>2024</v>
      </c>
      <c r="AB1524" t="s">
        <v>14122</v>
      </c>
      <c r="AD1524" t="s">
        <v>16550</v>
      </c>
      <c r="AE1524">
        <v>4</v>
      </c>
      <c r="AF1524" t="s">
        <v>2909</v>
      </c>
      <c r="AH1524">
        <v>14</v>
      </c>
      <c r="AI1524">
        <v>2</v>
      </c>
      <c r="AJ1524">
        <v>0</v>
      </c>
      <c r="AK1524">
        <v>65.29000000000001</v>
      </c>
      <c r="AN1524" t="s">
        <v>2927</v>
      </c>
      <c r="AO1524">
        <v>11040</v>
      </c>
      <c r="AU1524">
        <v>19.75</v>
      </c>
      <c r="AV1524" t="s">
        <v>325</v>
      </c>
      <c r="AW1524" t="s">
        <v>3068</v>
      </c>
    </row>
    <row r="1525" spans="1:50">
      <c r="A1525" s="1" t="s">
        <v>101</v>
      </c>
      <c r="B1525" t="s">
        <v>163</v>
      </c>
      <c r="C1525" t="s">
        <v>4735</v>
      </c>
      <c r="D1525" t="s">
        <v>214</v>
      </c>
      <c r="F1525" t="s">
        <v>7449</v>
      </c>
      <c r="G1525" t="s">
        <v>8597</v>
      </c>
      <c r="H1525" t="s">
        <v>9879</v>
      </c>
      <c r="I1525" t="s">
        <v>11101</v>
      </c>
      <c r="J1525" t="s">
        <v>1643</v>
      </c>
      <c r="K1525">
        <v>10031</v>
      </c>
      <c r="L1525" t="s">
        <v>1670</v>
      </c>
      <c r="M1525" t="s">
        <v>1670</v>
      </c>
      <c r="N1525" t="s">
        <v>12269</v>
      </c>
      <c r="O1525" t="s">
        <v>1936</v>
      </c>
      <c r="P1525" t="s">
        <v>1960</v>
      </c>
      <c r="R1525" t="s">
        <v>50</v>
      </c>
      <c r="S1525" t="s">
        <v>1671</v>
      </c>
      <c r="U1525" t="s">
        <v>1972</v>
      </c>
      <c r="V1525" t="s">
        <v>1984</v>
      </c>
      <c r="W1525" t="s">
        <v>214</v>
      </c>
      <c r="X1525">
        <v>2126</v>
      </c>
      <c r="Y1525" t="s">
        <v>2008</v>
      </c>
      <c r="Z1525" t="s">
        <v>2020</v>
      </c>
      <c r="AB1525" t="s">
        <v>14123</v>
      </c>
      <c r="AD1525" t="s">
        <v>16551</v>
      </c>
      <c r="AE1525">
        <v>44</v>
      </c>
      <c r="AF1525" t="s">
        <v>2909</v>
      </c>
      <c r="AG1525" t="s">
        <v>2915</v>
      </c>
      <c r="AH1525">
        <v>23</v>
      </c>
      <c r="AI1525">
        <v>2</v>
      </c>
      <c r="AJ1525">
        <v>0</v>
      </c>
      <c r="AK1525">
        <v>65.39</v>
      </c>
      <c r="AN1525" t="s">
        <v>2927</v>
      </c>
      <c r="AO1525">
        <v>10764</v>
      </c>
      <c r="AU1525">
        <v>8.75</v>
      </c>
      <c r="AV1525" t="s">
        <v>3030</v>
      </c>
      <c r="AW1525" t="s">
        <v>3051</v>
      </c>
    </row>
    <row r="1526" spans="1:50">
      <c r="A1526" s="1" t="s">
        <v>97</v>
      </c>
      <c r="B1526" t="s">
        <v>163</v>
      </c>
      <c r="C1526" t="s">
        <v>4736</v>
      </c>
      <c r="D1526" t="s">
        <v>199</v>
      </c>
      <c r="F1526" t="s">
        <v>427</v>
      </c>
      <c r="G1526" t="s">
        <v>8598</v>
      </c>
      <c r="H1526" t="s">
        <v>10065</v>
      </c>
      <c r="I1526">
        <v>7</v>
      </c>
      <c r="J1526" t="s">
        <v>1643</v>
      </c>
      <c r="K1526">
        <v>10034</v>
      </c>
      <c r="L1526" t="s">
        <v>1670</v>
      </c>
      <c r="M1526" t="s">
        <v>1670</v>
      </c>
      <c r="O1526" t="s">
        <v>1939</v>
      </c>
      <c r="P1526" t="s">
        <v>1962</v>
      </c>
      <c r="R1526" t="s">
        <v>50</v>
      </c>
      <c r="S1526" t="s">
        <v>1671</v>
      </c>
      <c r="U1526" t="s">
        <v>1972</v>
      </c>
      <c r="W1526" t="s">
        <v>199</v>
      </c>
      <c r="X1526">
        <v>2200</v>
      </c>
      <c r="Y1526" t="s">
        <v>2008</v>
      </c>
      <c r="Z1526" t="s">
        <v>2013</v>
      </c>
      <c r="AB1526" t="s">
        <v>14124</v>
      </c>
      <c r="AD1526" t="s">
        <v>16552</v>
      </c>
      <c r="AE1526">
        <v>25</v>
      </c>
      <c r="AF1526" t="s">
        <v>2902</v>
      </c>
      <c r="AG1526" t="s">
        <v>1754</v>
      </c>
      <c r="AH1526">
        <v>1</v>
      </c>
      <c r="AI1526">
        <v>1</v>
      </c>
      <c r="AJ1526">
        <v>0</v>
      </c>
      <c r="AK1526">
        <v>65.62</v>
      </c>
      <c r="AN1526" t="s">
        <v>2927</v>
      </c>
      <c r="AO1526">
        <v>8196</v>
      </c>
      <c r="AU1526">
        <v>1.4</v>
      </c>
      <c r="AV1526" t="s">
        <v>405</v>
      </c>
      <c r="AW1526" t="s">
        <v>3042</v>
      </c>
      <c r="AX1526" t="s">
        <v>18685</v>
      </c>
    </row>
    <row r="1527" spans="1:50">
      <c r="A1527" s="1" t="s">
        <v>82</v>
      </c>
      <c r="B1527" t="s">
        <v>163</v>
      </c>
      <c r="C1527" t="s">
        <v>4737</v>
      </c>
      <c r="D1527" t="s">
        <v>181</v>
      </c>
      <c r="F1527" t="s">
        <v>539</v>
      </c>
      <c r="G1527" t="s">
        <v>8599</v>
      </c>
      <c r="H1527" t="s">
        <v>9420</v>
      </c>
      <c r="I1527" t="s">
        <v>11240</v>
      </c>
      <c r="J1527" t="s">
        <v>1644</v>
      </c>
      <c r="K1527">
        <v>11233</v>
      </c>
      <c r="L1527" t="s">
        <v>1670</v>
      </c>
      <c r="M1527" t="s">
        <v>1671</v>
      </c>
      <c r="N1527" t="s">
        <v>1754</v>
      </c>
      <c r="O1527" t="s">
        <v>1937</v>
      </c>
      <c r="P1527" t="s">
        <v>1962</v>
      </c>
      <c r="R1527" t="s">
        <v>50</v>
      </c>
      <c r="S1527" t="s">
        <v>1670</v>
      </c>
      <c r="U1527" t="s">
        <v>1972</v>
      </c>
      <c r="V1527" t="s">
        <v>1984</v>
      </c>
      <c r="W1527" t="s">
        <v>221</v>
      </c>
      <c r="X1527">
        <v>802</v>
      </c>
      <c r="Y1527" t="s">
        <v>2009</v>
      </c>
      <c r="AB1527" t="s">
        <v>14125</v>
      </c>
      <c r="AE1527">
        <v>359</v>
      </c>
      <c r="AF1527" t="s">
        <v>2902</v>
      </c>
      <c r="AH1527">
        <v>12</v>
      </c>
      <c r="AI1527">
        <v>2</v>
      </c>
      <c r="AJ1527">
        <v>0</v>
      </c>
      <c r="AK1527">
        <v>65.78</v>
      </c>
      <c r="AN1527" t="s">
        <v>2926</v>
      </c>
      <c r="AO1527">
        <v>11124</v>
      </c>
      <c r="AP1527" t="s">
        <v>18291</v>
      </c>
      <c r="AU1527" t="s">
        <v>13051</v>
      </c>
      <c r="AW1527" t="s">
        <v>3060</v>
      </c>
    </row>
    <row r="1528" spans="1:50">
      <c r="A1528" s="1" t="s">
        <v>82</v>
      </c>
      <c r="B1528" t="s">
        <v>163</v>
      </c>
      <c r="C1528" t="s">
        <v>4738</v>
      </c>
      <c r="D1528" t="s">
        <v>181</v>
      </c>
      <c r="F1528" t="s">
        <v>539</v>
      </c>
      <c r="G1528" t="s">
        <v>8599</v>
      </c>
      <c r="H1528" t="s">
        <v>9420</v>
      </c>
      <c r="I1528" t="s">
        <v>11240</v>
      </c>
      <c r="J1528" t="s">
        <v>1644</v>
      </c>
      <c r="K1528">
        <v>11233</v>
      </c>
      <c r="L1528" t="s">
        <v>1670</v>
      </c>
      <c r="M1528" t="s">
        <v>1671</v>
      </c>
      <c r="N1528" t="s">
        <v>1754</v>
      </c>
      <c r="O1528" t="s">
        <v>1938</v>
      </c>
      <c r="P1528" t="s">
        <v>1961</v>
      </c>
      <c r="R1528" t="s">
        <v>50</v>
      </c>
      <c r="S1528" t="s">
        <v>1670</v>
      </c>
      <c r="U1528" t="s">
        <v>1972</v>
      </c>
      <c r="V1528" t="s">
        <v>1984</v>
      </c>
      <c r="W1528" t="s">
        <v>248</v>
      </c>
      <c r="X1528">
        <v>802</v>
      </c>
      <c r="Y1528" t="s">
        <v>2009</v>
      </c>
      <c r="AB1528" t="s">
        <v>14125</v>
      </c>
      <c r="AE1528">
        <v>359</v>
      </c>
      <c r="AF1528" t="s">
        <v>2902</v>
      </c>
      <c r="AH1528">
        <v>12</v>
      </c>
      <c r="AI1528">
        <v>2</v>
      </c>
      <c r="AJ1528">
        <v>0</v>
      </c>
      <c r="AK1528">
        <v>65.78</v>
      </c>
      <c r="AN1528" t="s">
        <v>2926</v>
      </c>
      <c r="AO1528">
        <v>11124</v>
      </c>
      <c r="AP1528" t="s">
        <v>18076</v>
      </c>
      <c r="AU1528" t="s">
        <v>13051</v>
      </c>
      <c r="AW1528" t="s">
        <v>3060</v>
      </c>
    </row>
    <row r="1529" spans="1:50">
      <c r="A1529" s="1" t="s">
        <v>73</v>
      </c>
      <c r="B1529" t="s">
        <v>164</v>
      </c>
      <c r="C1529" t="s">
        <v>4739</v>
      </c>
      <c r="D1529" t="s">
        <v>343</v>
      </c>
      <c r="E1529" t="s">
        <v>250</v>
      </c>
      <c r="F1529" t="s">
        <v>583</v>
      </c>
      <c r="G1529" t="s">
        <v>8600</v>
      </c>
      <c r="H1529" t="s">
        <v>10066</v>
      </c>
      <c r="I1529" t="s">
        <v>1520</v>
      </c>
      <c r="J1529" t="s">
        <v>1652</v>
      </c>
      <c r="K1529">
        <v>11361</v>
      </c>
      <c r="L1529" t="s">
        <v>1670</v>
      </c>
      <c r="M1529" t="s">
        <v>1670</v>
      </c>
      <c r="N1529" t="s">
        <v>12270</v>
      </c>
      <c r="O1529" t="s">
        <v>1940</v>
      </c>
      <c r="P1529" t="s">
        <v>1958</v>
      </c>
      <c r="Q1529" t="s">
        <v>1965</v>
      </c>
      <c r="R1529" t="s">
        <v>50</v>
      </c>
      <c r="S1529" t="s">
        <v>1671</v>
      </c>
      <c r="U1529" t="s">
        <v>1972</v>
      </c>
      <c r="V1529" t="s">
        <v>1984</v>
      </c>
      <c r="W1529" t="s">
        <v>312</v>
      </c>
      <c r="X1529">
        <v>1022</v>
      </c>
      <c r="Y1529" t="s">
        <v>2007</v>
      </c>
      <c r="Z1529" t="s">
        <v>2014</v>
      </c>
      <c r="AA1529" t="s">
        <v>2029</v>
      </c>
      <c r="AB1529" t="s">
        <v>14126</v>
      </c>
      <c r="AD1529" t="s">
        <v>16553</v>
      </c>
      <c r="AE1529">
        <v>18</v>
      </c>
      <c r="AF1529" t="s">
        <v>2902</v>
      </c>
      <c r="AG1529" t="s">
        <v>1754</v>
      </c>
      <c r="AH1529">
        <v>22</v>
      </c>
      <c r="AI1529">
        <v>1</v>
      </c>
      <c r="AJ1529">
        <v>0</v>
      </c>
      <c r="AK1529">
        <v>65.90000000000001</v>
      </c>
      <c r="AN1529" t="s">
        <v>2926</v>
      </c>
      <c r="AO1529">
        <v>8000</v>
      </c>
      <c r="AU1529">
        <v>0.9</v>
      </c>
      <c r="AV1529" t="s">
        <v>227</v>
      </c>
      <c r="AW1529" t="s">
        <v>3044</v>
      </c>
    </row>
    <row r="1530" spans="1:50">
      <c r="A1530" s="1" t="s">
        <v>90</v>
      </c>
      <c r="B1530" t="s">
        <v>164</v>
      </c>
      <c r="C1530" t="s">
        <v>4740</v>
      </c>
      <c r="D1530" t="s">
        <v>184</v>
      </c>
      <c r="E1530" t="s">
        <v>304</v>
      </c>
      <c r="F1530" t="s">
        <v>7450</v>
      </c>
      <c r="G1530" t="s">
        <v>8601</v>
      </c>
      <c r="H1530" t="s">
        <v>10067</v>
      </c>
      <c r="I1530" t="s">
        <v>11202</v>
      </c>
      <c r="J1530" t="s">
        <v>1646</v>
      </c>
      <c r="K1530">
        <v>10305</v>
      </c>
      <c r="L1530" t="s">
        <v>1670</v>
      </c>
      <c r="M1530" t="s">
        <v>1670</v>
      </c>
      <c r="N1530" t="s">
        <v>12271</v>
      </c>
      <c r="O1530" t="s">
        <v>1940</v>
      </c>
      <c r="P1530" t="s">
        <v>1960</v>
      </c>
      <c r="Q1530" t="s">
        <v>1969</v>
      </c>
      <c r="R1530" t="s">
        <v>50</v>
      </c>
      <c r="S1530" t="s">
        <v>1671</v>
      </c>
      <c r="U1530" t="s">
        <v>1972</v>
      </c>
      <c r="V1530" t="s">
        <v>1984</v>
      </c>
      <c r="W1530" t="s">
        <v>185</v>
      </c>
      <c r="X1530">
        <v>850</v>
      </c>
      <c r="Y1530" t="s">
        <v>2010</v>
      </c>
      <c r="Z1530" t="s">
        <v>2013</v>
      </c>
      <c r="AA1530" t="s">
        <v>2033</v>
      </c>
      <c r="AB1530" t="s">
        <v>13197</v>
      </c>
      <c r="AD1530" t="s">
        <v>16554</v>
      </c>
      <c r="AE1530">
        <v>2</v>
      </c>
      <c r="AF1530" t="s">
        <v>2903</v>
      </c>
      <c r="AG1530" t="s">
        <v>1754</v>
      </c>
      <c r="AH1530">
        <v>-1</v>
      </c>
      <c r="AI1530">
        <v>1</v>
      </c>
      <c r="AJ1530">
        <v>0</v>
      </c>
      <c r="AK1530">
        <v>65.90000000000001</v>
      </c>
      <c r="AN1530" t="s">
        <v>2930</v>
      </c>
      <c r="AO1530">
        <v>8000</v>
      </c>
      <c r="AQ1530" t="s">
        <v>18423</v>
      </c>
      <c r="AR1530" t="s">
        <v>18469</v>
      </c>
      <c r="AS1530" t="s">
        <v>2993</v>
      </c>
      <c r="AT1530" t="s">
        <v>18520</v>
      </c>
      <c r="AU1530">
        <v>39.1</v>
      </c>
      <c r="AV1530" t="s">
        <v>307</v>
      </c>
      <c r="AW1530" t="s">
        <v>3062</v>
      </c>
    </row>
    <row r="1531" spans="1:50">
      <c r="A1531" s="1" t="s">
        <v>52</v>
      </c>
      <c r="B1531" t="s">
        <v>163</v>
      </c>
      <c r="C1531" t="s">
        <v>4741</v>
      </c>
      <c r="D1531" t="s">
        <v>255</v>
      </c>
      <c r="F1531" t="s">
        <v>452</v>
      </c>
      <c r="G1531" t="s">
        <v>7952</v>
      </c>
      <c r="H1531" t="s">
        <v>10068</v>
      </c>
      <c r="I1531" t="s">
        <v>1534</v>
      </c>
      <c r="J1531" t="s">
        <v>1641</v>
      </c>
      <c r="K1531">
        <v>10452</v>
      </c>
      <c r="L1531" t="s">
        <v>1670</v>
      </c>
      <c r="M1531" t="s">
        <v>1670</v>
      </c>
      <c r="N1531" t="s">
        <v>12272</v>
      </c>
      <c r="O1531" t="s">
        <v>1940</v>
      </c>
      <c r="P1531" t="s">
        <v>1959</v>
      </c>
      <c r="R1531" t="s">
        <v>50</v>
      </c>
      <c r="S1531" t="s">
        <v>1671</v>
      </c>
      <c r="U1531" t="s">
        <v>1972</v>
      </c>
      <c r="V1531" t="s">
        <v>1985</v>
      </c>
      <c r="W1531" t="s">
        <v>255</v>
      </c>
      <c r="X1531">
        <v>1477</v>
      </c>
      <c r="Y1531" t="s">
        <v>2006</v>
      </c>
      <c r="Z1531" t="s">
        <v>2015</v>
      </c>
      <c r="AB1531" t="s">
        <v>14127</v>
      </c>
      <c r="AC1531" t="s">
        <v>15179</v>
      </c>
      <c r="AD1531" t="s">
        <v>16555</v>
      </c>
      <c r="AE1531">
        <v>82</v>
      </c>
      <c r="AF1531" t="s">
        <v>2902</v>
      </c>
      <c r="AG1531" t="s">
        <v>2915</v>
      </c>
      <c r="AH1531">
        <v>10</v>
      </c>
      <c r="AI1531">
        <v>1</v>
      </c>
      <c r="AJ1531">
        <v>0</v>
      </c>
      <c r="AK1531">
        <v>66.2</v>
      </c>
      <c r="AN1531" t="s">
        <v>2926</v>
      </c>
      <c r="AO1531">
        <v>8268</v>
      </c>
      <c r="AP1531" t="s">
        <v>18292</v>
      </c>
      <c r="AU1531">
        <v>22.45</v>
      </c>
      <c r="AV1531" t="s">
        <v>289</v>
      </c>
      <c r="AW1531" t="s">
        <v>52</v>
      </c>
      <c r="AX1531" t="s">
        <v>18686</v>
      </c>
    </row>
    <row r="1532" spans="1:50">
      <c r="A1532" s="1" t="s">
        <v>105</v>
      </c>
      <c r="B1532" t="s">
        <v>164</v>
      </c>
      <c r="C1532" t="s">
        <v>4742</v>
      </c>
      <c r="D1532" t="s">
        <v>389</v>
      </c>
      <c r="E1532" t="s">
        <v>405</v>
      </c>
      <c r="F1532" t="s">
        <v>7318</v>
      </c>
      <c r="G1532" t="s">
        <v>8428</v>
      </c>
      <c r="H1532" t="s">
        <v>9854</v>
      </c>
      <c r="I1532" t="s">
        <v>1584</v>
      </c>
      <c r="J1532" t="s">
        <v>1641</v>
      </c>
      <c r="K1532">
        <v>10467</v>
      </c>
      <c r="L1532" t="s">
        <v>1670</v>
      </c>
      <c r="M1532" t="s">
        <v>1672</v>
      </c>
      <c r="N1532" t="s">
        <v>12273</v>
      </c>
      <c r="O1532" t="s">
        <v>1939</v>
      </c>
      <c r="P1532" t="s">
        <v>1958</v>
      </c>
      <c r="Q1532" t="s">
        <v>1965</v>
      </c>
      <c r="R1532" t="s">
        <v>50</v>
      </c>
      <c r="S1532" t="s">
        <v>1671</v>
      </c>
      <c r="U1532" t="s">
        <v>1972</v>
      </c>
      <c r="V1532" t="s">
        <v>1984</v>
      </c>
      <c r="W1532" t="s">
        <v>389</v>
      </c>
      <c r="X1532">
        <v>1531.65</v>
      </c>
      <c r="Y1532" t="s">
        <v>2006</v>
      </c>
      <c r="Z1532" t="s">
        <v>2015</v>
      </c>
      <c r="AA1532" t="s">
        <v>2029</v>
      </c>
      <c r="AB1532" t="s">
        <v>13858</v>
      </c>
      <c r="AD1532" t="s">
        <v>16291</v>
      </c>
      <c r="AE1532" t="s">
        <v>13051</v>
      </c>
      <c r="AF1532" t="s">
        <v>2902</v>
      </c>
      <c r="AG1532" t="s">
        <v>1754</v>
      </c>
      <c r="AH1532">
        <v>15</v>
      </c>
      <c r="AI1532">
        <v>2</v>
      </c>
      <c r="AJ1532">
        <v>0</v>
      </c>
      <c r="AK1532">
        <v>66.48999999999999</v>
      </c>
      <c r="AN1532" t="s">
        <v>2926</v>
      </c>
      <c r="AO1532">
        <v>11244</v>
      </c>
      <c r="AU1532">
        <v>0.1</v>
      </c>
      <c r="AV1532" t="s">
        <v>405</v>
      </c>
      <c r="AW1532" t="s">
        <v>105</v>
      </c>
      <c r="AX1532" t="s">
        <v>18685</v>
      </c>
    </row>
    <row r="1533" spans="1:50">
      <c r="A1533" s="1" t="s">
        <v>111</v>
      </c>
      <c r="B1533" t="s">
        <v>164</v>
      </c>
      <c r="C1533" t="s">
        <v>4743</v>
      </c>
      <c r="D1533" t="s">
        <v>249</v>
      </c>
      <c r="E1533" t="s">
        <v>404</v>
      </c>
      <c r="F1533" t="s">
        <v>7318</v>
      </c>
      <c r="G1533" t="s">
        <v>8428</v>
      </c>
      <c r="H1533" t="s">
        <v>9854</v>
      </c>
      <c r="I1533" t="s">
        <v>1584</v>
      </c>
      <c r="J1533" t="s">
        <v>1641</v>
      </c>
      <c r="K1533">
        <v>10467</v>
      </c>
      <c r="L1533" t="s">
        <v>1670</v>
      </c>
      <c r="M1533" t="s">
        <v>1672</v>
      </c>
      <c r="P1533" t="s">
        <v>1958</v>
      </c>
      <c r="Q1533" t="s">
        <v>1965</v>
      </c>
      <c r="R1533" t="s">
        <v>50</v>
      </c>
      <c r="S1533" t="s">
        <v>1671</v>
      </c>
      <c r="U1533" t="s">
        <v>1972</v>
      </c>
      <c r="W1533" t="s">
        <v>1991</v>
      </c>
      <c r="X1533">
        <v>1531.65</v>
      </c>
      <c r="Y1533" t="s">
        <v>2006</v>
      </c>
      <c r="Z1533" t="s">
        <v>2015</v>
      </c>
      <c r="AA1533" t="s">
        <v>2029</v>
      </c>
      <c r="AB1533" t="s">
        <v>13858</v>
      </c>
      <c r="AC1533">
        <v>4043580</v>
      </c>
      <c r="AD1533" t="s">
        <v>16291</v>
      </c>
      <c r="AE1533">
        <v>65</v>
      </c>
      <c r="AF1533" t="s">
        <v>2902</v>
      </c>
      <c r="AG1533" t="s">
        <v>2915</v>
      </c>
      <c r="AH1533">
        <v>15</v>
      </c>
      <c r="AI1533">
        <v>2</v>
      </c>
      <c r="AJ1533">
        <v>0</v>
      </c>
      <c r="AK1533">
        <v>66.48999999999999</v>
      </c>
      <c r="AN1533" t="s">
        <v>2926</v>
      </c>
      <c r="AO1533">
        <v>11244</v>
      </c>
      <c r="AU1533">
        <v>0.75</v>
      </c>
      <c r="AV1533" t="s">
        <v>249</v>
      </c>
      <c r="AW1533" t="s">
        <v>3047</v>
      </c>
      <c r="AX1533" t="s">
        <v>18685</v>
      </c>
    </row>
    <row r="1534" spans="1:50">
      <c r="A1534" s="1" t="s">
        <v>59</v>
      </c>
      <c r="B1534" t="s">
        <v>163</v>
      </c>
      <c r="C1534" t="s">
        <v>4744</v>
      </c>
      <c r="D1534" t="s">
        <v>267</v>
      </c>
      <c r="F1534" t="s">
        <v>7451</v>
      </c>
      <c r="G1534" t="s">
        <v>918</v>
      </c>
      <c r="H1534" t="s">
        <v>10069</v>
      </c>
      <c r="I1534" t="s">
        <v>11241</v>
      </c>
      <c r="J1534" t="s">
        <v>1641</v>
      </c>
      <c r="K1534">
        <v>10452</v>
      </c>
      <c r="L1534" t="s">
        <v>1670</v>
      </c>
      <c r="M1534" t="s">
        <v>1670</v>
      </c>
      <c r="O1534" t="s">
        <v>1939</v>
      </c>
      <c r="P1534" t="s">
        <v>1958</v>
      </c>
      <c r="R1534" t="s">
        <v>50</v>
      </c>
      <c r="S1534" t="s">
        <v>1671</v>
      </c>
      <c r="U1534" t="s">
        <v>1972</v>
      </c>
      <c r="W1534" t="s">
        <v>267</v>
      </c>
      <c r="X1534">
        <v>1793.98</v>
      </c>
      <c r="Y1534" t="s">
        <v>2006</v>
      </c>
      <c r="Z1534" t="s">
        <v>2015</v>
      </c>
      <c r="AB1534" t="s">
        <v>14128</v>
      </c>
      <c r="AC1534">
        <v>16069736</v>
      </c>
      <c r="AD1534" t="s">
        <v>16556</v>
      </c>
      <c r="AE1534">
        <v>211</v>
      </c>
      <c r="AF1534" t="s">
        <v>2902</v>
      </c>
      <c r="AG1534" t="s">
        <v>2915</v>
      </c>
      <c r="AH1534">
        <v>16</v>
      </c>
      <c r="AI1534">
        <v>1</v>
      </c>
      <c r="AJ1534">
        <v>0</v>
      </c>
      <c r="AK1534">
        <v>66.72</v>
      </c>
      <c r="AN1534" t="s">
        <v>2926</v>
      </c>
      <c r="AO1534">
        <v>8100</v>
      </c>
      <c r="AU1534" t="s">
        <v>13051</v>
      </c>
      <c r="AW1534" t="s">
        <v>3047</v>
      </c>
    </row>
    <row r="1535" spans="1:50">
      <c r="A1535" s="1" t="s">
        <v>52</v>
      </c>
      <c r="B1535" t="s">
        <v>163</v>
      </c>
      <c r="C1535" t="s">
        <v>4745</v>
      </c>
      <c r="D1535" t="s">
        <v>187</v>
      </c>
      <c r="F1535" t="s">
        <v>6849</v>
      </c>
      <c r="G1535" t="s">
        <v>8574</v>
      </c>
      <c r="H1535" t="s">
        <v>1136</v>
      </c>
      <c r="J1535" t="s">
        <v>1641</v>
      </c>
      <c r="K1535">
        <v>10457</v>
      </c>
      <c r="L1535" t="s">
        <v>1670</v>
      </c>
      <c r="M1535" t="s">
        <v>1670</v>
      </c>
      <c r="N1535" t="s">
        <v>1695</v>
      </c>
      <c r="O1535" t="s">
        <v>1938</v>
      </c>
      <c r="P1535" t="s">
        <v>1961</v>
      </c>
      <c r="R1535" t="s">
        <v>50</v>
      </c>
      <c r="S1535" t="s">
        <v>1670</v>
      </c>
      <c r="U1535" t="s">
        <v>1972</v>
      </c>
      <c r="W1535" t="s">
        <v>359</v>
      </c>
      <c r="X1535">
        <v>579.97</v>
      </c>
      <c r="Y1535" t="s">
        <v>2006</v>
      </c>
      <c r="Z1535" t="s">
        <v>2015</v>
      </c>
      <c r="AB1535" t="s">
        <v>14129</v>
      </c>
      <c r="AE1535" t="s">
        <v>13051</v>
      </c>
      <c r="AF1535" t="s">
        <v>2902</v>
      </c>
      <c r="AG1535" t="s">
        <v>2919</v>
      </c>
      <c r="AH1535">
        <v>9</v>
      </c>
      <c r="AI1535">
        <v>1</v>
      </c>
      <c r="AJ1535">
        <v>0</v>
      </c>
      <c r="AK1535">
        <v>66.72</v>
      </c>
      <c r="AN1535" t="s">
        <v>2927</v>
      </c>
      <c r="AO1535">
        <v>8100</v>
      </c>
      <c r="AU1535">
        <v>0.1</v>
      </c>
      <c r="AV1535" t="s">
        <v>171</v>
      </c>
      <c r="AW1535" t="s">
        <v>3046</v>
      </c>
    </row>
    <row r="1536" spans="1:50">
      <c r="A1536" s="1" t="s">
        <v>52</v>
      </c>
      <c r="B1536" t="s">
        <v>163</v>
      </c>
      <c r="C1536" t="s">
        <v>4746</v>
      </c>
      <c r="D1536" t="s">
        <v>187</v>
      </c>
      <c r="F1536" t="s">
        <v>6849</v>
      </c>
      <c r="G1536" t="s">
        <v>8574</v>
      </c>
      <c r="H1536" t="s">
        <v>1136</v>
      </c>
      <c r="J1536" t="s">
        <v>1641</v>
      </c>
      <c r="K1536">
        <v>10457</v>
      </c>
      <c r="L1536" t="s">
        <v>1670</v>
      </c>
      <c r="M1536" t="s">
        <v>1670</v>
      </c>
      <c r="N1536" t="s">
        <v>1696</v>
      </c>
      <c r="O1536" t="s">
        <v>1939</v>
      </c>
      <c r="P1536" t="s">
        <v>1960</v>
      </c>
      <c r="R1536" t="s">
        <v>50</v>
      </c>
      <c r="S1536" t="s">
        <v>1670</v>
      </c>
      <c r="U1536" t="s">
        <v>1972</v>
      </c>
      <c r="W1536" t="s">
        <v>359</v>
      </c>
      <c r="X1536">
        <v>529.97</v>
      </c>
      <c r="Y1536" t="s">
        <v>2006</v>
      </c>
      <c r="Z1536" t="s">
        <v>2015</v>
      </c>
      <c r="AB1536" t="s">
        <v>14129</v>
      </c>
      <c r="AE1536">
        <v>47</v>
      </c>
      <c r="AF1536" t="s">
        <v>2902</v>
      </c>
      <c r="AG1536" t="s">
        <v>2919</v>
      </c>
      <c r="AH1536">
        <v>9</v>
      </c>
      <c r="AI1536">
        <v>1</v>
      </c>
      <c r="AJ1536">
        <v>0</v>
      </c>
      <c r="AK1536">
        <v>66.72</v>
      </c>
      <c r="AN1536" t="s">
        <v>2927</v>
      </c>
      <c r="AO1536">
        <v>8100</v>
      </c>
      <c r="AU1536">
        <v>0.5</v>
      </c>
      <c r="AV1536" t="s">
        <v>401</v>
      </c>
      <c r="AW1536" t="s">
        <v>3046</v>
      </c>
    </row>
    <row r="1537" spans="1:50">
      <c r="A1537" s="1" t="s">
        <v>3142</v>
      </c>
      <c r="B1537" t="s">
        <v>164</v>
      </c>
      <c r="C1537" t="s">
        <v>4747</v>
      </c>
      <c r="D1537" t="s">
        <v>225</v>
      </c>
      <c r="E1537" t="s">
        <v>225</v>
      </c>
      <c r="F1537" t="s">
        <v>7452</v>
      </c>
      <c r="G1537" t="s">
        <v>8602</v>
      </c>
      <c r="H1537" t="s">
        <v>10070</v>
      </c>
      <c r="I1537" t="s">
        <v>1484</v>
      </c>
      <c r="J1537" t="s">
        <v>1641</v>
      </c>
      <c r="K1537">
        <v>10453</v>
      </c>
      <c r="L1537" t="s">
        <v>1670</v>
      </c>
      <c r="M1537" t="s">
        <v>1670</v>
      </c>
      <c r="O1537" t="s">
        <v>1936</v>
      </c>
      <c r="P1537" t="s">
        <v>1958</v>
      </c>
      <c r="Q1537" t="s">
        <v>1965</v>
      </c>
      <c r="R1537" t="s">
        <v>50</v>
      </c>
      <c r="S1537" t="s">
        <v>1671</v>
      </c>
      <c r="U1537" t="s">
        <v>1972</v>
      </c>
      <c r="W1537" t="s">
        <v>225</v>
      </c>
      <c r="X1537">
        <v>344.22</v>
      </c>
      <c r="Y1537" t="s">
        <v>2006</v>
      </c>
      <c r="Z1537" t="s">
        <v>2015</v>
      </c>
      <c r="AA1537" t="s">
        <v>2029</v>
      </c>
      <c r="AB1537" t="s">
        <v>14130</v>
      </c>
      <c r="AD1537" t="s">
        <v>16557</v>
      </c>
      <c r="AE1537">
        <v>32</v>
      </c>
      <c r="AF1537" t="s">
        <v>2908</v>
      </c>
      <c r="AG1537" t="s">
        <v>1754</v>
      </c>
      <c r="AH1537">
        <v>50</v>
      </c>
      <c r="AI1537">
        <v>1</v>
      </c>
      <c r="AJ1537">
        <v>0</v>
      </c>
      <c r="AK1537">
        <v>66.92</v>
      </c>
      <c r="AN1537" t="s">
        <v>2926</v>
      </c>
      <c r="AO1537">
        <v>8124</v>
      </c>
      <c r="AU1537">
        <v>0.2</v>
      </c>
      <c r="AV1537" t="s">
        <v>225</v>
      </c>
      <c r="AW1537" t="s">
        <v>3046</v>
      </c>
    </row>
    <row r="1538" spans="1:50">
      <c r="A1538" s="1" t="s">
        <v>61</v>
      </c>
      <c r="B1538" t="s">
        <v>163</v>
      </c>
      <c r="C1538" t="s">
        <v>4748</v>
      </c>
      <c r="D1538" t="s">
        <v>217</v>
      </c>
      <c r="F1538" t="s">
        <v>7453</v>
      </c>
      <c r="G1538" t="s">
        <v>7933</v>
      </c>
      <c r="H1538" t="s">
        <v>10071</v>
      </c>
      <c r="I1538">
        <v>3</v>
      </c>
      <c r="J1538" t="s">
        <v>1644</v>
      </c>
      <c r="K1538">
        <v>11203</v>
      </c>
      <c r="L1538" t="s">
        <v>1670</v>
      </c>
      <c r="M1538" t="s">
        <v>1670</v>
      </c>
      <c r="O1538" t="s">
        <v>1675</v>
      </c>
      <c r="P1538" t="s">
        <v>1958</v>
      </c>
      <c r="R1538" t="s">
        <v>50</v>
      </c>
      <c r="S1538" t="s">
        <v>1671</v>
      </c>
      <c r="U1538" t="s">
        <v>1972</v>
      </c>
      <c r="V1538" t="s">
        <v>1984</v>
      </c>
      <c r="W1538" t="s">
        <v>283</v>
      </c>
      <c r="X1538">
        <v>796.83</v>
      </c>
      <c r="Y1538" t="s">
        <v>2009</v>
      </c>
      <c r="Z1538" t="s">
        <v>2015</v>
      </c>
      <c r="AB1538" t="s">
        <v>14131</v>
      </c>
      <c r="AE1538">
        <v>6</v>
      </c>
      <c r="AF1538" t="s">
        <v>2902</v>
      </c>
      <c r="AH1538">
        <v>42</v>
      </c>
      <c r="AI1538">
        <v>1</v>
      </c>
      <c r="AJ1538">
        <v>0</v>
      </c>
      <c r="AK1538">
        <v>67.06</v>
      </c>
      <c r="AN1538" t="s">
        <v>2926</v>
      </c>
      <c r="AO1538">
        <v>8376</v>
      </c>
      <c r="AU1538">
        <v>0.1</v>
      </c>
      <c r="AV1538" t="s">
        <v>293</v>
      </c>
      <c r="AW1538" t="s">
        <v>158</v>
      </c>
      <c r="AX1538" t="s">
        <v>18685</v>
      </c>
    </row>
    <row r="1539" spans="1:50">
      <c r="A1539" s="1" t="s">
        <v>74</v>
      </c>
      <c r="B1539" t="s">
        <v>164</v>
      </c>
      <c r="C1539" t="s">
        <v>4749</v>
      </c>
      <c r="D1539" t="s">
        <v>193</v>
      </c>
      <c r="E1539" t="s">
        <v>401</v>
      </c>
      <c r="F1539" t="s">
        <v>7032</v>
      </c>
      <c r="G1539" t="s">
        <v>1048</v>
      </c>
      <c r="J1539" t="s">
        <v>1641</v>
      </c>
      <c r="K1539">
        <v>10459</v>
      </c>
      <c r="L1539" t="s">
        <v>1670</v>
      </c>
      <c r="M1539" t="s">
        <v>1672</v>
      </c>
      <c r="O1539" t="s">
        <v>1936</v>
      </c>
      <c r="P1539" t="s">
        <v>1958</v>
      </c>
      <c r="Q1539" t="s">
        <v>1965</v>
      </c>
      <c r="R1539" t="s">
        <v>50</v>
      </c>
      <c r="S1539" t="s">
        <v>1671</v>
      </c>
      <c r="U1539" t="s">
        <v>1973</v>
      </c>
      <c r="V1539" t="s">
        <v>1984</v>
      </c>
      <c r="W1539" t="s">
        <v>339</v>
      </c>
      <c r="X1539">
        <v>750</v>
      </c>
      <c r="Y1539" t="s">
        <v>2006</v>
      </c>
      <c r="Z1539" t="s">
        <v>2015</v>
      </c>
      <c r="AA1539" t="s">
        <v>13063</v>
      </c>
      <c r="AB1539" t="s">
        <v>14132</v>
      </c>
      <c r="AE1539">
        <v>39</v>
      </c>
      <c r="AF1539" t="s">
        <v>2902</v>
      </c>
      <c r="AH1539">
        <v>12</v>
      </c>
      <c r="AI1539">
        <v>1</v>
      </c>
      <c r="AJ1539">
        <v>0</v>
      </c>
      <c r="AK1539">
        <v>67.25</v>
      </c>
      <c r="AO1539">
        <v>8400</v>
      </c>
      <c r="AT1539" t="s">
        <v>18554</v>
      </c>
      <c r="AU1539">
        <v>0.5</v>
      </c>
      <c r="AV1539" t="s">
        <v>401</v>
      </c>
      <c r="AW1539" t="s">
        <v>74</v>
      </c>
      <c r="AX1539" t="s">
        <v>18685</v>
      </c>
    </row>
    <row r="1540" spans="1:50">
      <c r="A1540" s="1" t="s">
        <v>123</v>
      </c>
      <c r="B1540" t="s">
        <v>163</v>
      </c>
      <c r="C1540" t="s">
        <v>4750</v>
      </c>
      <c r="D1540" t="s">
        <v>339</v>
      </c>
      <c r="F1540" t="s">
        <v>7454</v>
      </c>
      <c r="G1540" t="s">
        <v>8603</v>
      </c>
      <c r="H1540" t="s">
        <v>10072</v>
      </c>
      <c r="I1540" t="s">
        <v>1571</v>
      </c>
      <c r="J1540" t="s">
        <v>1641</v>
      </c>
      <c r="K1540">
        <v>10452</v>
      </c>
      <c r="L1540" t="s">
        <v>1670</v>
      </c>
      <c r="M1540" t="s">
        <v>1672</v>
      </c>
      <c r="N1540" t="s">
        <v>12274</v>
      </c>
      <c r="O1540" t="s">
        <v>1936</v>
      </c>
      <c r="P1540" t="s">
        <v>1958</v>
      </c>
      <c r="R1540" t="s">
        <v>50</v>
      </c>
      <c r="U1540" t="s">
        <v>1972</v>
      </c>
      <c r="V1540" t="s">
        <v>1985</v>
      </c>
      <c r="W1540" t="s">
        <v>1991</v>
      </c>
      <c r="X1540" t="s">
        <v>13051</v>
      </c>
      <c r="Y1540" t="s">
        <v>2006</v>
      </c>
      <c r="AB1540" t="s">
        <v>14133</v>
      </c>
      <c r="AD1540" t="s">
        <v>16558</v>
      </c>
      <c r="AE1540" t="s">
        <v>13051</v>
      </c>
      <c r="AH1540" t="s">
        <v>13051</v>
      </c>
      <c r="AI1540">
        <v>1</v>
      </c>
      <c r="AJ1540">
        <v>0</v>
      </c>
      <c r="AK1540">
        <v>67.25</v>
      </c>
      <c r="AO1540">
        <v>8400</v>
      </c>
      <c r="AU1540">
        <v>0.5</v>
      </c>
      <c r="AV1540" t="s">
        <v>203</v>
      </c>
      <c r="AW1540" t="s">
        <v>123</v>
      </c>
      <c r="AX1540" t="s">
        <v>18685</v>
      </c>
    </row>
    <row r="1541" spans="1:50">
      <c r="A1541" s="1" t="s">
        <v>135</v>
      </c>
      <c r="B1541" t="s">
        <v>163</v>
      </c>
      <c r="C1541" t="s">
        <v>4751</v>
      </c>
      <c r="D1541" t="s">
        <v>2001</v>
      </c>
      <c r="F1541" t="s">
        <v>7421</v>
      </c>
      <c r="G1541" t="s">
        <v>8604</v>
      </c>
      <c r="H1541" t="s">
        <v>10073</v>
      </c>
      <c r="I1541" t="s">
        <v>10972</v>
      </c>
      <c r="J1541" t="s">
        <v>1644</v>
      </c>
      <c r="K1541">
        <v>11212</v>
      </c>
      <c r="L1541" t="s">
        <v>1670</v>
      </c>
      <c r="M1541" t="s">
        <v>1670</v>
      </c>
      <c r="O1541" t="s">
        <v>1939</v>
      </c>
      <c r="P1541" t="s">
        <v>1960</v>
      </c>
      <c r="R1541" t="s">
        <v>50</v>
      </c>
      <c r="S1541" t="s">
        <v>1670</v>
      </c>
      <c r="U1541" t="s">
        <v>1972</v>
      </c>
      <c r="V1541" t="s">
        <v>1984</v>
      </c>
      <c r="W1541" t="s">
        <v>336</v>
      </c>
      <c r="X1541">
        <v>1000</v>
      </c>
      <c r="Y1541" t="s">
        <v>2009</v>
      </c>
      <c r="Z1541" t="s">
        <v>2015</v>
      </c>
      <c r="AB1541" t="s">
        <v>14134</v>
      </c>
      <c r="AE1541">
        <v>71</v>
      </c>
      <c r="AF1541" t="s">
        <v>2902</v>
      </c>
      <c r="AG1541" t="s">
        <v>2915</v>
      </c>
      <c r="AH1541">
        <v>45</v>
      </c>
      <c r="AI1541">
        <v>1</v>
      </c>
      <c r="AJ1541">
        <v>0</v>
      </c>
      <c r="AK1541">
        <v>67.25</v>
      </c>
      <c r="AN1541" t="s">
        <v>2926</v>
      </c>
      <c r="AO1541">
        <v>8400</v>
      </c>
      <c r="AU1541" t="s">
        <v>13051</v>
      </c>
      <c r="AW1541" t="s">
        <v>3060</v>
      </c>
    </row>
    <row r="1542" spans="1:50">
      <c r="A1542" s="1" t="s">
        <v>71</v>
      </c>
      <c r="B1542" t="s">
        <v>164</v>
      </c>
      <c r="C1542" t="s">
        <v>4752</v>
      </c>
      <c r="D1542" t="s">
        <v>190</v>
      </c>
      <c r="E1542" t="s">
        <v>361</v>
      </c>
      <c r="F1542" t="s">
        <v>7455</v>
      </c>
      <c r="G1542" t="s">
        <v>8605</v>
      </c>
      <c r="H1542" t="s">
        <v>10074</v>
      </c>
      <c r="I1542" t="s">
        <v>1574</v>
      </c>
      <c r="J1542" t="s">
        <v>1646</v>
      </c>
      <c r="K1542">
        <v>10312</v>
      </c>
      <c r="L1542" t="s">
        <v>1670</v>
      </c>
      <c r="M1542" t="s">
        <v>1670</v>
      </c>
      <c r="N1542" t="s">
        <v>12275</v>
      </c>
      <c r="O1542" t="s">
        <v>1940</v>
      </c>
      <c r="P1542" t="s">
        <v>1960</v>
      </c>
      <c r="Q1542" t="s">
        <v>1969</v>
      </c>
      <c r="R1542" t="s">
        <v>50</v>
      </c>
      <c r="S1542" t="s">
        <v>13025</v>
      </c>
      <c r="U1542" t="s">
        <v>1972</v>
      </c>
      <c r="V1542" t="s">
        <v>1984</v>
      </c>
      <c r="W1542" t="s">
        <v>324</v>
      </c>
      <c r="X1542">
        <v>2400</v>
      </c>
      <c r="Y1542" t="s">
        <v>2010</v>
      </c>
      <c r="Z1542" t="s">
        <v>2011</v>
      </c>
      <c r="AA1542" t="s">
        <v>2042</v>
      </c>
      <c r="AB1542" t="s">
        <v>14135</v>
      </c>
      <c r="AD1542" t="s">
        <v>16559</v>
      </c>
      <c r="AE1542">
        <v>1</v>
      </c>
      <c r="AF1542" t="s">
        <v>2903</v>
      </c>
      <c r="AG1542" t="s">
        <v>1754</v>
      </c>
      <c r="AH1542">
        <v>1</v>
      </c>
      <c r="AI1542">
        <v>3</v>
      </c>
      <c r="AJ1542">
        <v>0</v>
      </c>
      <c r="AK1542">
        <v>67.51000000000001</v>
      </c>
      <c r="AN1542" t="s">
        <v>2926</v>
      </c>
      <c r="AO1542">
        <v>14400</v>
      </c>
      <c r="AQ1542" t="s">
        <v>2979</v>
      </c>
      <c r="AR1542" t="s">
        <v>18451</v>
      </c>
      <c r="AS1542" t="s">
        <v>2993</v>
      </c>
      <c r="AT1542" t="s">
        <v>18555</v>
      </c>
      <c r="AU1542">
        <v>6.6</v>
      </c>
      <c r="AV1542" t="s">
        <v>361</v>
      </c>
      <c r="AW1542" t="s">
        <v>3056</v>
      </c>
      <c r="AX1542" t="s">
        <v>1754</v>
      </c>
    </row>
    <row r="1543" spans="1:50">
      <c r="A1543" s="1" t="s">
        <v>57</v>
      </c>
      <c r="B1543" t="s">
        <v>164</v>
      </c>
      <c r="C1543" t="s">
        <v>4753</v>
      </c>
      <c r="D1543" t="s">
        <v>247</v>
      </c>
      <c r="E1543" t="s">
        <v>376</v>
      </c>
      <c r="F1543" t="s">
        <v>7318</v>
      </c>
      <c r="G1543" t="s">
        <v>8428</v>
      </c>
      <c r="H1543" t="s">
        <v>9854</v>
      </c>
      <c r="I1543" t="s">
        <v>1584</v>
      </c>
      <c r="J1543" t="s">
        <v>1641</v>
      </c>
      <c r="K1543">
        <v>10467</v>
      </c>
      <c r="L1543" t="s">
        <v>1670</v>
      </c>
      <c r="M1543" t="s">
        <v>1670</v>
      </c>
      <c r="O1543" t="s">
        <v>1939</v>
      </c>
      <c r="P1543" t="s">
        <v>1958</v>
      </c>
      <c r="Q1543" t="s">
        <v>1965</v>
      </c>
      <c r="R1543" t="s">
        <v>50</v>
      </c>
      <c r="S1543" t="s">
        <v>1671</v>
      </c>
      <c r="U1543" t="s">
        <v>1972</v>
      </c>
      <c r="W1543" t="s">
        <v>382</v>
      </c>
      <c r="X1543">
        <v>1500.03</v>
      </c>
      <c r="Y1543" t="s">
        <v>2006</v>
      </c>
      <c r="Z1543" t="s">
        <v>2015</v>
      </c>
      <c r="AA1543" t="s">
        <v>2029</v>
      </c>
      <c r="AB1543" t="s">
        <v>13858</v>
      </c>
      <c r="AC1543">
        <v>4043580</v>
      </c>
      <c r="AD1543" t="s">
        <v>16291</v>
      </c>
      <c r="AE1543" t="s">
        <v>13051</v>
      </c>
      <c r="AF1543" t="s">
        <v>2902</v>
      </c>
      <c r="AH1543">
        <v>14</v>
      </c>
      <c r="AI1543">
        <v>2</v>
      </c>
      <c r="AJ1543">
        <v>0</v>
      </c>
      <c r="AK1543">
        <v>67.52</v>
      </c>
      <c r="AN1543" t="s">
        <v>2927</v>
      </c>
      <c r="AO1543">
        <v>11114</v>
      </c>
      <c r="AU1543">
        <v>2.6</v>
      </c>
      <c r="AV1543" t="s">
        <v>382</v>
      </c>
      <c r="AW1543" t="s">
        <v>128</v>
      </c>
      <c r="AX1543" t="s">
        <v>18686</v>
      </c>
    </row>
    <row r="1544" spans="1:50">
      <c r="A1544" s="1" t="s">
        <v>57</v>
      </c>
      <c r="B1544" t="s">
        <v>164</v>
      </c>
      <c r="C1544" t="s">
        <v>4754</v>
      </c>
      <c r="D1544" t="s">
        <v>228</v>
      </c>
      <c r="E1544" t="s">
        <v>323</v>
      </c>
      <c r="F1544" t="s">
        <v>7318</v>
      </c>
      <c r="G1544" t="s">
        <v>8428</v>
      </c>
      <c r="H1544" t="s">
        <v>9854</v>
      </c>
      <c r="J1544" t="s">
        <v>1641</v>
      </c>
      <c r="K1544">
        <v>10467</v>
      </c>
      <c r="L1544" t="s">
        <v>1670</v>
      </c>
      <c r="M1544" t="s">
        <v>1670</v>
      </c>
      <c r="N1544" t="s">
        <v>12276</v>
      </c>
      <c r="O1544" t="s">
        <v>1936</v>
      </c>
      <c r="P1544" t="s">
        <v>1958</v>
      </c>
      <c r="Q1544" t="s">
        <v>1965</v>
      </c>
      <c r="R1544" t="s">
        <v>50</v>
      </c>
      <c r="S1544" t="s">
        <v>1671</v>
      </c>
      <c r="U1544" t="s">
        <v>1972</v>
      </c>
      <c r="V1544" t="s">
        <v>1985</v>
      </c>
      <c r="W1544" t="s">
        <v>228</v>
      </c>
      <c r="X1544">
        <v>1500.03</v>
      </c>
      <c r="Y1544" t="s">
        <v>2006</v>
      </c>
      <c r="Z1544" t="s">
        <v>2015</v>
      </c>
      <c r="AA1544" t="s">
        <v>2029</v>
      </c>
      <c r="AB1544" t="s">
        <v>13858</v>
      </c>
      <c r="AC1544">
        <v>4043580</v>
      </c>
      <c r="AD1544" t="s">
        <v>16291</v>
      </c>
      <c r="AE1544" t="s">
        <v>13051</v>
      </c>
      <c r="AF1544" t="s">
        <v>2902</v>
      </c>
      <c r="AG1544" t="s">
        <v>2915</v>
      </c>
      <c r="AH1544">
        <v>14</v>
      </c>
      <c r="AI1544">
        <v>2</v>
      </c>
      <c r="AJ1544">
        <v>0</v>
      </c>
      <c r="AK1544">
        <v>67.52</v>
      </c>
      <c r="AN1544" t="s">
        <v>2926</v>
      </c>
      <c r="AO1544">
        <v>11114</v>
      </c>
      <c r="AU1544">
        <v>0.1</v>
      </c>
      <c r="AV1544" t="s">
        <v>323</v>
      </c>
      <c r="AW1544" t="s">
        <v>57</v>
      </c>
      <c r="AX1544" t="s">
        <v>18686</v>
      </c>
    </row>
    <row r="1545" spans="1:50">
      <c r="A1545" s="1" t="s">
        <v>123</v>
      </c>
      <c r="B1545" t="s">
        <v>163</v>
      </c>
      <c r="C1545" t="s">
        <v>4755</v>
      </c>
      <c r="D1545" t="s">
        <v>373</v>
      </c>
      <c r="F1545" t="s">
        <v>7318</v>
      </c>
      <c r="G1545" t="s">
        <v>8595</v>
      </c>
      <c r="H1545" t="s">
        <v>9854</v>
      </c>
      <c r="I1545" t="s">
        <v>1584</v>
      </c>
      <c r="J1545" t="s">
        <v>1641</v>
      </c>
      <c r="K1545">
        <v>10467</v>
      </c>
      <c r="L1545" t="s">
        <v>1670</v>
      </c>
      <c r="M1545" t="s">
        <v>1670</v>
      </c>
      <c r="N1545" t="s">
        <v>12273</v>
      </c>
      <c r="O1545" t="s">
        <v>1939</v>
      </c>
      <c r="P1545" t="s">
        <v>1962</v>
      </c>
      <c r="R1545" t="s">
        <v>50</v>
      </c>
      <c r="S1545" t="s">
        <v>1671</v>
      </c>
      <c r="U1545" t="s">
        <v>1972</v>
      </c>
      <c r="V1545" t="s">
        <v>1984</v>
      </c>
      <c r="W1545" t="s">
        <v>373</v>
      </c>
      <c r="X1545">
        <v>1509</v>
      </c>
      <c r="Y1545" t="s">
        <v>2006</v>
      </c>
      <c r="Z1545" t="s">
        <v>2013</v>
      </c>
      <c r="AB1545" t="s">
        <v>13858</v>
      </c>
      <c r="AC1545">
        <v>4043580</v>
      </c>
      <c r="AD1545" t="s">
        <v>16291</v>
      </c>
      <c r="AE1545" t="s">
        <v>13051</v>
      </c>
      <c r="AF1545" t="s">
        <v>2902</v>
      </c>
      <c r="AG1545" t="s">
        <v>2915</v>
      </c>
      <c r="AH1545" t="s">
        <v>13051</v>
      </c>
      <c r="AI1545">
        <v>2</v>
      </c>
      <c r="AJ1545">
        <v>0</v>
      </c>
      <c r="AK1545">
        <v>67.52</v>
      </c>
      <c r="AN1545" t="s">
        <v>2926</v>
      </c>
      <c r="AO1545">
        <v>11114</v>
      </c>
      <c r="AU1545">
        <v>1</v>
      </c>
      <c r="AV1545" t="s">
        <v>339</v>
      </c>
      <c r="AW1545" t="s">
        <v>123</v>
      </c>
    </row>
    <row r="1546" spans="1:50">
      <c r="A1546" s="1" t="s">
        <v>75</v>
      </c>
      <c r="B1546" t="s">
        <v>164</v>
      </c>
      <c r="C1546" t="s">
        <v>4756</v>
      </c>
      <c r="D1546" t="s">
        <v>343</v>
      </c>
      <c r="E1546" t="s">
        <v>266</v>
      </c>
      <c r="F1546" t="s">
        <v>7456</v>
      </c>
      <c r="G1546" t="s">
        <v>873</v>
      </c>
      <c r="H1546" t="s">
        <v>10075</v>
      </c>
      <c r="I1546" t="s">
        <v>1525</v>
      </c>
      <c r="J1546" t="s">
        <v>1643</v>
      </c>
      <c r="K1546">
        <v>10035</v>
      </c>
      <c r="L1546" t="s">
        <v>1670</v>
      </c>
      <c r="M1546" t="s">
        <v>1670</v>
      </c>
      <c r="N1546" t="s">
        <v>12277</v>
      </c>
      <c r="O1546" t="s">
        <v>1940</v>
      </c>
      <c r="P1546" t="s">
        <v>1960</v>
      </c>
      <c r="Q1546" t="s">
        <v>1969</v>
      </c>
      <c r="R1546" t="s">
        <v>50</v>
      </c>
      <c r="S1546" t="s">
        <v>1671</v>
      </c>
      <c r="U1546" t="s">
        <v>1972</v>
      </c>
      <c r="V1546" t="s">
        <v>1984</v>
      </c>
      <c r="W1546" t="s">
        <v>166</v>
      </c>
      <c r="X1546" t="s">
        <v>13051</v>
      </c>
      <c r="Y1546" t="s">
        <v>2008</v>
      </c>
      <c r="Z1546" t="s">
        <v>2015</v>
      </c>
      <c r="AA1546" t="s">
        <v>2032</v>
      </c>
      <c r="AB1546" t="s">
        <v>14136</v>
      </c>
      <c r="AE1546">
        <v>24</v>
      </c>
      <c r="AF1546" t="s">
        <v>2902</v>
      </c>
      <c r="AG1546" t="s">
        <v>2915</v>
      </c>
      <c r="AH1546">
        <v>22</v>
      </c>
      <c r="AI1546">
        <v>3</v>
      </c>
      <c r="AJ1546">
        <v>0</v>
      </c>
      <c r="AK1546">
        <v>67.56</v>
      </c>
      <c r="AN1546" t="s">
        <v>2926</v>
      </c>
      <c r="AO1546">
        <v>14040</v>
      </c>
      <c r="AU1546">
        <v>6.5</v>
      </c>
      <c r="AV1546" t="s">
        <v>187</v>
      </c>
      <c r="AW1546" t="s">
        <v>3051</v>
      </c>
      <c r="AX1546" t="s">
        <v>18685</v>
      </c>
    </row>
    <row r="1547" spans="1:50">
      <c r="A1547" s="1" t="s">
        <v>114</v>
      </c>
      <c r="B1547" t="s">
        <v>164</v>
      </c>
      <c r="C1547" t="s">
        <v>4757</v>
      </c>
      <c r="D1547" t="s">
        <v>314</v>
      </c>
      <c r="E1547" t="s">
        <v>243</v>
      </c>
      <c r="F1547" t="s">
        <v>7457</v>
      </c>
      <c r="G1547" t="s">
        <v>1048</v>
      </c>
      <c r="H1547" t="s">
        <v>1137</v>
      </c>
      <c r="I1547" t="s">
        <v>10985</v>
      </c>
      <c r="J1547" t="s">
        <v>1641</v>
      </c>
      <c r="K1547">
        <v>10453</v>
      </c>
      <c r="L1547" t="s">
        <v>1670</v>
      </c>
      <c r="M1547" t="s">
        <v>1670</v>
      </c>
      <c r="N1547" t="s">
        <v>12278</v>
      </c>
      <c r="O1547" t="s">
        <v>1936</v>
      </c>
      <c r="P1547" t="s">
        <v>1962</v>
      </c>
      <c r="Q1547" t="s">
        <v>1968</v>
      </c>
      <c r="R1547" t="s">
        <v>50</v>
      </c>
      <c r="S1547" t="s">
        <v>1671</v>
      </c>
      <c r="U1547" t="s">
        <v>1972</v>
      </c>
      <c r="W1547" t="s">
        <v>180</v>
      </c>
      <c r="X1547">
        <v>1600</v>
      </c>
      <c r="Y1547" t="s">
        <v>2006</v>
      </c>
      <c r="Z1547" t="s">
        <v>2024</v>
      </c>
      <c r="AA1547" t="s">
        <v>2030</v>
      </c>
      <c r="AB1547" t="s">
        <v>14137</v>
      </c>
      <c r="AD1547" t="s">
        <v>16560</v>
      </c>
      <c r="AE1547">
        <v>43</v>
      </c>
      <c r="AF1547" t="s">
        <v>2909</v>
      </c>
      <c r="AG1547" t="s">
        <v>2915</v>
      </c>
      <c r="AH1547">
        <v>4</v>
      </c>
      <c r="AI1547">
        <v>1</v>
      </c>
      <c r="AJ1547">
        <v>0</v>
      </c>
      <c r="AK1547">
        <v>68.01000000000001</v>
      </c>
      <c r="AN1547" t="s">
        <v>2927</v>
      </c>
      <c r="AO1547">
        <v>8256</v>
      </c>
      <c r="AU1547">
        <v>2</v>
      </c>
      <c r="AV1547" t="s">
        <v>180</v>
      </c>
      <c r="AW1547" t="s">
        <v>18658</v>
      </c>
    </row>
    <row r="1548" spans="1:50">
      <c r="A1548" s="1" t="s">
        <v>101</v>
      </c>
      <c r="B1548" t="s">
        <v>163</v>
      </c>
      <c r="C1548" t="s">
        <v>4758</v>
      </c>
      <c r="D1548" t="s">
        <v>385</v>
      </c>
      <c r="F1548" t="s">
        <v>7458</v>
      </c>
      <c r="G1548" t="s">
        <v>8606</v>
      </c>
      <c r="H1548" t="s">
        <v>9879</v>
      </c>
      <c r="I1548" t="s">
        <v>1497</v>
      </c>
      <c r="J1548" t="s">
        <v>1643</v>
      </c>
      <c r="K1548">
        <v>10031</v>
      </c>
      <c r="L1548" t="s">
        <v>1670</v>
      </c>
      <c r="M1548" t="s">
        <v>1670</v>
      </c>
      <c r="N1548" t="s">
        <v>12279</v>
      </c>
      <c r="O1548" t="s">
        <v>1939</v>
      </c>
      <c r="P1548" t="s">
        <v>1960</v>
      </c>
      <c r="R1548" t="s">
        <v>50</v>
      </c>
      <c r="S1548" t="s">
        <v>1671</v>
      </c>
      <c r="U1548" t="s">
        <v>1972</v>
      </c>
      <c r="V1548" t="s">
        <v>1984</v>
      </c>
      <c r="W1548" t="s">
        <v>186</v>
      </c>
      <c r="X1548">
        <v>2130</v>
      </c>
      <c r="Y1548" t="s">
        <v>2008</v>
      </c>
      <c r="Z1548" t="s">
        <v>2016</v>
      </c>
      <c r="AB1548" t="s">
        <v>14138</v>
      </c>
      <c r="AD1548" t="s">
        <v>16561</v>
      </c>
      <c r="AE1548">
        <v>44</v>
      </c>
      <c r="AF1548" t="s">
        <v>2902</v>
      </c>
      <c r="AG1548" t="s">
        <v>2915</v>
      </c>
      <c r="AH1548">
        <v>22</v>
      </c>
      <c r="AI1548">
        <v>3</v>
      </c>
      <c r="AJ1548">
        <v>0</v>
      </c>
      <c r="AK1548">
        <v>68.06999999999999</v>
      </c>
      <c r="AN1548" t="s">
        <v>2927</v>
      </c>
      <c r="AO1548">
        <v>14520</v>
      </c>
      <c r="AU1548" t="s">
        <v>13051</v>
      </c>
      <c r="AW1548" t="s">
        <v>3051</v>
      </c>
    </row>
    <row r="1549" spans="1:50">
      <c r="A1549" s="1" t="s">
        <v>96</v>
      </c>
      <c r="B1549" t="s">
        <v>163</v>
      </c>
      <c r="C1549" t="s">
        <v>4759</v>
      </c>
      <c r="D1549" t="s">
        <v>305</v>
      </c>
      <c r="F1549" t="s">
        <v>7459</v>
      </c>
      <c r="G1549" t="s">
        <v>8607</v>
      </c>
      <c r="H1549" t="s">
        <v>10076</v>
      </c>
      <c r="I1549">
        <v>415</v>
      </c>
      <c r="J1549" t="s">
        <v>1644</v>
      </c>
      <c r="K1549">
        <v>11225</v>
      </c>
      <c r="L1549" t="s">
        <v>1670</v>
      </c>
      <c r="M1549" t="s">
        <v>1670</v>
      </c>
      <c r="O1549" t="s">
        <v>1941</v>
      </c>
      <c r="P1549" t="s">
        <v>1959</v>
      </c>
      <c r="R1549" t="s">
        <v>50</v>
      </c>
      <c r="S1549" t="s">
        <v>1671</v>
      </c>
      <c r="U1549" t="s">
        <v>1972</v>
      </c>
      <c r="W1549" t="s">
        <v>256</v>
      </c>
      <c r="X1549">
        <v>257.3</v>
      </c>
      <c r="Y1549" t="s">
        <v>2009</v>
      </c>
      <c r="Z1549" t="s">
        <v>2015</v>
      </c>
      <c r="AB1549" t="s">
        <v>14139</v>
      </c>
      <c r="AE1549">
        <v>42</v>
      </c>
      <c r="AF1549" t="s">
        <v>2902</v>
      </c>
      <c r="AG1549" t="s">
        <v>2915</v>
      </c>
      <c r="AH1549">
        <v>28</v>
      </c>
      <c r="AI1549">
        <v>2</v>
      </c>
      <c r="AJ1549">
        <v>0</v>
      </c>
      <c r="AK1549">
        <v>68.17</v>
      </c>
      <c r="AN1549" t="s">
        <v>2926</v>
      </c>
      <c r="AO1549">
        <v>11220</v>
      </c>
      <c r="AU1549">
        <v>1.7</v>
      </c>
      <c r="AV1549" t="s">
        <v>179</v>
      </c>
      <c r="AW1549" t="s">
        <v>3079</v>
      </c>
    </row>
    <row r="1550" spans="1:50">
      <c r="A1550" s="1" t="s">
        <v>74</v>
      </c>
      <c r="B1550" t="s">
        <v>163</v>
      </c>
      <c r="C1550" t="s">
        <v>4760</v>
      </c>
      <c r="D1550" t="s">
        <v>191</v>
      </c>
      <c r="F1550" t="s">
        <v>7460</v>
      </c>
      <c r="G1550" t="s">
        <v>8608</v>
      </c>
      <c r="H1550" t="s">
        <v>1131</v>
      </c>
      <c r="I1550" t="s">
        <v>1482</v>
      </c>
      <c r="J1550" t="s">
        <v>1641</v>
      </c>
      <c r="K1550">
        <v>10460</v>
      </c>
      <c r="L1550" t="s">
        <v>1670</v>
      </c>
      <c r="M1550" t="s">
        <v>1672</v>
      </c>
      <c r="O1550" t="s">
        <v>1675</v>
      </c>
      <c r="P1550" t="s">
        <v>1959</v>
      </c>
      <c r="R1550" t="s">
        <v>50</v>
      </c>
      <c r="S1550" t="s">
        <v>1670</v>
      </c>
      <c r="U1550" t="s">
        <v>1972</v>
      </c>
      <c r="W1550" t="s">
        <v>1991</v>
      </c>
      <c r="X1550">
        <v>266.5</v>
      </c>
      <c r="Y1550" t="s">
        <v>2006</v>
      </c>
      <c r="Z1550" t="s">
        <v>2015</v>
      </c>
      <c r="AB1550" t="s">
        <v>14140</v>
      </c>
      <c r="AD1550" t="s">
        <v>16562</v>
      </c>
      <c r="AE1550">
        <v>168</v>
      </c>
      <c r="AF1550" t="s">
        <v>2902</v>
      </c>
      <c r="AG1550" t="s">
        <v>2915</v>
      </c>
      <c r="AH1550">
        <v>8</v>
      </c>
      <c r="AI1550">
        <v>1</v>
      </c>
      <c r="AJ1550">
        <v>0</v>
      </c>
      <c r="AK1550">
        <v>68.20999999999999</v>
      </c>
      <c r="AN1550" t="s">
        <v>2927</v>
      </c>
      <c r="AO1550">
        <v>8520</v>
      </c>
      <c r="AU1550" t="s">
        <v>13051</v>
      </c>
      <c r="AW1550" t="s">
        <v>3054</v>
      </c>
      <c r="AX1550" t="s">
        <v>18685</v>
      </c>
    </row>
    <row r="1551" spans="1:50">
      <c r="A1551" s="1" t="s">
        <v>73</v>
      </c>
      <c r="B1551" t="s">
        <v>164</v>
      </c>
      <c r="C1551" t="s">
        <v>4761</v>
      </c>
      <c r="D1551" t="s">
        <v>250</v>
      </c>
      <c r="E1551" t="s">
        <v>308</v>
      </c>
      <c r="F1551" t="s">
        <v>513</v>
      </c>
      <c r="G1551" t="s">
        <v>875</v>
      </c>
      <c r="H1551" t="s">
        <v>1209</v>
      </c>
      <c r="I1551" t="s">
        <v>1549</v>
      </c>
      <c r="J1551" t="s">
        <v>1651</v>
      </c>
      <c r="K1551">
        <v>11412</v>
      </c>
      <c r="L1551" t="s">
        <v>1670</v>
      </c>
      <c r="M1551" t="s">
        <v>1670</v>
      </c>
      <c r="N1551" t="s">
        <v>12280</v>
      </c>
      <c r="O1551" t="s">
        <v>1939</v>
      </c>
      <c r="P1551" t="s">
        <v>1958</v>
      </c>
      <c r="Q1551" t="s">
        <v>1965</v>
      </c>
      <c r="R1551" t="s">
        <v>50</v>
      </c>
      <c r="S1551" t="s">
        <v>1671</v>
      </c>
      <c r="U1551" t="s">
        <v>1972</v>
      </c>
      <c r="V1551" t="s">
        <v>1984</v>
      </c>
      <c r="W1551" t="s">
        <v>200</v>
      </c>
      <c r="X1551">
        <v>800</v>
      </c>
      <c r="Y1551" t="s">
        <v>2007</v>
      </c>
      <c r="Z1551" t="s">
        <v>2014</v>
      </c>
      <c r="AA1551" t="s">
        <v>2029</v>
      </c>
      <c r="AB1551" t="s">
        <v>2158</v>
      </c>
      <c r="AD1551" t="s">
        <v>2585</v>
      </c>
      <c r="AE1551">
        <v>2</v>
      </c>
      <c r="AF1551" t="s">
        <v>2903</v>
      </c>
      <c r="AG1551" t="s">
        <v>1754</v>
      </c>
      <c r="AH1551">
        <v>1</v>
      </c>
      <c r="AI1551">
        <v>1</v>
      </c>
      <c r="AJ1551">
        <v>0</v>
      </c>
      <c r="AK1551">
        <v>69.19</v>
      </c>
      <c r="AN1551" t="s">
        <v>2926</v>
      </c>
      <c r="AO1551">
        <v>8400</v>
      </c>
      <c r="AU1551">
        <v>0.8</v>
      </c>
      <c r="AV1551" t="s">
        <v>308</v>
      </c>
      <c r="AW1551" t="s">
        <v>85</v>
      </c>
    </row>
    <row r="1552" spans="1:50">
      <c r="A1552" s="1" t="s">
        <v>59</v>
      </c>
      <c r="B1552" t="s">
        <v>163</v>
      </c>
      <c r="C1552" t="s">
        <v>4762</v>
      </c>
      <c r="D1552" t="s">
        <v>382</v>
      </c>
      <c r="F1552" t="s">
        <v>7301</v>
      </c>
      <c r="G1552" t="s">
        <v>914</v>
      </c>
      <c r="H1552" t="s">
        <v>10077</v>
      </c>
      <c r="I1552" t="s">
        <v>11242</v>
      </c>
      <c r="J1552" t="s">
        <v>1641</v>
      </c>
      <c r="K1552">
        <v>10459</v>
      </c>
      <c r="L1552" t="s">
        <v>1670</v>
      </c>
      <c r="M1552" t="s">
        <v>1670</v>
      </c>
      <c r="N1552" t="s">
        <v>12281</v>
      </c>
      <c r="O1552" t="s">
        <v>1936</v>
      </c>
      <c r="P1552" t="s">
        <v>1958</v>
      </c>
      <c r="R1552" t="s">
        <v>50</v>
      </c>
      <c r="U1552" t="s">
        <v>1972</v>
      </c>
      <c r="W1552" t="s">
        <v>1990</v>
      </c>
      <c r="X1552">
        <v>242</v>
      </c>
      <c r="Y1552" t="s">
        <v>2006</v>
      </c>
      <c r="Z1552" t="s">
        <v>2024</v>
      </c>
      <c r="AB1552" t="s">
        <v>14141</v>
      </c>
      <c r="AD1552" t="s">
        <v>16563</v>
      </c>
      <c r="AE1552">
        <v>48</v>
      </c>
      <c r="AF1552" t="s">
        <v>2902</v>
      </c>
      <c r="AG1552" t="s">
        <v>2017</v>
      </c>
      <c r="AH1552">
        <v>6</v>
      </c>
      <c r="AI1552">
        <v>1</v>
      </c>
      <c r="AJ1552">
        <v>0</v>
      </c>
      <c r="AK1552">
        <v>69.19</v>
      </c>
      <c r="AN1552" t="s">
        <v>2927</v>
      </c>
      <c r="AO1552">
        <v>8400</v>
      </c>
      <c r="AS1552" t="s">
        <v>2993</v>
      </c>
      <c r="AT1552" t="s">
        <v>18502</v>
      </c>
      <c r="AU1552">
        <v>2.7</v>
      </c>
      <c r="AV1552" t="s">
        <v>383</v>
      </c>
      <c r="AW1552" t="s">
        <v>18658</v>
      </c>
    </row>
    <row r="1553" spans="1:50">
      <c r="A1553" s="1" t="s">
        <v>53</v>
      </c>
      <c r="B1553" t="s">
        <v>164</v>
      </c>
      <c r="C1553" t="s">
        <v>4763</v>
      </c>
      <c r="D1553" t="s">
        <v>356</v>
      </c>
      <c r="E1553" t="s">
        <v>285</v>
      </c>
      <c r="F1553" t="s">
        <v>7461</v>
      </c>
      <c r="G1553" t="s">
        <v>8609</v>
      </c>
      <c r="H1553" t="s">
        <v>10078</v>
      </c>
      <c r="I1553" t="s">
        <v>11030</v>
      </c>
      <c r="J1553" t="s">
        <v>1668</v>
      </c>
      <c r="K1553">
        <v>11355</v>
      </c>
      <c r="L1553" t="s">
        <v>1670</v>
      </c>
      <c r="M1553" t="s">
        <v>1670</v>
      </c>
      <c r="N1553" t="s">
        <v>12282</v>
      </c>
      <c r="O1553" t="s">
        <v>1940</v>
      </c>
      <c r="P1553" t="s">
        <v>1959</v>
      </c>
      <c r="Q1553" t="s">
        <v>1966</v>
      </c>
      <c r="R1553" t="s">
        <v>50</v>
      </c>
      <c r="S1553" t="s">
        <v>1671</v>
      </c>
      <c r="U1553" t="s">
        <v>1972</v>
      </c>
      <c r="V1553" t="s">
        <v>1984</v>
      </c>
      <c r="W1553" t="s">
        <v>356</v>
      </c>
      <c r="X1553">
        <v>530</v>
      </c>
      <c r="Y1553" t="s">
        <v>2007</v>
      </c>
      <c r="Z1553" t="s">
        <v>2014</v>
      </c>
      <c r="AA1553" t="s">
        <v>2030</v>
      </c>
      <c r="AB1553" t="s">
        <v>14142</v>
      </c>
      <c r="AD1553" t="s">
        <v>16564</v>
      </c>
      <c r="AE1553">
        <v>36</v>
      </c>
      <c r="AF1553" t="s">
        <v>2904</v>
      </c>
      <c r="AG1553" t="s">
        <v>1754</v>
      </c>
      <c r="AH1553">
        <v>6</v>
      </c>
      <c r="AI1553">
        <v>1</v>
      </c>
      <c r="AJ1553">
        <v>0</v>
      </c>
      <c r="AK1553">
        <v>69.19</v>
      </c>
      <c r="AN1553" t="s">
        <v>2933</v>
      </c>
      <c r="AO1553">
        <v>8400</v>
      </c>
      <c r="AU1553">
        <v>8.550000000000001</v>
      </c>
      <c r="AV1553" t="s">
        <v>1993</v>
      </c>
      <c r="AW1553" t="s">
        <v>3044</v>
      </c>
    </row>
    <row r="1554" spans="1:50">
      <c r="A1554" s="1" t="s">
        <v>146</v>
      </c>
      <c r="B1554" t="s">
        <v>163</v>
      </c>
      <c r="C1554" t="s">
        <v>4764</v>
      </c>
      <c r="D1554" t="s">
        <v>241</v>
      </c>
      <c r="F1554" t="s">
        <v>7420</v>
      </c>
      <c r="G1554" t="s">
        <v>8610</v>
      </c>
      <c r="H1554" t="s">
        <v>10079</v>
      </c>
      <c r="I1554">
        <v>3</v>
      </c>
      <c r="J1554" t="s">
        <v>1641</v>
      </c>
      <c r="K1554">
        <v>10459</v>
      </c>
      <c r="L1554" t="s">
        <v>1670</v>
      </c>
      <c r="M1554" t="s">
        <v>1670</v>
      </c>
      <c r="N1554" t="s">
        <v>12283</v>
      </c>
      <c r="O1554" t="s">
        <v>1940</v>
      </c>
      <c r="P1554" t="s">
        <v>1960</v>
      </c>
      <c r="R1554" t="s">
        <v>50</v>
      </c>
      <c r="S1554" t="s">
        <v>1671</v>
      </c>
      <c r="U1554" t="s">
        <v>1972</v>
      </c>
      <c r="V1554" t="s">
        <v>1984</v>
      </c>
      <c r="W1554" t="s">
        <v>216</v>
      </c>
      <c r="X1554">
        <v>1400</v>
      </c>
      <c r="Y1554" t="s">
        <v>2006</v>
      </c>
      <c r="Z1554" t="s">
        <v>2014</v>
      </c>
      <c r="AB1554" t="s">
        <v>14143</v>
      </c>
      <c r="AC1554" t="s">
        <v>15180</v>
      </c>
      <c r="AD1554" t="s">
        <v>16565</v>
      </c>
      <c r="AE1554">
        <v>3</v>
      </c>
      <c r="AF1554" t="s">
        <v>2902</v>
      </c>
      <c r="AG1554" t="s">
        <v>2921</v>
      </c>
      <c r="AH1554">
        <v>7</v>
      </c>
      <c r="AI1554">
        <v>1</v>
      </c>
      <c r="AJ1554">
        <v>0</v>
      </c>
      <c r="AK1554">
        <v>69.19</v>
      </c>
      <c r="AN1554" t="s">
        <v>2926</v>
      </c>
      <c r="AO1554">
        <v>8400</v>
      </c>
      <c r="AQ1554" t="s">
        <v>2979</v>
      </c>
      <c r="AR1554" t="s">
        <v>2982</v>
      </c>
      <c r="AS1554" t="s">
        <v>2992</v>
      </c>
      <c r="AT1554" t="s">
        <v>2997</v>
      </c>
      <c r="AU1554">
        <v>7.35</v>
      </c>
      <c r="AV1554" t="s">
        <v>1993</v>
      </c>
      <c r="AW1554" t="s">
        <v>3047</v>
      </c>
    </row>
    <row r="1555" spans="1:50">
      <c r="A1555" s="1" t="s">
        <v>98</v>
      </c>
      <c r="B1555" t="s">
        <v>164</v>
      </c>
      <c r="C1555" t="s">
        <v>4765</v>
      </c>
      <c r="D1555" t="s">
        <v>232</v>
      </c>
      <c r="E1555" t="s">
        <v>376</v>
      </c>
      <c r="F1555" t="s">
        <v>7276</v>
      </c>
      <c r="G1555" t="s">
        <v>8611</v>
      </c>
      <c r="H1555" t="s">
        <v>10080</v>
      </c>
      <c r="I1555" t="s">
        <v>1575</v>
      </c>
      <c r="J1555" t="s">
        <v>1641</v>
      </c>
      <c r="K1555">
        <v>10468</v>
      </c>
      <c r="L1555" t="s">
        <v>1670</v>
      </c>
      <c r="M1555" t="s">
        <v>1670</v>
      </c>
      <c r="O1555" t="s">
        <v>1675</v>
      </c>
      <c r="P1555" t="s">
        <v>1958</v>
      </c>
      <c r="Q1555" t="s">
        <v>1965</v>
      </c>
      <c r="R1555" t="s">
        <v>50</v>
      </c>
      <c r="S1555" t="s">
        <v>1671</v>
      </c>
      <c r="U1555" t="s">
        <v>1972</v>
      </c>
      <c r="W1555" t="s">
        <v>232</v>
      </c>
      <c r="X1555">
        <v>1299</v>
      </c>
      <c r="Y1555" t="s">
        <v>2006</v>
      </c>
      <c r="Z1555" t="s">
        <v>2015</v>
      </c>
      <c r="AA1555" t="s">
        <v>2029</v>
      </c>
      <c r="AB1555" t="s">
        <v>14144</v>
      </c>
      <c r="AD1555" t="s">
        <v>16566</v>
      </c>
      <c r="AE1555">
        <v>26</v>
      </c>
      <c r="AF1555" t="s">
        <v>2902</v>
      </c>
      <c r="AG1555" t="s">
        <v>2921</v>
      </c>
      <c r="AH1555">
        <v>14</v>
      </c>
      <c r="AI1555">
        <v>1</v>
      </c>
      <c r="AJ1555">
        <v>0</v>
      </c>
      <c r="AK1555">
        <v>69.79000000000001</v>
      </c>
      <c r="AN1555" t="s">
        <v>2926</v>
      </c>
      <c r="AO1555">
        <v>8472</v>
      </c>
      <c r="AU1555">
        <v>3</v>
      </c>
      <c r="AV1555" t="s">
        <v>376</v>
      </c>
      <c r="AW1555" t="s">
        <v>98</v>
      </c>
    </row>
    <row r="1556" spans="1:50">
      <c r="A1556" s="1" t="s">
        <v>57</v>
      </c>
      <c r="B1556" t="s">
        <v>163</v>
      </c>
      <c r="C1556" t="s">
        <v>4766</v>
      </c>
      <c r="D1556" t="s">
        <v>245</v>
      </c>
      <c r="F1556" t="s">
        <v>6909</v>
      </c>
      <c r="G1556" t="s">
        <v>780</v>
      </c>
      <c r="H1556" t="s">
        <v>1193</v>
      </c>
      <c r="I1556" t="s">
        <v>1508</v>
      </c>
      <c r="J1556" t="s">
        <v>1641</v>
      </c>
      <c r="K1556">
        <v>10456</v>
      </c>
      <c r="L1556" t="s">
        <v>1670</v>
      </c>
      <c r="M1556" t="s">
        <v>1670</v>
      </c>
      <c r="N1556" t="s">
        <v>1736</v>
      </c>
      <c r="O1556" t="s">
        <v>1938</v>
      </c>
      <c r="P1556" t="s">
        <v>1961</v>
      </c>
      <c r="R1556" t="s">
        <v>50</v>
      </c>
      <c r="S1556" t="s">
        <v>1670</v>
      </c>
      <c r="U1556" t="s">
        <v>1972</v>
      </c>
      <c r="W1556" t="s">
        <v>1994</v>
      </c>
      <c r="X1556">
        <v>1165</v>
      </c>
      <c r="Y1556" t="s">
        <v>2006</v>
      </c>
      <c r="AB1556" t="s">
        <v>13114</v>
      </c>
      <c r="AD1556" t="s">
        <v>16567</v>
      </c>
      <c r="AE1556">
        <v>61</v>
      </c>
      <c r="AF1556" t="s">
        <v>2902</v>
      </c>
      <c r="AG1556" t="s">
        <v>2915</v>
      </c>
      <c r="AH1556">
        <v>22</v>
      </c>
      <c r="AI1556">
        <v>1</v>
      </c>
      <c r="AJ1556">
        <v>0</v>
      </c>
      <c r="AK1556">
        <v>70.08</v>
      </c>
      <c r="AN1556" t="s">
        <v>2927</v>
      </c>
      <c r="AO1556">
        <v>8508</v>
      </c>
      <c r="AP1556" t="s">
        <v>18293</v>
      </c>
      <c r="AU1556" t="s">
        <v>13051</v>
      </c>
      <c r="AW1556" t="s">
        <v>3046</v>
      </c>
    </row>
    <row r="1557" spans="1:50">
      <c r="A1557" s="1" t="s">
        <v>74</v>
      </c>
      <c r="B1557" t="s">
        <v>163</v>
      </c>
      <c r="C1557" t="s">
        <v>4767</v>
      </c>
      <c r="D1557" t="s">
        <v>6179</v>
      </c>
      <c r="F1557" t="s">
        <v>7460</v>
      </c>
      <c r="G1557" t="s">
        <v>8608</v>
      </c>
      <c r="H1557" t="s">
        <v>1131</v>
      </c>
      <c r="I1557" t="s">
        <v>1482</v>
      </c>
      <c r="J1557" t="s">
        <v>1641</v>
      </c>
      <c r="K1557">
        <v>10460</v>
      </c>
      <c r="L1557" t="s">
        <v>1670</v>
      </c>
      <c r="M1557" t="s">
        <v>1670</v>
      </c>
      <c r="N1557" t="s">
        <v>1692</v>
      </c>
      <c r="O1557" t="s">
        <v>1939</v>
      </c>
      <c r="P1557" t="s">
        <v>1960</v>
      </c>
      <c r="R1557" t="s">
        <v>50</v>
      </c>
      <c r="S1557" t="s">
        <v>1670</v>
      </c>
      <c r="U1557" t="s">
        <v>1972</v>
      </c>
      <c r="W1557" t="s">
        <v>283</v>
      </c>
      <c r="X1557">
        <v>266.5</v>
      </c>
      <c r="Y1557" t="s">
        <v>2006</v>
      </c>
      <c r="Z1557" t="s">
        <v>2015</v>
      </c>
      <c r="AB1557" t="s">
        <v>14140</v>
      </c>
      <c r="AD1557" t="s">
        <v>16562</v>
      </c>
      <c r="AE1557">
        <v>168</v>
      </c>
      <c r="AF1557" t="s">
        <v>2902</v>
      </c>
      <c r="AG1557" t="s">
        <v>2915</v>
      </c>
      <c r="AH1557">
        <v>8</v>
      </c>
      <c r="AI1557">
        <v>1</v>
      </c>
      <c r="AJ1557">
        <v>0</v>
      </c>
      <c r="AK1557">
        <v>70.18000000000001</v>
      </c>
      <c r="AN1557" t="s">
        <v>2927</v>
      </c>
      <c r="AO1557">
        <v>8520</v>
      </c>
      <c r="AU1557" t="s">
        <v>13051</v>
      </c>
      <c r="AW1557" t="s">
        <v>76</v>
      </c>
    </row>
    <row r="1558" spans="1:50">
      <c r="A1558" s="1" t="s">
        <v>119</v>
      </c>
      <c r="B1558" t="s">
        <v>164</v>
      </c>
      <c r="C1558" t="s">
        <v>4768</v>
      </c>
      <c r="D1558" t="s">
        <v>197</v>
      </c>
      <c r="E1558" t="s">
        <v>229</v>
      </c>
      <c r="F1558" t="s">
        <v>7462</v>
      </c>
      <c r="G1558" t="s">
        <v>8612</v>
      </c>
      <c r="H1558" t="s">
        <v>10081</v>
      </c>
      <c r="I1558" t="s">
        <v>1509</v>
      </c>
      <c r="J1558" t="s">
        <v>1644</v>
      </c>
      <c r="K1558">
        <v>11212</v>
      </c>
      <c r="L1558" t="s">
        <v>1670</v>
      </c>
      <c r="M1558" t="s">
        <v>1670</v>
      </c>
      <c r="N1558" t="s">
        <v>12284</v>
      </c>
      <c r="O1558" t="s">
        <v>1936</v>
      </c>
      <c r="P1558" t="s">
        <v>1958</v>
      </c>
      <c r="Q1558" t="s">
        <v>1965</v>
      </c>
      <c r="R1558" t="s">
        <v>50</v>
      </c>
      <c r="U1558" t="s">
        <v>1972</v>
      </c>
      <c r="W1558" t="s">
        <v>197</v>
      </c>
      <c r="X1558">
        <v>1200</v>
      </c>
      <c r="Y1558" t="s">
        <v>2009</v>
      </c>
      <c r="Z1558" t="s">
        <v>2014</v>
      </c>
      <c r="AA1558" t="s">
        <v>2029</v>
      </c>
      <c r="AB1558" t="s">
        <v>14145</v>
      </c>
      <c r="AD1558" t="s">
        <v>16568</v>
      </c>
      <c r="AE1558" t="s">
        <v>13051</v>
      </c>
      <c r="AG1558" t="s">
        <v>1754</v>
      </c>
      <c r="AH1558">
        <v>4</v>
      </c>
      <c r="AI1558">
        <v>1</v>
      </c>
      <c r="AJ1558">
        <v>0</v>
      </c>
      <c r="AK1558">
        <v>70.38</v>
      </c>
      <c r="AN1558" t="s">
        <v>2926</v>
      </c>
      <c r="AO1558">
        <v>8544</v>
      </c>
      <c r="AP1558" t="s">
        <v>18059</v>
      </c>
      <c r="AU1558">
        <v>5.1</v>
      </c>
      <c r="AV1558" t="s">
        <v>242</v>
      </c>
      <c r="AW1558" t="s">
        <v>3074</v>
      </c>
    </row>
    <row r="1559" spans="1:50">
      <c r="A1559" s="1" t="s">
        <v>57</v>
      </c>
      <c r="B1559" t="s">
        <v>163</v>
      </c>
      <c r="C1559" t="s">
        <v>4769</v>
      </c>
      <c r="D1559" t="s">
        <v>170</v>
      </c>
      <c r="F1559" t="s">
        <v>6883</v>
      </c>
      <c r="G1559" t="s">
        <v>974</v>
      </c>
      <c r="H1559" t="s">
        <v>1112</v>
      </c>
      <c r="I1559" t="s">
        <v>11243</v>
      </c>
      <c r="J1559" t="s">
        <v>1641</v>
      </c>
      <c r="K1559">
        <v>10453</v>
      </c>
      <c r="L1559" t="s">
        <v>1670</v>
      </c>
      <c r="M1559" t="s">
        <v>1670</v>
      </c>
      <c r="O1559" t="s">
        <v>1938</v>
      </c>
      <c r="P1559" t="s">
        <v>1961</v>
      </c>
      <c r="R1559" t="s">
        <v>50</v>
      </c>
      <c r="S1559" t="s">
        <v>1670</v>
      </c>
      <c r="U1559" t="s">
        <v>1972</v>
      </c>
      <c r="W1559" t="s">
        <v>283</v>
      </c>
      <c r="X1559">
        <v>168</v>
      </c>
      <c r="Y1559" t="s">
        <v>2006</v>
      </c>
      <c r="Z1559" t="s">
        <v>2015</v>
      </c>
      <c r="AB1559" t="s">
        <v>14146</v>
      </c>
      <c r="AC1559" t="s">
        <v>15181</v>
      </c>
      <c r="AD1559" t="s">
        <v>16569</v>
      </c>
      <c r="AE1559">
        <v>167</v>
      </c>
      <c r="AF1559" t="s">
        <v>2902</v>
      </c>
      <c r="AG1559" t="s">
        <v>2915</v>
      </c>
      <c r="AH1559">
        <v>20</v>
      </c>
      <c r="AI1559">
        <v>1</v>
      </c>
      <c r="AJ1559">
        <v>0</v>
      </c>
      <c r="AK1559">
        <v>70.42</v>
      </c>
      <c r="AN1559" t="s">
        <v>2927</v>
      </c>
      <c r="AO1559">
        <v>8796</v>
      </c>
      <c r="AU1559" t="s">
        <v>13051</v>
      </c>
      <c r="AW1559" t="s">
        <v>3046</v>
      </c>
    </row>
    <row r="1560" spans="1:50">
      <c r="A1560" s="1" t="s">
        <v>119</v>
      </c>
      <c r="B1560" t="s">
        <v>163</v>
      </c>
      <c r="C1560" t="s">
        <v>4770</v>
      </c>
      <c r="D1560" t="s">
        <v>221</v>
      </c>
      <c r="F1560" t="s">
        <v>604</v>
      </c>
      <c r="G1560" t="s">
        <v>8583</v>
      </c>
      <c r="H1560" t="s">
        <v>9635</v>
      </c>
      <c r="I1560" t="s">
        <v>10962</v>
      </c>
      <c r="J1560" t="s">
        <v>1644</v>
      </c>
      <c r="K1560">
        <v>11212</v>
      </c>
      <c r="L1560" t="s">
        <v>1670</v>
      </c>
      <c r="M1560" t="s">
        <v>1671</v>
      </c>
      <c r="N1560" t="s">
        <v>12285</v>
      </c>
      <c r="O1560" t="s">
        <v>1936</v>
      </c>
      <c r="P1560" t="s">
        <v>1960</v>
      </c>
      <c r="R1560" t="s">
        <v>50</v>
      </c>
      <c r="S1560" t="s">
        <v>1671</v>
      </c>
      <c r="U1560" t="s">
        <v>1972</v>
      </c>
      <c r="V1560" t="s">
        <v>1984</v>
      </c>
      <c r="W1560" t="s">
        <v>3038</v>
      </c>
      <c r="X1560">
        <v>246</v>
      </c>
      <c r="Y1560" t="s">
        <v>2009</v>
      </c>
      <c r="Z1560" t="s">
        <v>2025</v>
      </c>
      <c r="AB1560" t="s">
        <v>14147</v>
      </c>
      <c r="AC1560" t="s">
        <v>15182</v>
      </c>
      <c r="AD1560" t="s">
        <v>16570</v>
      </c>
      <c r="AE1560">
        <v>172</v>
      </c>
      <c r="AF1560" t="s">
        <v>2909</v>
      </c>
      <c r="AG1560" t="s">
        <v>2915</v>
      </c>
      <c r="AH1560">
        <v>2</v>
      </c>
      <c r="AI1560">
        <v>1</v>
      </c>
      <c r="AJ1560">
        <v>0</v>
      </c>
      <c r="AK1560">
        <v>70.62</v>
      </c>
      <c r="AN1560" t="s">
        <v>2926</v>
      </c>
      <c r="AO1560">
        <v>8820</v>
      </c>
      <c r="AU1560">
        <v>10.1</v>
      </c>
      <c r="AV1560" t="s">
        <v>346</v>
      </c>
      <c r="AW1560" t="s">
        <v>3060</v>
      </c>
      <c r="AX1560" t="s">
        <v>18685</v>
      </c>
    </row>
    <row r="1561" spans="1:50">
      <c r="A1561" s="1" t="s">
        <v>62</v>
      </c>
      <c r="B1561" t="s">
        <v>163</v>
      </c>
      <c r="C1561" t="s">
        <v>4771</v>
      </c>
      <c r="D1561" t="s">
        <v>6178</v>
      </c>
      <c r="F1561" t="s">
        <v>7013</v>
      </c>
      <c r="G1561" t="s">
        <v>8613</v>
      </c>
      <c r="H1561" t="s">
        <v>9933</v>
      </c>
      <c r="I1561" t="s">
        <v>11244</v>
      </c>
      <c r="J1561" t="s">
        <v>1644</v>
      </c>
      <c r="K1561">
        <v>11226</v>
      </c>
      <c r="L1561" t="s">
        <v>1670</v>
      </c>
      <c r="M1561" t="s">
        <v>1670</v>
      </c>
      <c r="O1561" t="s">
        <v>1941</v>
      </c>
      <c r="P1561" t="s">
        <v>1959</v>
      </c>
      <c r="R1561" t="s">
        <v>50</v>
      </c>
      <c r="S1561" t="s">
        <v>1670</v>
      </c>
      <c r="U1561" t="s">
        <v>1972</v>
      </c>
      <c r="W1561" t="s">
        <v>247</v>
      </c>
      <c r="X1561">
        <v>1500</v>
      </c>
      <c r="Y1561" t="s">
        <v>2009</v>
      </c>
      <c r="Z1561" t="s">
        <v>2020</v>
      </c>
      <c r="AB1561" t="s">
        <v>14148</v>
      </c>
      <c r="AD1561" t="s">
        <v>16571</v>
      </c>
      <c r="AE1561">
        <v>65</v>
      </c>
      <c r="AG1561" t="s">
        <v>2915</v>
      </c>
      <c r="AH1561">
        <v>31</v>
      </c>
      <c r="AI1561">
        <v>1</v>
      </c>
      <c r="AJ1561">
        <v>0</v>
      </c>
      <c r="AK1561">
        <v>70.68000000000001</v>
      </c>
      <c r="AN1561" t="s">
        <v>2926</v>
      </c>
      <c r="AO1561">
        <v>8580</v>
      </c>
      <c r="AU1561">
        <v>1.5</v>
      </c>
      <c r="AV1561" t="s">
        <v>218</v>
      </c>
      <c r="AW1561" t="s">
        <v>3079</v>
      </c>
    </row>
    <row r="1562" spans="1:50">
      <c r="A1562" s="1" t="s">
        <v>101</v>
      </c>
      <c r="B1562" t="s">
        <v>163</v>
      </c>
      <c r="C1562" t="s">
        <v>4772</v>
      </c>
      <c r="D1562" t="s">
        <v>356</v>
      </c>
      <c r="F1562" t="s">
        <v>755</v>
      </c>
      <c r="G1562" t="s">
        <v>890</v>
      </c>
      <c r="H1562" t="s">
        <v>9440</v>
      </c>
      <c r="I1562">
        <v>61</v>
      </c>
      <c r="J1562" t="s">
        <v>1643</v>
      </c>
      <c r="K1562">
        <v>10039</v>
      </c>
      <c r="L1562" t="s">
        <v>1670</v>
      </c>
      <c r="M1562" t="s">
        <v>1670</v>
      </c>
      <c r="N1562" t="s">
        <v>11886</v>
      </c>
      <c r="O1562" t="s">
        <v>1939</v>
      </c>
      <c r="P1562" t="s">
        <v>1960</v>
      </c>
      <c r="R1562" t="s">
        <v>50</v>
      </c>
      <c r="S1562" t="s">
        <v>1670</v>
      </c>
      <c r="U1562" t="s">
        <v>1972</v>
      </c>
      <c r="V1562" t="s">
        <v>1984</v>
      </c>
      <c r="W1562" t="s">
        <v>311</v>
      </c>
      <c r="X1562">
        <v>837.89</v>
      </c>
      <c r="Y1562" t="s">
        <v>2008</v>
      </c>
      <c r="Z1562" t="s">
        <v>2013</v>
      </c>
      <c r="AB1562" t="s">
        <v>14149</v>
      </c>
      <c r="AD1562" t="s">
        <v>16572</v>
      </c>
      <c r="AE1562">
        <v>24</v>
      </c>
      <c r="AF1562" t="s">
        <v>2902</v>
      </c>
      <c r="AG1562" t="s">
        <v>2919</v>
      </c>
      <c r="AH1562">
        <v>35</v>
      </c>
      <c r="AI1562">
        <v>1</v>
      </c>
      <c r="AJ1562">
        <v>0</v>
      </c>
      <c r="AK1562">
        <v>70.68000000000001</v>
      </c>
      <c r="AN1562" t="s">
        <v>2926</v>
      </c>
      <c r="AO1562">
        <v>8580</v>
      </c>
      <c r="AU1562">
        <v>0.75</v>
      </c>
      <c r="AV1562" t="s">
        <v>218</v>
      </c>
      <c r="AW1562" t="s">
        <v>3051</v>
      </c>
      <c r="AX1562" t="s">
        <v>18685</v>
      </c>
    </row>
    <row r="1563" spans="1:50">
      <c r="A1563" s="1" t="s">
        <v>91</v>
      </c>
      <c r="B1563" t="s">
        <v>163</v>
      </c>
      <c r="C1563" t="s">
        <v>4773</v>
      </c>
      <c r="D1563" t="s">
        <v>272</v>
      </c>
      <c r="F1563" t="s">
        <v>645</v>
      </c>
      <c r="G1563" t="s">
        <v>8614</v>
      </c>
      <c r="H1563" t="s">
        <v>10082</v>
      </c>
      <c r="I1563">
        <v>27</v>
      </c>
      <c r="J1563" t="s">
        <v>1643</v>
      </c>
      <c r="K1563">
        <v>10033</v>
      </c>
      <c r="L1563" t="s">
        <v>1670</v>
      </c>
      <c r="M1563" t="s">
        <v>1672</v>
      </c>
      <c r="P1563" t="s">
        <v>1958</v>
      </c>
      <c r="R1563" t="s">
        <v>50</v>
      </c>
      <c r="S1563" t="s">
        <v>1671</v>
      </c>
      <c r="U1563" t="s">
        <v>1972</v>
      </c>
      <c r="W1563" t="s">
        <v>272</v>
      </c>
      <c r="X1563">
        <v>2176.5</v>
      </c>
      <c r="Y1563" t="s">
        <v>2008</v>
      </c>
      <c r="Z1563" t="s">
        <v>2013</v>
      </c>
      <c r="AB1563" t="s">
        <v>14150</v>
      </c>
      <c r="AD1563" t="s">
        <v>16573</v>
      </c>
      <c r="AE1563">
        <v>40</v>
      </c>
      <c r="AF1563" t="s">
        <v>2902</v>
      </c>
      <c r="AG1563" t="s">
        <v>2919</v>
      </c>
      <c r="AH1563">
        <v>18</v>
      </c>
      <c r="AI1563">
        <v>2</v>
      </c>
      <c r="AJ1563">
        <v>0</v>
      </c>
      <c r="AK1563">
        <v>70.95999999999999</v>
      </c>
      <c r="AN1563" t="s">
        <v>2927</v>
      </c>
      <c r="AO1563">
        <v>12000</v>
      </c>
      <c r="AU1563">
        <v>1.2</v>
      </c>
      <c r="AV1563" t="s">
        <v>272</v>
      </c>
      <c r="AW1563" t="s">
        <v>3042</v>
      </c>
      <c r="AX1563" t="s">
        <v>18685</v>
      </c>
    </row>
    <row r="1564" spans="1:50">
      <c r="A1564" s="1" t="s">
        <v>68</v>
      </c>
      <c r="B1564" t="s">
        <v>163</v>
      </c>
      <c r="C1564" t="s">
        <v>4774</v>
      </c>
      <c r="D1564" t="s">
        <v>404</v>
      </c>
      <c r="F1564" t="s">
        <v>7463</v>
      </c>
      <c r="G1564" t="s">
        <v>8615</v>
      </c>
      <c r="H1564" t="s">
        <v>9949</v>
      </c>
      <c r="I1564" t="s">
        <v>1490</v>
      </c>
      <c r="J1564" t="s">
        <v>1643</v>
      </c>
      <c r="K1564">
        <v>10033</v>
      </c>
      <c r="L1564" t="s">
        <v>1670</v>
      </c>
      <c r="M1564" t="s">
        <v>1672</v>
      </c>
      <c r="N1564" t="s">
        <v>12286</v>
      </c>
      <c r="O1564" t="s">
        <v>1941</v>
      </c>
      <c r="P1564" t="s">
        <v>1958</v>
      </c>
      <c r="R1564" t="s">
        <v>50</v>
      </c>
      <c r="S1564" t="s">
        <v>1671</v>
      </c>
      <c r="U1564" t="s">
        <v>1972</v>
      </c>
      <c r="W1564" t="s">
        <v>404</v>
      </c>
      <c r="X1564">
        <v>848.29</v>
      </c>
      <c r="Y1564" t="s">
        <v>2008</v>
      </c>
      <c r="Z1564" t="s">
        <v>2013</v>
      </c>
      <c r="AB1564" t="s">
        <v>14151</v>
      </c>
      <c r="AD1564" t="s">
        <v>16574</v>
      </c>
      <c r="AE1564">
        <v>29</v>
      </c>
      <c r="AF1564" t="s">
        <v>2902</v>
      </c>
      <c r="AG1564" t="s">
        <v>1754</v>
      </c>
      <c r="AH1564">
        <v>24</v>
      </c>
      <c r="AI1564">
        <v>1</v>
      </c>
      <c r="AJ1564">
        <v>0</v>
      </c>
      <c r="AK1564">
        <v>71.09999999999999</v>
      </c>
      <c r="AN1564" t="s">
        <v>2927</v>
      </c>
      <c r="AO1564">
        <v>8880</v>
      </c>
      <c r="AU1564">
        <v>1.5</v>
      </c>
      <c r="AV1564" t="s">
        <v>361</v>
      </c>
      <c r="AW1564" t="s">
        <v>3042</v>
      </c>
      <c r="AX1564" t="s">
        <v>18685</v>
      </c>
    </row>
    <row r="1565" spans="1:50">
      <c r="A1565" s="1" t="s">
        <v>57</v>
      </c>
      <c r="B1565" t="s">
        <v>163</v>
      </c>
      <c r="C1565" t="s">
        <v>4775</v>
      </c>
      <c r="D1565" t="s">
        <v>182</v>
      </c>
      <c r="F1565" t="s">
        <v>7464</v>
      </c>
      <c r="G1565" t="s">
        <v>8616</v>
      </c>
      <c r="H1565" t="s">
        <v>1112</v>
      </c>
      <c r="I1565" t="s">
        <v>1487</v>
      </c>
      <c r="J1565" t="s">
        <v>1641</v>
      </c>
      <c r="K1565">
        <v>10453</v>
      </c>
      <c r="L1565" t="s">
        <v>1670</v>
      </c>
      <c r="M1565" t="s">
        <v>1670</v>
      </c>
      <c r="O1565" t="s">
        <v>1938</v>
      </c>
      <c r="P1565" t="s">
        <v>1961</v>
      </c>
      <c r="R1565" t="s">
        <v>50</v>
      </c>
      <c r="S1565" t="s">
        <v>1670</v>
      </c>
      <c r="U1565" t="s">
        <v>1972</v>
      </c>
      <c r="W1565" t="s">
        <v>283</v>
      </c>
      <c r="X1565">
        <v>868</v>
      </c>
      <c r="Y1565" t="s">
        <v>2006</v>
      </c>
      <c r="Z1565" t="s">
        <v>2015</v>
      </c>
      <c r="AB1565" t="s">
        <v>14152</v>
      </c>
      <c r="AD1565" t="s">
        <v>16575</v>
      </c>
      <c r="AE1565">
        <v>170</v>
      </c>
      <c r="AF1565" t="s">
        <v>2902</v>
      </c>
      <c r="AG1565" t="s">
        <v>2920</v>
      </c>
      <c r="AH1565">
        <v>8</v>
      </c>
      <c r="AI1565">
        <v>1</v>
      </c>
      <c r="AJ1565">
        <v>0</v>
      </c>
      <c r="AK1565">
        <v>71.09999999999999</v>
      </c>
      <c r="AN1565" t="s">
        <v>2927</v>
      </c>
      <c r="AO1565">
        <v>8880</v>
      </c>
      <c r="AU1565" t="s">
        <v>13051</v>
      </c>
      <c r="AW1565" t="s">
        <v>3047</v>
      </c>
    </row>
    <row r="1566" spans="1:50">
      <c r="A1566" s="1" t="s">
        <v>57</v>
      </c>
      <c r="B1566" t="s">
        <v>163</v>
      </c>
      <c r="C1566" t="s">
        <v>4776</v>
      </c>
      <c r="D1566" t="s">
        <v>182</v>
      </c>
      <c r="F1566" t="s">
        <v>7464</v>
      </c>
      <c r="G1566" t="s">
        <v>8616</v>
      </c>
      <c r="H1566" t="s">
        <v>1112</v>
      </c>
      <c r="I1566" t="s">
        <v>1487</v>
      </c>
      <c r="J1566" t="s">
        <v>1641</v>
      </c>
      <c r="K1566">
        <v>10453</v>
      </c>
      <c r="L1566" t="s">
        <v>1670</v>
      </c>
      <c r="M1566" t="s">
        <v>1670</v>
      </c>
      <c r="N1566" t="s">
        <v>1677</v>
      </c>
      <c r="O1566" t="s">
        <v>1939</v>
      </c>
      <c r="P1566" t="s">
        <v>1960</v>
      </c>
      <c r="R1566" t="s">
        <v>50</v>
      </c>
      <c r="S1566" t="s">
        <v>1670</v>
      </c>
      <c r="U1566" t="s">
        <v>1972</v>
      </c>
      <c r="W1566" t="s">
        <v>283</v>
      </c>
      <c r="X1566">
        <v>868</v>
      </c>
      <c r="Y1566" t="s">
        <v>2006</v>
      </c>
      <c r="Z1566" t="s">
        <v>2015</v>
      </c>
      <c r="AB1566" t="s">
        <v>14152</v>
      </c>
      <c r="AD1566" t="s">
        <v>16575</v>
      </c>
      <c r="AE1566">
        <v>170</v>
      </c>
      <c r="AF1566" t="s">
        <v>2902</v>
      </c>
      <c r="AG1566" t="s">
        <v>2920</v>
      </c>
      <c r="AH1566">
        <v>8</v>
      </c>
      <c r="AI1566">
        <v>1</v>
      </c>
      <c r="AJ1566">
        <v>0</v>
      </c>
      <c r="AK1566">
        <v>71.09999999999999</v>
      </c>
      <c r="AN1566" t="s">
        <v>2927</v>
      </c>
      <c r="AO1566">
        <v>8880</v>
      </c>
      <c r="AU1566" t="s">
        <v>13051</v>
      </c>
      <c r="AW1566" t="s">
        <v>3047</v>
      </c>
    </row>
    <row r="1567" spans="1:50">
      <c r="A1567" s="1" t="s">
        <v>134</v>
      </c>
      <c r="B1567" t="s">
        <v>164</v>
      </c>
      <c r="C1567" t="s">
        <v>4777</v>
      </c>
      <c r="D1567" t="s">
        <v>311</v>
      </c>
      <c r="E1567" t="s">
        <v>178</v>
      </c>
      <c r="F1567" t="s">
        <v>7465</v>
      </c>
      <c r="G1567" t="s">
        <v>870</v>
      </c>
      <c r="H1567" t="s">
        <v>10083</v>
      </c>
      <c r="I1567">
        <v>49</v>
      </c>
      <c r="J1567" t="s">
        <v>1643</v>
      </c>
      <c r="K1567">
        <v>10033</v>
      </c>
      <c r="L1567" t="s">
        <v>1670</v>
      </c>
      <c r="M1567" t="s">
        <v>1670</v>
      </c>
      <c r="O1567" t="s">
        <v>1943</v>
      </c>
      <c r="P1567" t="s">
        <v>1959</v>
      </c>
      <c r="Q1567" t="s">
        <v>1968</v>
      </c>
      <c r="R1567" t="s">
        <v>50</v>
      </c>
      <c r="S1567" t="s">
        <v>1671</v>
      </c>
      <c r="U1567" t="s">
        <v>1972</v>
      </c>
      <c r="W1567" t="s">
        <v>311</v>
      </c>
      <c r="X1567">
        <v>1756.71</v>
      </c>
      <c r="Y1567" t="s">
        <v>2008</v>
      </c>
      <c r="Z1567" t="s">
        <v>2020</v>
      </c>
      <c r="AA1567" t="s">
        <v>2030</v>
      </c>
      <c r="AB1567" t="s">
        <v>14153</v>
      </c>
      <c r="AD1567" t="s">
        <v>16576</v>
      </c>
      <c r="AE1567">
        <v>50</v>
      </c>
      <c r="AF1567" t="s">
        <v>2902</v>
      </c>
      <c r="AG1567" t="s">
        <v>2915</v>
      </c>
      <c r="AH1567">
        <v>25</v>
      </c>
      <c r="AI1567">
        <v>2</v>
      </c>
      <c r="AJ1567">
        <v>0</v>
      </c>
      <c r="AK1567">
        <v>71.23</v>
      </c>
      <c r="AN1567" t="s">
        <v>2926</v>
      </c>
      <c r="AO1567">
        <v>11724</v>
      </c>
      <c r="AU1567">
        <v>2</v>
      </c>
      <c r="AV1567" t="s">
        <v>178</v>
      </c>
      <c r="AW1567" t="s">
        <v>3042</v>
      </c>
      <c r="AX1567" t="s">
        <v>18685</v>
      </c>
    </row>
    <row r="1568" spans="1:50">
      <c r="A1568" s="1" t="s">
        <v>54</v>
      </c>
      <c r="B1568" t="s">
        <v>163</v>
      </c>
      <c r="C1568" t="s">
        <v>4778</v>
      </c>
      <c r="D1568" t="s">
        <v>225</v>
      </c>
      <c r="F1568" t="s">
        <v>7465</v>
      </c>
      <c r="G1568" t="s">
        <v>870</v>
      </c>
      <c r="H1568" t="s">
        <v>10083</v>
      </c>
      <c r="I1568">
        <v>49</v>
      </c>
      <c r="J1568" t="s">
        <v>1643</v>
      </c>
      <c r="K1568">
        <v>10033</v>
      </c>
      <c r="L1568" t="s">
        <v>1670</v>
      </c>
      <c r="M1568" t="s">
        <v>1670</v>
      </c>
      <c r="O1568" t="s">
        <v>1936</v>
      </c>
      <c r="P1568" t="s">
        <v>1959</v>
      </c>
      <c r="R1568" t="s">
        <v>50</v>
      </c>
      <c r="S1568" t="s">
        <v>1671</v>
      </c>
      <c r="U1568" t="s">
        <v>1972</v>
      </c>
      <c r="W1568" t="s">
        <v>225</v>
      </c>
      <c r="X1568">
        <v>1756.71</v>
      </c>
      <c r="Y1568" t="s">
        <v>2008</v>
      </c>
      <c r="Z1568" t="s">
        <v>2013</v>
      </c>
      <c r="AB1568" t="s">
        <v>14153</v>
      </c>
      <c r="AD1568" t="s">
        <v>16576</v>
      </c>
      <c r="AE1568">
        <v>50</v>
      </c>
      <c r="AF1568" t="s">
        <v>2902</v>
      </c>
      <c r="AG1568" t="s">
        <v>2915</v>
      </c>
      <c r="AH1568">
        <v>25</v>
      </c>
      <c r="AI1568">
        <v>2</v>
      </c>
      <c r="AJ1568">
        <v>0</v>
      </c>
      <c r="AK1568">
        <v>71.23</v>
      </c>
      <c r="AN1568" t="s">
        <v>2926</v>
      </c>
      <c r="AO1568">
        <v>11724</v>
      </c>
      <c r="AU1568">
        <v>4.25</v>
      </c>
      <c r="AV1568" t="s">
        <v>392</v>
      </c>
      <c r="AW1568" t="s">
        <v>3042</v>
      </c>
    </row>
    <row r="1569" spans="1:50">
      <c r="A1569" s="1" t="s">
        <v>73</v>
      </c>
      <c r="B1569" t="s">
        <v>164</v>
      </c>
      <c r="C1569" t="s">
        <v>4779</v>
      </c>
      <c r="D1569" t="s">
        <v>200</v>
      </c>
      <c r="E1569" t="s">
        <v>308</v>
      </c>
      <c r="F1569" t="s">
        <v>7466</v>
      </c>
      <c r="G1569" t="s">
        <v>8617</v>
      </c>
      <c r="H1569" t="s">
        <v>10084</v>
      </c>
      <c r="I1569" t="s">
        <v>1553</v>
      </c>
      <c r="J1569" t="s">
        <v>11754</v>
      </c>
      <c r="K1569">
        <v>11427</v>
      </c>
      <c r="L1569" t="s">
        <v>1670</v>
      </c>
      <c r="M1569" t="s">
        <v>1670</v>
      </c>
      <c r="N1569" t="s">
        <v>12287</v>
      </c>
      <c r="O1569" t="s">
        <v>1940</v>
      </c>
      <c r="P1569" t="s">
        <v>1958</v>
      </c>
      <c r="Q1569" t="s">
        <v>1965</v>
      </c>
      <c r="R1569" t="s">
        <v>50</v>
      </c>
      <c r="S1569" t="s">
        <v>1671</v>
      </c>
      <c r="U1569" t="s">
        <v>1972</v>
      </c>
      <c r="V1569" t="s">
        <v>1984</v>
      </c>
      <c r="W1569" t="s">
        <v>200</v>
      </c>
      <c r="X1569">
        <v>1800</v>
      </c>
      <c r="Y1569" t="s">
        <v>2007</v>
      </c>
      <c r="Z1569" t="s">
        <v>2014</v>
      </c>
      <c r="AA1569" t="s">
        <v>2029</v>
      </c>
      <c r="AB1569" t="s">
        <v>14154</v>
      </c>
      <c r="AD1569" t="s">
        <v>16577</v>
      </c>
      <c r="AE1569">
        <v>3</v>
      </c>
      <c r="AF1569" t="s">
        <v>2903</v>
      </c>
      <c r="AG1569" t="s">
        <v>1754</v>
      </c>
      <c r="AH1569">
        <v>1</v>
      </c>
      <c r="AI1569">
        <v>3</v>
      </c>
      <c r="AJ1569">
        <v>0</v>
      </c>
      <c r="AK1569">
        <v>71.55</v>
      </c>
      <c r="AN1569" t="s">
        <v>2926</v>
      </c>
      <c r="AO1569">
        <v>14868</v>
      </c>
      <c r="AU1569">
        <v>0.6</v>
      </c>
      <c r="AV1569" t="s">
        <v>308</v>
      </c>
      <c r="AW1569" t="s">
        <v>85</v>
      </c>
    </row>
    <row r="1570" spans="1:50">
      <c r="A1570" s="1" t="s">
        <v>118</v>
      </c>
      <c r="B1570" t="s">
        <v>163</v>
      </c>
      <c r="C1570" t="s">
        <v>4780</v>
      </c>
      <c r="D1570" t="s">
        <v>193</v>
      </c>
      <c r="F1570" t="s">
        <v>689</v>
      </c>
      <c r="G1570" t="s">
        <v>1024</v>
      </c>
      <c r="H1570" t="s">
        <v>9805</v>
      </c>
      <c r="I1570" t="s">
        <v>1502</v>
      </c>
      <c r="J1570" t="s">
        <v>1641</v>
      </c>
      <c r="K1570">
        <v>10452</v>
      </c>
      <c r="L1570" t="s">
        <v>1670</v>
      </c>
      <c r="M1570" t="s">
        <v>1670</v>
      </c>
      <c r="O1570" t="s">
        <v>1675</v>
      </c>
      <c r="P1570" t="s">
        <v>1959</v>
      </c>
      <c r="R1570" t="s">
        <v>50</v>
      </c>
      <c r="S1570" t="s">
        <v>1670</v>
      </c>
      <c r="U1570" t="s">
        <v>1972</v>
      </c>
      <c r="W1570" t="s">
        <v>1991</v>
      </c>
      <c r="X1570">
        <v>673.6799999999999</v>
      </c>
      <c r="Y1570" t="s">
        <v>2006</v>
      </c>
      <c r="Z1570" t="s">
        <v>2015</v>
      </c>
      <c r="AB1570" t="s">
        <v>14155</v>
      </c>
      <c r="AC1570" t="s">
        <v>15183</v>
      </c>
      <c r="AD1570" t="s">
        <v>16578</v>
      </c>
      <c r="AE1570">
        <v>60</v>
      </c>
      <c r="AF1570" t="s">
        <v>2902</v>
      </c>
      <c r="AG1570" t="s">
        <v>1754</v>
      </c>
      <c r="AH1570">
        <v>31</v>
      </c>
      <c r="AI1570">
        <v>2</v>
      </c>
      <c r="AJ1570">
        <v>0</v>
      </c>
      <c r="AK1570">
        <v>71.73999999999999</v>
      </c>
      <c r="AN1570" t="s">
        <v>2927</v>
      </c>
      <c r="AO1570">
        <v>12132</v>
      </c>
      <c r="AU1570" t="s">
        <v>13051</v>
      </c>
      <c r="AW1570" t="s">
        <v>3046</v>
      </c>
      <c r="AX1570" t="s">
        <v>18685</v>
      </c>
    </row>
    <row r="1571" spans="1:50">
      <c r="A1571" s="1" t="s">
        <v>94</v>
      </c>
      <c r="B1571" t="s">
        <v>163</v>
      </c>
      <c r="C1571" t="s">
        <v>4781</v>
      </c>
      <c r="D1571" t="s">
        <v>186</v>
      </c>
      <c r="F1571" t="s">
        <v>7223</v>
      </c>
      <c r="G1571" t="s">
        <v>806</v>
      </c>
      <c r="H1571" t="s">
        <v>9541</v>
      </c>
      <c r="I1571">
        <v>23</v>
      </c>
      <c r="J1571" t="s">
        <v>1643</v>
      </c>
      <c r="K1571">
        <v>10034</v>
      </c>
      <c r="L1571" t="s">
        <v>1670</v>
      </c>
      <c r="M1571" t="s">
        <v>1670</v>
      </c>
      <c r="O1571" t="s">
        <v>1939</v>
      </c>
      <c r="P1571" t="s">
        <v>1958</v>
      </c>
      <c r="R1571" t="s">
        <v>50</v>
      </c>
      <c r="S1571" t="s">
        <v>1670</v>
      </c>
      <c r="U1571" t="s">
        <v>1972</v>
      </c>
      <c r="W1571" t="s">
        <v>186</v>
      </c>
      <c r="X1571">
        <v>929.89</v>
      </c>
      <c r="Y1571" t="s">
        <v>2008</v>
      </c>
      <c r="Z1571" t="s">
        <v>2013</v>
      </c>
      <c r="AB1571" t="s">
        <v>14156</v>
      </c>
      <c r="AD1571" t="s">
        <v>16579</v>
      </c>
      <c r="AE1571">
        <v>20</v>
      </c>
      <c r="AF1571" t="s">
        <v>2902</v>
      </c>
      <c r="AG1571" t="s">
        <v>2919</v>
      </c>
      <c r="AH1571">
        <v>48</v>
      </c>
      <c r="AI1571">
        <v>3</v>
      </c>
      <c r="AJ1571">
        <v>0</v>
      </c>
      <c r="AK1571">
        <v>71.79000000000001</v>
      </c>
      <c r="AN1571" t="s">
        <v>2927</v>
      </c>
      <c r="AO1571">
        <v>15312</v>
      </c>
      <c r="AU1571" t="s">
        <v>13051</v>
      </c>
      <c r="AW1571" t="s">
        <v>3042</v>
      </c>
    </row>
    <row r="1572" spans="1:50">
      <c r="A1572" s="1" t="s">
        <v>3191</v>
      </c>
      <c r="B1572" t="s">
        <v>164</v>
      </c>
      <c r="C1572" t="s">
        <v>4782</v>
      </c>
      <c r="D1572" t="s">
        <v>363</v>
      </c>
      <c r="E1572" t="s">
        <v>200</v>
      </c>
      <c r="F1572" t="s">
        <v>6849</v>
      </c>
      <c r="G1572" t="s">
        <v>8618</v>
      </c>
      <c r="H1572" t="s">
        <v>10085</v>
      </c>
      <c r="I1572">
        <v>2710</v>
      </c>
      <c r="J1572" t="s">
        <v>1643</v>
      </c>
      <c r="K1572">
        <v>10029</v>
      </c>
      <c r="L1572" t="s">
        <v>1670</v>
      </c>
      <c r="M1572" t="s">
        <v>1670</v>
      </c>
      <c r="O1572" t="s">
        <v>1675</v>
      </c>
      <c r="P1572" t="s">
        <v>1958</v>
      </c>
      <c r="Q1572" t="s">
        <v>1965</v>
      </c>
      <c r="R1572" t="s">
        <v>50</v>
      </c>
      <c r="S1572" t="s">
        <v>1671</v>
      </c>
      <c r="U1572" t="s">
        <v>1972</v>
      </c>
      <c r="V1572" t="s">
        <v>1984</v>
      </c>
      <c r="W1572" t="s">
        <v>287</v>
      </c>
      <c r="X1572">
        <v>800</v>
      </c>
      <c r="Y1572" t="s">
        <v>2008</v>
      </c>
      <c r="Z1572" t="s">
        <v>2013</v>
      </c>
      <c r="AA1572" t="s">
        <v>2029</v>
      </c>
      <c r="AB1572" t="s">
        <v>14157</v>
      </c>
      <c r="AD1572" t="s">
        <v>16580</v>
      </c>
      <c r="AE1572">
        <v>396</v>
      </c>
      <c r="AF1572" t="s">
        <v>2906</v>
      </c>
      <c r="AG1572" t="s">
        <v>2915</v>
      </c>
      <c r="AH1572">
        <v>30</v>
      </c>
      <c r="AI1572">
        <v>1</v>
      </c>
      <c r="AJ1572">
        <v>0</v>
      </c>
      <c r="AK1572">
        <v>71.86</v>
      </c>
      <c r="AN1572" t="s">
        <v>2926</v>
      </c>
      <c r="AO1572">
        <v>8724</v>
      </c>
      <c r="AU1572">
        <v>3.8</v>
      </c>
      <c r="AV1572" t="s">
        <v>343</v>
      </c>
      <c r="AW1572" t="s">
        <v>3071</v>
      </c>
    </row>
    <row r="1573" spans="1:50">
      <c r="A1573" s="1" t="s">
        <v>65</v>
      </c>
      <c r="B1573" t="s">
        <v>163</v>
      </c>
      <c r="C1573" t="s">
        <v>4783</v>
      </c>
      <c r="D1573" t="s">
        <v>246</v>
      </c>
      <c r="F1573" t="s">
        <v>782</v>
      </c>
      <c r="G1573" t="s">
        <v>425</v>
      </c>
      <c r="H1573" t="s">
        <v>1121</v>
      </c>
      <c r="J1573" t="s">
        <v>1644</v>
      </c>
      <c r="K1573">
        <v>11226</v>
      </c>
      <c r="L1573" t="s">
        <v>1670</v>
      </c>
      <c r="M1573" t="s">
        <v>1670</v>
      </c>
      <c r="O1573" t="s">
        <v>1940</v>
      </c>
      <c r="P1573" t="s">
        <v>1960</v>
      </c>
      <c r="R1573" t="s">
        <v>50</v>
      </c>
      <c r="U1573" t="s">
        <v>1972</v>
      </c>
      <c r="W1573" t="s">
        <v>271</v>
      </c>
      <c r="X1573">
        <v>778.9299999999999</v>
      </c>
      <c r="Y1573" t="s">
        <v>2009</v>
      </c>
      <c r="AB1573" t="s">
        <v>2060</v>
      </c>
      <c r="AD1573" t="s">
        <v>2486</v>
      </c>
      <c r="AE1573" t="s">
        <v>13051</v>
      </c>
      <c r="AH1573">
        <v>8</v>
      </c>
      <c r="AI1573">
        <v>1</v>
      </c>
      <c r="AJ1573">
        <v>0</v>
      </c>
      <c r="AK1573">
        <v>71.86</v>
      </c>
      <c r="AN1573" t="s">
        <v>2926</v>
      </c>
      <c r="AO1573">
        <v>8724</v>
      </c>
      <c r="AU1573">
        <v>0.5</v>
      </c>
      <c r="AV1573" t="s">
        <v>403</v>
      </c>
      <c r="AW1573" t="s">
        <v>158</v>
      </c>
    </row>
    <row r="1574" spans="1:50">
      <c r="A1574" s="1" t="s">
        <v>124</v>
      </c>
      <c r="B1574" t="s">
        <v>163</v>
      </c>
      <c r="C1574" t="s">
        <v>4784</v>
      </c>
      <c r="D1574" t="s">
        <v>266</v>
      </c>
      <c r="F1574" t="s">
        <v>7467</v>
      </c>
      <c r="G1574" t="s">
        <v>7183</v>
      </c>
      <c r="H1574" t="s">
        <v>10086</v>
      </c>
      <c r="I1574" t="s">
        <v>11245</v>
      </c>
      <c r="J1574" t="s">
        <v>1644</v>
      </c>
      <c r="K1574">
        <v>11203</v>
      </c>
      <c r="L1574" t="s">
        <v>1670</v>
      </c>
      <c r="M1574" t="s">
        <v>1670</v>
      </c>
      <c r="N1574" t="s">
        <v>12288</v>
      </c>
      <c r="O1574" t="s">
        <v>1940</v>
      </c>
      <c r="P1574" t="s">
        <v>1960</v>
      </c>
      <c r="R1574" t="s">
        <v>50</v>
      </c>
      <c r="S1574" t="s">
        <v>1671</v>
      </c>
      <c r="U1574" t="s">
        <v>1972</v>
      </c>
      <c r="W1574" t="s">
        <v>266</v>
      </c>
      <c r="X1574">
        <v>838</v>
      </c>
      <c r="Y1574" t="s">
        <v>2009</v>
      </c>
      <c r="AB1574" t="s">
        <v>14158</v>
      </c>
      <c r="AD1574" t="s">
        <v>16581</v>
      </c>
      <c r="AE1574" t="s">
        <v>13051</v>
      </c>
      <c r="AF1574" t="s">
        <v>2902</v>
      </c>
      <c r="AH1574" t="s">
        <v>13051</v>
      </c>
      <c r="AI1574">
        <v>1</v>
      </c>
      <c r="AJ1574">
        <v>0</v>
      </c>
      <c r="AK1574">
        <v>71.87</v>
      </c>
      <c r="AN1574" t="s">
        <v>2926</v>
      </c>
      <c r="AO1574">
        <v>8976</v>
      </c>
      <c r="AU1574">
        <v>27.8</v>
      </c>
      <c r="AV1574" t="s">
        <v>379</v>
      </c>
      <c r="AW1574" t="s">
        <v>69</v>
      </c>
    </row>
    <row r="1575" spans="1:50">
      <c r="A1575" s="1" t="s">
        <v>75</v>
      </c>
      <c r="B1575" t="s">
        <v>164</v>
      </c>
      <c r="C1575" t="s">
        <v>4785</v>
      </c>
      <c r="D1575" t="s">
        <v>376</v>
      </c>
      <c r="E1575" t="s">
        <v>266</v>
      </c>
      <c r="F1575" t="s">
        <v>7251</v>
      </c>
      <c r="G1575" t="s">
        <v>8619</v>
      </c>
      <c r="H1575" t="s">
        <v>10087</v>
      </c>
      <c r="J1575" t="s">
        <v>1643</v>
      </c>
      <c r="K1575">
        <v>10029</v>
      </c>
      <c r="L1575" t="s">
        <v>1670</v>
      </c>
      <c r="M1575" t="s">
        <v>1670</v>
      </c>
      <c r="O1575" t="s">
        <v>1675</v>
      </c>
      <c r="P1575" t="s">
        <v>1958</v>
      </c>
      <c r="Q1575" t="s">
        <v>1965</v>
      </c>
      <c r="R1575" t="s">
        <v>50</v>
      </c>
      <c r="S1575" t="s">
        <v>1671</v>
      </c>
      <c r="U1575" t="s">
        <v>1972</v>
      </c>
      <c r="V1575" t="s">
        <v>1984</v>
      </c>
      <c r="W1575" t="s">
        <v>376</v>
      </c>
      <c r="X1575">
        <v>1396</v>
      </c>
      <c r="Y1575" t="s">
        <v>2008</v>
      </c>
      <c r="Z1575" t="s">
        <v>2013</v>
      </c>
      <c r="AA1575" t="s">
        <v>2029</v>
      </c>
      <c r="AB1575" t="s">
        <v>14159</v>
      </c>
      <c r="AE1575">
        <v>90</v>
      </c>
      <c r="AF1575" t="s">
        <v>2902</v>
      </c>
      <c r="AG1575" t="s">
        <v>2915</v>
      </c>
      <c r="AH1575">
        <v>38</v>
      </c>
      <c r="AI1575">
        <v>1</v>
      </c>
      <c r="AJ1575">
        <v>0</v>
      </c>
      <c r="AK1575">
        <v>71.95999999999999</v>
      </c>
      <c r="AN1575" t="s">
        <v>2926</v>
      </c>
      <c r="AO1575">
        <v>8736</v>
      </c>
      <c r="AP1575" t="s">
        <v>18098</v>
      </c>
      <c r="AU1575">
        <v>0.1</v>
      </c>
      <c r="AV1575" t="s">
        <v>210</v>
      </c>
      <c r="AW1575" t="s">
        <v>3051</v>
      </c>
    </row>
    <row r="1576" spans="1:50">
      <c r="A1576" s="1" t="s">
        <v>100</v>
      </c>
      <c r="B1576" t="s">
        <v>164</v>
      </c>
      <c r="C1576" t="s">
        <v>4786</v>
      </c>
      <c r="D1576" t="s">
        <v>310</v>
      </c>
      <c r="E1576" t="s">
        <v>310</v>
      </c>
      <c r="F1576" t="s">
        <v>1085</v>
      </c>
      <c r="G1576" t="s">
        <v>8142</v>
      </c>
      <c r="H1576" t="s">
        <v>10088</v>
      </c>
      <c r="J1576" t="s">
        <v>1643</v>
      </c>
      <c r="K1576">
        <v>10034</v>
      </c>
      <c r="L1576" t="s">
        <v>1670</v>
      </c>
      <c r="M1576" t="s">
        <v>1672</v>
      </c>
      <c r="O1576" t="s">
        <v>1941</v>
      </c>
      <c r="P1576" t="s">
        <v>1958</v>
      </c>
      <c r="Q1576" t="s">
        <v>1965</v>
      </c>
      <c r="R1576" t="s">
        <v>50</v>
      </c>
      <c r="S1576" t="s">
        <v>1671</v>
      </c>
      <c r="U1576" t="s">
        <v>1972</v>
      </c>
      <c r="W1576" t="s">
        <v>310</v>
      </c>
      <c r="X1576" t="s">
        <v>13051</v>
      </c>
      <c r="Y1576" t="s">
        <v>2008</v>
      </c>
      <c r="Z1576" t="s">
        <v>2013</v>
      </c>
      <c r="AA1576" t="s">
        <v>2029</v>
      </c>
      <c r="AB1576" t="s">
        <v>14160</v>
      </c>
      <c r="AD1576" t="s">
        <v>16582</v>
      </c>
      <c r="AE1576">
        <v>22</v>
      </c>
      <c r="AF1576" t="s">
        <v>2902</v>
      </c>
      <c r="AG1576" t="s">
        <v>2915</v>
      </c>
      <c r="AH1576">
        <v>42</v>
      </c>
      <c r="AI1576">
        <v>1</v>
      </c>
      <c r="AJ1576">
        <v>0</v>
      </c>
      <c r="AK1576">
        <v>72.06</v>
      </c>
      <c r="AN1576" t="s">
        <v>2927</v>
      </c>
      <c r="AO1576">
        <v>9000</v>
      </c>
      <c r="AU1576">
        <v>1.5</v>
      </c>
      <c r="AV1576" t="s">
        <v>310</v>
      </c>
      <c r="AW1576" t="s">
        <v>3077</v>
      </c>
      <c r="AX1576" t="s">
        <v>18685</v>
      </c>
    </row>
    <row r="1577" spans="1:50">
      <c r="A1577" s="1" t="s">
        <v>124</v>
      </c>
      <c r="B1577" t="s">
        <v>163</v>
      </c>
      <c r="C1577" t="s">
        <v>4787</v>
      </c>
      <c r="D1577" t="s">
        <v>217</v>
      </c>
      <c r="F1577" t="s">
        <v>7468</v>
      </c>
      <c r="G1577" t="s">
        <v>8620</v>
      </c>
      <c r="H1577" t="s">
        <v>9394</v>
      </c>
      <c r="I1577">
        <v>2</v>
      </c>
      <c r="J1577" t="s">
        <v>1644</v>
      </c>
      <c r="K1577">
        <v>11226</v>
      </c>
      <c r="L1577" t="s">
        <v>1670</v>
      </c>
      <c r="M1577" t="s">
        <v>1670</v>
      </c>
      <c r="O1577" t="s">
        <v>1939</v>
      </c>
      <c r="P1577" t="s">
        <v>1958</v>
      </c>
      <c r="R1577" t="s">
        <v>50</v>
      </c>
      <c r="S1577" t="s">
        <v>1670</v>
      </c>
      <c r="U1577" t="s">
        <v>1972</v>
      </c>
      <c r="W1577" t="s">
        <v>217</v>
      </c>
      <c r="X1577" t="s">
        <v>13051</v>
      </c>
      <c r="Y1577" t="s">
        <v>2009</v>
      </c>
      <c r="AB1577" t="s">
        <v>14161</v>
      </c>
      <c r="AE1577" t="s">
        <v>13051</v>
      </c>
      <c r="AH1577" t="s">
        <v>13051</v>
      </c>
      <c r="AI1577">
        <v>1</v>
      </c>
      <c r="AJ1577">
        <v>0</v>
      </c>
      <c r="AK1577">
        <v>72.06</v>
      </c>
      <c r="AN1577" t="s">
        <v>2926</v>
      </c>
      <c r="AO1577">
        <v>9000</v>
      </c>
      <c r="AU1577">
        <v>0.6</v>
      </c>
      <c r="AV1577" t="s">
        <v>268</v>
      </c>
      <c r="AW1577" t="s">
        <v>69</v>
      </c>
    </row>
    <row r="1578" spans="1:50">
      <c r="A1578" s="1" t="s">
        <v>115</v>
      </c>
      <c r="B1578" t="s">
        <v>163</v>
      </c>
      <c r="C1578" t="s">
        <v>4788</v>
      </c>
      <c r="D1578" t="s">
        <v>328</v>
      </c>
      <c r="F1578" t="s">
        <v>526</v>
      </c>
      <c r="G1578" t="s">
        <v>8621</v>
      </c>
      <c r="H1578" t="s">
        <v>10089</v>
      </c>
      <c r="I1578" t="s">
        <v>11246</v>
      </c>
      <c r="J1578" t="s">
        <v>1641</v>
      </c>
      <c r="K1578">
        <v>10468</v>
      </c>
      <c r="L1578" t="s">
        <v>1670</v>
      </c>
      <c r="M1578" t="s">
        <v>1672</v>
      </c>
      <c r="N1578" t="s">
        <v>1691</v>
      </c>
      <c r="O1578" t="s">
        <v>1675</v>
      </c>
      <c r="P1578" t="s">
        <v>1958</v>
      </c>
      <c r="R1578" t="s">
        <v>50</v>
      </c>
      <c r="S1578" t="s">
        <v>1671</v>
      </c>
      <c r="U1578" t="s">
        <v>1972</v>
      </c>
      <c r="W1578" t="s">
        <v>328</v>
      </c>
      <c r="X1578">
        <v>360</v>
      </c>
      <c r="Y1578" t="s">
        <v>2006</v>
      </c>
      <c r="Z1578" t="s">
        <v>2015</v>
      </c>
      <c r="AB1578" t="s">
        <v>14162</v>
      </c>
      <c r="AD1578" t="s">
        <v>16583</v>
      </c>
      <c r="AE1578">
        <v>51</v>
      </c>
      <c r="AF1578" t="s">
        <v>2902</v>
      </c>
      <c r="AG1578" t="s">
        <v>2915</v>
      </c>
      <c r="AH1578">
        <v>2</v>
      </c>
      <c r="AI1578">
        <v>1</v>
      </c>
      <c r="AJ1578">
        <v>0</v>
      </c>
      <c r="AK1578">
        <v>72.06</v>
      </c>
      <c r="AN1578" t="s">
        <v>2927</v>
      </c>
      <c r="AO1578">
        <v>9000</v>
      </c>
      <c r="AU1578">
        <v>1</v>
      </c>
      <c r="AV1578" t="s">
        <v>328</v>
      </c>
      <c r="AW1578" t="s">
        <v>115</v>
      </c>
      <c r="AX1578" t="s">
        <v>18685</v>
      </c>
    </row>
    <row r="1579" spans="1:50">
      <c r="A1579" s="1" t="s">
        <v>68</v>
      </c>
      <c r="B1579" t="s">
        <v>163</v>
      </c>
      <c r="C1579" t="s">
        <v>4789</v>
      </c>
      <c r="D1579" t="s">
        <v>404</v>
      </c>
      <c r="F1579" t="s">
        <v>685</v>
      </c>
      <c r="G1579" t="s">
        <v>6924</v>
      </c>
      <c r="H1579" t="s">
        <v>9962</v>
      </c>
      <c r="I1579">
        <v>35</v>
      </c>
      <c r="J1579" t="s">
        <v>1643</v>
      </c>
      <c r="K1579">
        <v>10034</v>
      </c>
      <c r="L1579" t="s">
        <v>1670</v>
      </c>
      <c r="M1579" t="s">
        <v>1672</v>
      </c>
      <c r="O1579" t="s">
        <v>1941</v>
      </c>
      <c r="P1579" t="s">
        <v>1958</v>
      </c>
      <c r="R1579" t="s">
        <v>50</v>
      </c>
      <c r="S1579" t="s">
        <v>1671</v>
      </c>
      <c r="U1579" t="s">
        <v>1972</v>
      </c>
      <c r="W1579" t="s">
        <v>404</v>
      </c>
      <c r="X1579" t="s">
        <v>13051</v>
      </c>
      <c r="Y1579" t="s">
        <v>2008</v>
      </c>
      <c r="Z1579" t="s">
        <v>2013</v>
      </c>
      <c r="AB1579" t="s">
        <v>14163</v>
      </c>
      <c r="AD1579" t="s">
        <v>16584</v>
      </c>
      <c r="AE1579">
        <v>29</v>
      </c>
      <c r="AG1579" t="s">
        <v>2915</v>
      </c>
      <c r="AH1579">
        <v>38</v>
      </c>
      <c r="AI1579">
        <v>1</v>
      </c>
      <c r="AJ1579">
        <v>0</v>
      </c>
      <c r="AK1579">
        <v>72.06</v>
      </c>
      <c r="AN1579" t="s">
        <v>2927</v>
      </c>
      <c r="AO1579">
        <v>9000</v>
      </c>
      <c r="AU1579">
        <v>1.5</v>
      </c>
      <c r="AV1579" t="s">
        <v>361</v>
      </c>
      <c r="AW1579" t="s">
        <v>3042</v>
      </c>
      <c r="AX1579" t="s">
        <v>18685</v>
      </c>
    </row>
    <row r="1580" spans="1:50">
      <c r="A1580" s="1" t="s">
        <v>97</v>
      </c>
      <c r="B1580" t="s">
        <v>163</v>
      </c>
      <c r="C1580" t="s">
        <v>4790</v>
      </c>
      <c r="D1580" t="s">
        <v>199</v>
      </c>
      <c r="F1580" t="s">
        <v>7311</v>
      </c>
      <c r="G1580" t="s">
        <v>7944</v>
      </c>
      <c r="H1580" t="s">
        <v>10090</v>
      </c>
      <c r="I1580">
        <v>2</v>
      </c>
      <c r="J1580" t="s">
        <v>1643</v>
      </c>
      <c r="K1580">
        <v>10034</v>
      </c>
      <c r="L1580" t="s">
        <v>1670</v>
      </c>
      <c r="M1580" t="s">
        <v>1670</v>
      </c>
      <c r="O1580" t="s">
        <v>1936</v>
      </c>
      <c r="P1580" t="s">
        <v>1962</v>
      </c>
      <c r="R1580" t="s">
        <v>50</v>
      </c>
      <c r="S1580" t="s">
        <v>1671</v>
      </c>
      <c r="U1580" t="s">
        <v>1972</v>
      </c>
      <c r="W1580" t="s">
        <v>199</v>
      </c>
      <c r="X1580">
        <v>553</v>
      </c>
      <c r="Y1580" t="s">
        <v>2008</v>
      </c>
      <c r="Z1580" t="s">
        <v>2013</v>
      </c>
      <c r="AB1580" t="s">
        <v>14164</v>
      </c>
      <c r="AD1580" t="s">
        <v>16585</v>
      </c>
      <c r="AE1580">
        <v>25</v>
      </c>
      <c r="AF1580" t="s">
        <v>2902</v>
      </c>
      <c r="AG1580" t="s">
        <v>2919</v>
      </c>
      <c r="AH1580">
        <v>42</v>
      </c>
      <c r="AI1580">
        <v>1</v>
      </c>
      <c r="AJ1580">
        <v>0</v>
      </c>
      <c r="AK1580">
        <v>72.06</v>
      </c>
      <c r="AN1580" t="s">
        <v>2927</v>
      </c>
      <c r="AO1580">
        <v>9000</v>
      </c>
      <c r="AU1580">
        <v>1.2</v>
      </c>
      <c r="AV1580" t="s">
        <v>1999</v>
      </c>
      <c r="AW1580" t="s">
        <v>3042</v>
      </c>
      <c r="AX1580" t="s">
        <v>18685</v>
      </c>
    </row>
    <row r="1581" spans="1:50">
      <c r="A1581" s="1" t="s">
        <v>162</v>
      </c>
      <c r="B1581" t="s">
        <v>163</v>
      </c>
      <c r="C1581" t="s">
        <v>4791</v>
      </c>
      <c r="D1581" t="s">
        <v>286</v>
      </c>
      <c r="F1581" t="s">
        <v>7469</v>
      </c>
      <c r="G1581" t="s">
        <v>8622</v>
      </c>
      <c r="H1581" t="s">
        <v>1192</v>
      </c>
      <c r="I1581" t="s">
        <v>11247</v>
      </c>
      <c r="J1581" t="s">
        <v>1645</v>
      </c>
      <c r="K1581">
        <v>11691</v>
      </c>
      <c r="L1581" t="s">
        <v>1670</v>
      </c>
      <c r="M1581" t="s">
        <v>1670</v>
      </c>
      <c r="N1581" t="s">
        <v>12289</v>
      </c>
      <c r="O1581" t="s">
        <v>1936</v>
      </c>
      <c r="P1581" t="s">
        <v>1959</v>
      </c>
      <c r="R1581" t="s">
        <v>50</v>
      </c>
      <c r="S1581" t="s">
        <v>1671</v>
      </c>
      <c r="U1581" t="s">
        <v>1972</v>
      </c>
      <c r="V1581" t="s">
        <v>1983</v>
      </c>
      <c r="W1581" t="s">
        <v>286</v>
      </c>
      <c r="X1581">
        <v>222</v>
      </c>
      <c r="Y1581" t="s">
        <v>2007</v>
      </c>
      <c r="Z1581" t="s">
        <v>2020</v>
      </c>
      <c r="AB1581" t="s">
        <v>14165</v>
      </c>
      <c r="AC1581" t="s">
        <v>15184</v>
      </c>
      <c r="AD1581" t="s">
        <v>16586</v>
      </c>
      <c r="AE1581">
        <v>70</v>
      </c>
      <c r="AF1581" t="s">
        <v>2909</v>
      </c>
      <c r="AG1581" t="s">
        <v>1754</v>
      </c>
      <c r="AH1581">
        <v>25</v>
      </c>
      <c r="AI1581">
        <v>1</v>
      </c>
      <c r="AJ1581">
        <v>0</v>
      </c>
      <c r="AK1581">
        <v>72.06</v>
      </c>
      <c r="AN1581" t="s">
        <v>2927</v>
      </c>
      <c r="AO1581">
        <v>9000</v>
      </c>
      <c r="AU1581">
        <v>3</v>
      </c>
      <c r="AV1581" t="s">
        <v>189</v>
      </c>
      <c r="AW1581" t="s">
        <v>3044</v>
      </c>
    </row>
    <row r="1582" spans="1:50">
      <c r="A1582" s="1" t="s">
        <v>74</v>
      </c>
      <c r="B1582" t="s">
        <v>163</v>
      </c>
      <c r="C1582" t="s">
        <v>4792</v>
      </c>
      <c r="D1582" t="s">
        <v>191</v>
      </c>
      <c r="F1582" t="s">
        <v>526</v>
      </c>
      <c r="G1582" t="s">
        <v>8623</v>
      </c>
      <c r="H1582" t="s">
        <v>1131</v>
      </c>
      <c r="I1582" t="s">
        <v>1506</v>
      </c>
      <c r="J1582" t="s">
        <v>1641</v>
      </c>
      <c r="K1582">
        <v>10460</v>
      </c>
      <c r="L1582" t="s">
        <v>1670</v>
      </c>
      <c r="M1582" t="s">
        <v>1672</v>
      </c>
      <c r="N1582" t="s">
        <v>1691</v>
      </c>
      <c r="O1582" t="s">
        <v>1675</v>
      </c>
      <c r="P1582" t="s">
        <v>1959</v>
      </c>
      <c r="R1582" t="s">
        <v>50</v>
      </c>
      <c r="S1582" t="s">
        <v>1670</v>
      </c>
      <c r="U1582" t="s">
        <v>1972</v>
      </c>
      <c r="W1582" t="s">
        <v>1991</v>
      </c>
      <c r="X1582">
        <v>326</v>
      </c>
      <c r="Y1582" t="s">
        <v>2006</v>
      </c>
      <c r="Z1582" t="s">
        <v>2015</v>
      </c>
      <c r="AB1582" t="s">
        <v>14166</v>
      </c>
      <c r="AD1582" t="s">
        <v>16587</v>
      </c>
      <c r="AE1582">
        <v>168</v>
      </c>
      <c r="AF1582" t="s">
        <v>2902</v>
      </c>
      <c r="AG1582" t="s">
        <v>2921</v>
      </c>
      <c r="AH1582">
        <v>5</v>
      </c>
      <c r="AI1582">
        <v>1</v>
      </c>
      <c r="AJ1582">
        <v>0</v>
      </c>
      <c r="AK1582">
        <v>72.06</v>
      </c>
      <c r="AN1582" t="s">
        <v>2927</v>
      </c>
      <c r="AO1582">
        <v>9000</v>
      </c>
      <c r="AU1582" t="s">
        <v>13051</v>
      </c>
      <c r="AW1582" t="s">
        <v>3054</v>
      </c>
      <c r="AX1582" t="s">
        <v>18685</v>
      </c>
    </row>
    <row r="1583" spans="1:50">
      <c r="A1583" s="1" t="s">
        <v>74</v>
      </c>
      <c r="B1583" t="s">
        <v>163</v>
      </c>
      <c r="C1583" t="s">
        <v>4793</v>
      </c>
      <c r="D1583" t="s">
        <v>230</v>
      </c>
      <c r="F1583" t="s">
        <v>7470</v>
      </c>
      <c r="G1583" t="s">
        <v>768</v>
      </c>
      <c r="H1583" t="s">
        <v>1131</v>
      </c>
      <c r="I1583" t="s">
        <v>11248</v>
      </c>
      <c r="J1583" t="s">
        <v>1641</v>
      </c>
      <c r="K1583">
        <v>10460</v>
      </c>
      <c r="L1583" t="s">
        <v>1670</v>
      </c>
      <c r="M1583" t="s">
        <v>1672</v>
      </c>
      <c r="O1583" t="s">
        <v>1675</v>
      </c>
      <c r="P1583" t="s">
        <v>1959</v>
      </c>
      <c r="R1583" t="s">
        <v>50</v>
      </c>
      <c r="S1583" t="s">
        <v>1670</v>
      </c>
      <c r="U1583" t="s">
        <v>1972</v>
      </c>
      <c r="W1583" t="s">
        <v>1991</v>
      </c>
      <c r="X1583">
        <v>990</v>
      </c>
      <c r="Y1583" t="s">
        <v>2006</v>
      </c>
      <c r="Z1583" t="s">
        <v>2015</v>
      </c>
      <c r="AB1583" t="s">
        <v>14167</v>
      </c>
      <c r="AD1583" t="s">
        <v>16588</v>
      </c>
      <c r="AE1583">
        <v>168</v>
      </c>
      <c r="AF1583" t="s">
        <v>2902</v>
      </c>
      <c r="AG1583" t="s">
        <v>2915</v>
      </c>
      <c r="AH1583">
        <v>11</v>
      </c>
      <c r="AI1583">
        <v>1</v>
      </c>
      <c r="AJ1583">
        <v>0</v>
      </c>
      <c r="AK1583">
        <v>72.06</v>
      </c>
      <c r="AN1583" t="s">
        <v>2926</v>
      </c>
      <c r="AO1583">
        <v>9000</v>
      </c>
      <c r="AU1583" t="s">
        <v>13051</v>
      </c>
      <c r="AW1583" t="s">
        <v>3045</v>
      </c>
      <c r="AX1583" t="s">
        <v>18685</v>
      </c>
    </row>
    <row r="1584" spans="1:50">
      <c r="A1584" s="1" t="s">
        <v>73</v>
      </c>
      <c r="B1584" t="s">
        <v>163</v>
      </c>
      <c r="C1584" t="s">
        <v>4794</v>
      </c>
      <c r="D1584" t="s">
        <v>384</v>
      </c>
      <c r="F1584" t="s">
        <v>7469</v>
      </c>
      <c r="G1584" t="s">
        <v>8622</v>
      </c>
      <c r="H1584" t="s">
        <v>1192</v>
      </c>
      <c r="I1584" t="s">
        <v>11247</v>
      </c>
      <c r="J1584" t="s">
        <v>1645</v>
      </c>
      <c r="K1584">
        <v>11691</v>
      </c>
      <c r="L1584" t="s">
        <v>1670</v>
      </c>
      <c r="M1584" t="s">
        <v>1670</v>
      </c>
      <c r="N1584" t="s">
        <v>12289</v>
      </c>
      <c r="O1584" t="s">
        <v>1936</v>
      </c>
      <c r="P1584" t="s">
        <v>1960</v>
      </c>
      <c r="R1584" t="s">
        <v>50</v>
      </c>
      <c r="S1584" t="s">
        <v>1671</v>
      </c>
      <c r="U1584" t="s">
        <v>1972</v>
      </c>
      <c r="V1584" t="s">
        <v>1983</v>
      </c>
      <c r="W1584" t="s">
        <v>384</v>
      </c>
      <c r="X1584">
        <v>222</v>
      </c>
      <c r="Y1584" t="s">
        <v>2007</v>
      </c>
      <c r="Z1584" t="s">
        <v>2020</v>
      </c>
      <c r="AB1584" t="s">
        <v>14165</v>
      </c>
      <c r="AC1584" t="s">
        <v>15184</v>
      </c>
      <c r="AD1584" t="s">
        <v>16586</v>
      </c>
      <c r="AE1584">
        <v>70</v>
      </c>
      <c r="AF1584" t="s">
        <v>2909</v>
      </c>
      <c r="AG1584" t="s">
        <v>1754</v>
      </c>
      <c r="AH1584">
        <v>25</v>
      </c>
      <c r="AI1584">
        <v>1</v>
      </c>
      <c r="AJ1584">
        <v>0</v>
      </c>
      <c r="AK1584">
        <v>72.06</v>
      </c>
      <c r="AN1584" t="s">
        <v>2927</v>
      </c>
      <c r="AO1584">
        <v>9000</v>
      </c>
      <c r="AQ1584" t="s">
        <v>2978</v>
      </c>
      <c r="AR1584" t="s">
        <v>18470</v>
      </c>
      <c r="AS1584" t="s">
        <v>2992</v>
      </c>
      <c r="AT1584" t="s">
        <v>18556</v>
      </c>
      <c r="AU1584">
        <v>2.1</v>
      </c>
      <c r="AV1584" t="s">
        <v>6191</v>
      </c>
      <c r="AW1584" t="s">
        <v>3044</v>
      </c>
    </row>
    <row r="1585" spans="1:50">
      <c r="A1585" s="1" t="s">
        <v>124</v>
      </c>
      <c r="B1585" t="s">
        <v>163</v>
      </c>
      <c r="C1585" t="s">
        <v>4795</v>
      </c>
      <c r="D1585" t="s">
        <v>268</v>
      </c>
      <c r="F1585" t="s">
        <v>530</v>
      </c>
      <c r="G1585" t="s">
        <v>897</v>
      </c>
      <c r="H1585" t="s">
        <v>10091</v>
      </c>
      <c r="I1585">
        <v>6</v>
      </c>
      <c r="J1585" t="s">
        <v>1644</v>
      </c>
      <c r="K1585">
        <v>11231</v>
      </c>
      <c r="L1585" t="s">
        <v>1670</v>
      </c>
      <c r="M1585" t="s">
        <v>1672</v>
      </c>
      <c r="O1585" t="s">
        <v>1936</v>
      </c>
      <c r="P1585" t="s">
        <v>1960</v>
      </c>
      <c r="R1585" t="s">
        <v>50</v>
      </c>
      <c r="S1585" t="s">
        <v>1671</v>
      </c>
      <c r="U1585" t="s">
        <v>1972</v>
      </c>
      <c r="W1585" t="s">
        <v>268</v>
      </c>
      <c r="X1585" t="s">
        <v>13051</v>
      </c>
      <c r="Y1585" t="s">
        <v>2009</v>
      </c>
      <c r="AB1585" t="s">
        <v>2360</v>
      </c>
      <c r="AD1585" t="s">
        <v>16589</v>
      </c>
      <c r="AE1585" t="s">
        <v>13051</v>
      </c>
      <c r="AH1585">
        <v>37</v>
      </c>
      <c r="AI1585">
        <v>1</v>
      </c>
      <c r="AJ1585">
        <v>0</v>
      </c>
      <c r="AK1585">
        <v>72.06</v>
      </c>
      <c r="AN1585" t="s">
        <v>2926</v>
      </c>
      <c r="AO1585">
        <v>9000</v>
      </c>
      <c r="AU1585">
        <v>2.2</v>
      </c>
      <c r="AV1585" t="s">
        <v>400</v>
      </c>
      <c r="AW1585" t="s">
        <v>158</v>
      </c>
      <c r="AX1585" t="s">
        <v>18685</v>
      </c>
    </row>
    <row r="1586" spans="1:50">
      <c r="A1586" s="1" t="s">
        <v>69</v>
      </c>
      <c r="B1586" t="s">
        <v>163</v>
      </c>
      <c r="C1586" t="s">
        <v>4796</v>
      </c>
      <c r="D1586" t="s">
        <v>361</v>
      </c>
      <c r="F1586" t="s">
        <v>530</v>
      </c>
      <c r="G1586" t="s">
        <v>897</v>
      </c>
      <c r="H1586" t="s">
        <v>10091</v>
      </c>
      <c r="I1586">
        <v>6</v>
      </c>
      <c r="J1586" t="s">
        <v>1644</v>
      </c>
      <c r="K1586">
        <v>11231</v>
      </c>
      <c r="L1586" t="s">
        <v>1670</v>
      </c>
      <c r="M1586" t="s">
        <v>1672</v>
      </c>
      <c r="P1586" t="s">
        <v>1960</v>
      </c>
      <c r="R1586" t="s">
        <v>50</v>
      </c>
      <c r="S1586" t="s">
        <v>1671</v>
      </c>
      <c r="U1586" t="s">
        <v>1972</v>
      </c>
      <c r="W1586" t="s">
        <v>361</v>
      </c>
      <c r="X1586" t="s">
        <v>13051</v>
      </c>
      <c r="Y1586" t="s">
        <v>2009</v>
      </c>
      <c r="AB1586" t="s">
        <v>2360</v>
      </c>
      <c r="AD1586" t="s">
        <v>16589</v>
      </c>
      <c r="AE1586" t="s">
        <v>13051</v>
      </c>
      <c r="AH1586">
        <v>37</v>
      </c>
      <c r="AI1586">
        <v>1</v>
      </c>
      <c r="AJ1586">
        <v>0</v>
      </c>
      <c r="AK1586">
        <v>72.06</v>
      </c>
      <c r="AN1586" t="s">
        <v>2926</v>
      </c>
      <c r="AO1586">
        <v>9000</v>
      </c>
      <c r="AU1586">
        <v>0.5</v>
      </c>
      <c r="AV1586" t="s">
        <v>400</v>
      </c>
      <c r="AW1586" t="s">
        <v>158</v>
      </c>
      <c r="AX1586" t="s">
        <v>18685</v>
      </c>
    </row>
    <row r="1587" spans="1:50">
      <c r="A1587" s="1" t="s">
        <v>88</v>
      </c>
      <c r="B1587" t="s">
        <v>163</v>
      </c>
      <c r="C1587" t="s">
        <v>4797</v>
      </c>
      <c r="D1587" t="s">
        <v>353</v>
      </c>
      <c r="F1587" t="s">
        <v>7236</v>
      </c>
      <c r="G1587" t="s">
        <v>892</v>
      </c>
      <c r="H1587" t="s">
        <v>10092</v>
      </c>
      <c r="I1587" t="s">
        <v>1539</v>
      </c>
      <c r="J1587" t="s">
        <v>1644</v>
      </c>
      <c r="K1587">
        <v>11207</v>
      </c>
      <c r="L1587" t="s">
        <v>1671</v>
      </c>
      <c r="M1587" t="s">
        <v>1671</v>
      </c>
      <c r="N1587" t="s">
        <v>12290</v>
      </c>
      <c r="O1587" t="s">
        <v>1936</v>
      </c>
      <c r="P1587" t="s">
        <v>1960</v>
      </c>
      <c r="R1587" t="s">
        <v>50</v>
      </c>
      <c r="S1587" t="s">
        <v>1671</v>
      </c>
      <c r="U1587" t="s">
        <v>1972</v>
      </c>
      <c r="V1587" t="s">
        <v>1984</v>
      </c>
      <c r="W1587" t="s">
        <v>283</v>
      </c>
      <c r="X1587">
        <v>1250</v>
      </c>
      <c r="Y1587" t="s">
        <v>2009</v>
      </c>
      <c r="Z1587" t="s">
        <v>2020</v>
      </c>
      <c r="AB1587" t="s">
        <v>14168</v>
      </c>
      <c r="AC1587" t="s">
        <v>15185</v>
      </c>
      <c r="AD1587" t="s">
        <v>16590</v>
      </c>
      <c r="AE1587">
        <v>6</v>
      </c>
      <c r="AF1587" t="s">
        <v>2902</v>
      </c>
      <c r="AG1587" t="s">
        <v>2917</v>
      </c>
      <c r="AH1587">
        <v>4</v>
      </c>
      <c r="AI1587">
        <v>1</v>
      </c>
      <c r="AJ1587">
        <v>0</v>
      </c>
      <c r="AK1587">
        <v>72.06</v>
      </c>
      <c r="AN1587" t="s">
        <v>2926</v>
      </c>
      <c r="AO1587">
        <v>9000</v>
      </c>
      <c r="AU1587">
        <v>12.5</v>
      </c>
      <c r="AV1587" t="s">
        <v>293</v>
      </c>
      <c r="AW1587" t="s">
        <v>3060</v>
      </c>
    </row>
    <row r="1588" spans="1:50">
      <c r="A1588" s="1" t="s">
        <v>3144</v>
      </c>
      <c r="B1588" t="s">
        <v>163</v>
      </c>
      <c r="C1588" t="s">
        <v>4798</v>
      </c>
      <c r="D1588" t="s">
        <v>404</v>
      </c>
      <c r="F1588" t="s">
        <v>6966</v>
      </c>
      <c r="G1588" t="s">
        <v>877</v>
      </c>
      <c r="H1588" t="s">
        <v>10093</v>
      </c>
      <c r="I1588" t="s">
        <v>1570</v>
      </c>
      <c r="J1588" t="s">
        <v>1641</v>
      </c>
      <c r="K1588">
        <v>10460</v>
      </c>
      <c r="L1588" t="s">
        <v>1670</v>
      </c>
      <c r="M1588" t="s">
        <v>1672</v>
      </c>
      <c r="O1588" t="s">
        <v>1939</v>
      </c>
      <c r="P1588" t="s">
        <v>1960</v>
      </c>
      <c r="R1588" t="s">
        <v>50</v>
      </c>
      <c r="S1588" t="s">
        <v>1671</v>
      </c>
      <c r="U1588" t="s">
        <v>1972</v>
      </c>
      <c r="W1588" t="s">
        <v>1991</v>
      </c>
      <c r="X1588">
        <v>219</v>
      </c>
      <c r="Y1588" t="s">
        <v>2006</v>
      </c>
      <c r="Z1588" t="s">
        <v>2020</v>
      </c>
      <c r="AB1588" t="s">
        <v>14169</v>
      </c>
      <c r="AC1588" t="s">
        <v>15186</v>
      </c>
      <c r="AD1588" t="s">
        <v>16591</v>
      </c>
      <c r="AE1588">
        <v>52</v>
      </c>
      <c r="AF1588" t="s">
        <v>18015</v>
      </c>
      <c r="AG1588" t="s">
        <v>2017</v>
      </c>
      <c r="AH1588">
        <v>3</v>
      </c>
      <c r="AI1588">
        <v>1</v>
      </c>
      <c r="AJ1588">
        <v>0</v>
      </c>
      <c r="AK1588">
        <v>72.06</v>
      </c>
      <c r="AN1588" t="s">
        <v>2926</v>
      </c>
      <c r="AO1588">
        <v>9000</v>
      </c>
      <c r="AU1588">
        <v>1</v>
      </c>
      <c r="AV1588" t="s">
        <v>404</v>
      </c>
      <c r="AW1588" t="s">
        <v>18655</v>
      </c>
      <c r="AX1588" t="s">
        <v>18685</v>
      </c>
    </row>
    <row r="1589" spans="1:50">
      <c r="A1589" s="1" t="s">
        <v>74</v>
      </c>
      <c r="B1589" t="s">
        <v>163</v>
      </c>
      <c r="C1589" t="s">
        <v>4799</v>
      </c>
      <c r="D1589" t="s">
        <v>385</v>
      </c>
      <c r="F1589" t="s">
        <v>7396</v>
      </c>
      <c r="G1589" t="s">
        <v>1055</v>
      </c>
      <c r="H1589" t="s">
        <v>1131</v>
      </c>
      <c r="I1589" t="s">
        <v>1544</v>
      </c>
      <c r="J1589" t="s">
        <v>1641</v>
      </c>
      <c r="K1589">
        <v>10460</v>
      </c>
      <c r="L1589" t="s">
        <v>1670</v>
      </c>
      <c r="M1589" t="s">
        <v>1670</v>
      </c>
      <c r="N1589" t="s">
        <v>12291</v>
      </c>
      <c r="O1589" t="s">
        <v>1936</v>
      </c>
      <c r="P1589" t="s">
        <v>1960</v>
      </c>
      <c r="R1589" t="s">
        <v>50</v>
      </c>
      <c r="S1589" t="s">
        <v>1671</v>
      </c>
      <c r="U1589" t="s">
        <v>1972</v>
      </c>
      <c r="W1589" t="s">
        <v>193</v>
      </c>
      <c r="X1589">
        <v>1789</v>
      </c>
      <c r="Y1589" t="s">
        <v>2006</v>
      </c>
      <c r="Z1589" t="s">
        <v>2020</v>
      </c>
      <c r="AB1589" t="s">
        <v>14021</v>
      </c>
      <c r="AC1589" t="s">
        <v>15187</v>
      </c>
      <c r="AD1589" t="s">
        <v>16457</v>
      </c>
      <c r="AE1589">
        <v>168</v>
      </c>
      <c r="AF1589" t="s">
        <v>2902</v>
      </c>
      <c r="AG1589" t="s">
        <v>2915</v>
      </c>
      <c r="AH1589">
        <v>13</v>
      </c>
      <c r="AI1589">
        <v>1</v>
      </c>
      <c r="AJ1589">
        <v>0</v>
      </c>
      <c r="AK1589">
        <v>72.06</v>
      </c>
      <c r="AN1589" t="s">
        <v>2926</v>
      </c>
      <c r="AO1589">
        <v>9000</v>
      </c>
      <c r="AU1589">
        <v>5.1</v>
      </c>
      <c r="AV1589" t="s">
        <v>222</v>
      </c>
      <c r="AW1589" t="s">
        <v>3047</v>
      </c>
      <c r="AX1589" t="s">
        <v>18686</v>
      </c>
    </row>
    <row r="1590" spans="1:50">
      <c r="A1590" s="1" t="s">
        <v>3166</v>
      </c>
      <c r="B1590" t="s">
        <v>163</v>
      </c>
      <c r="C1590" t="s">
        <v>4800</v>
      </c>
      <c r="D1590" t="s">
        <v>266</v>
      </c>
      <c r="F1590" t="s">
        <v>510</v>
      </c>
      <c r="G1590" t="s">
        <v>8624</v>
      </c>
      <c r="H1590" t="s">
        <v>10094</v>
      </c>
      <c r="I1590" t="s">
        <v>1486</v>
      </c>
      <c r="J1590" t="s">
        <v>1641</v>
      </c>
      <c r="K1590">
        <v>10457</v>
      </c>
      <c r="L1590" t="s">
        <v>1670</v>
      </c>
      <c r="M1590" t="s">
        <v>1670</v>
      </c>
      <c r="N1590" t="s">
        <v>1754</v>
      </c>
      <c r="O1590" t="s">
        <v>1945</v>
      </c>
      <c r="P1590" t="s">
        <v>1959</v>
      </c>
      <c r="R1590" t="s">
        <v>50</v>
      </c>
      <c r="S1590" t="s">
        <v>1671</v>
      </c>
      <c r="U1590" t="s">
        <v>1980</v>
      </c>
      <c r="W1590" t="s">
        <v>283</v>
      </c>
      <c r="X1590">
        <v>1518.75</v>
      </c>
      <c r="Y1590" t="s">
        <v>2006</v>
      </c>
      <c r="Z1590" t="s">
        <v>2014</v>
      </c>
      <c r="AB1590" t="s">
        <v>14170</v>
      </c>
      <c r="AC1590" t="s">
        <v>15188</v>
      </c>
      <c r="AD1590" t="s">
        <v>16592</v>
      </c>
      <c r="AE1590">
        <v>38</v>
      </c>
      <c r="AF1590" t="s">
        <v>2902</v>
      </c>
      <c r="AG1590" t="s">
        <v>1754</v>
      </c>
      <c r="AH1590">
        <v>2</v>
      </c>
      <c r="AI1590">
        <v>2</v>
      </c>
      <c r="AJ1590">
        <v>0</v>
      </c>
      <c r="AK1590">
        <v>72.09999999999999</v>
      </c>
      <c r="AN1590" t="s">
        <v>2926</v>
      </c>
      <c r="AO1590">
        <v>12192</v>
      </c>
      <c r="AU1590">
        <v>5.75</v>
      </c>
      <c r="AV1590" t="s">
        <v>397</v>
      </c>
      <c r="AW1590" t="s">
        <v>18670</v>
      </c>
    </row>
    <row r="1591" spans="1:50">
      <c r="A1591" s="1" t="s">
        <v>73</v>
      </c>
      <c r="B1591" t="s">
        <v>163</v>
      </c>
      <c r="C1591" t="s">
        <v>4801</v>
      </c>
      <c r="D1591" t="s">
        <v>326</v>
      </c>
      <c r="F1591" t="s">
        <v>6935</v>
      </c>
      <c r="G1591" t="s">
        <v>909</v>
      </c>
      <c r="H1591" t="s">
        <v>10095</v>
      </c>
      <c r="I1591" t="s">
        <v>1551</v>
      </c>
      <c r="J1591" t="s">
        <v>1645</v>
      </c>
      <c r="K1591">
        <v>11691</v>
      </c>
      <c r="L1591" t="s">
        <v>1670</v>
      </c>
      <c r="M1591" t="s">
        <v>1670</v>
      </c>
      <c r="O1591" t="s">
        <v>1675</v>
      </c>
      <c r="P1591" t="s">
        <v>1962</v>
      </c>
      <c r="R1591" t="s">
        <v>50</v>
      </c>
      <c r="S1591" t="s">
        <v>1671</v>
      </c>
      <c r="U1591" t="s">
        <v>1972</v>
      </c>
      <c r="W1591" t="s">
        <v>255</v>
      </c>
      <c r="X1591">
        <v>1068</v>
      </c>
      <c r="Y1591" t="s">
        <v>2007</v>
      </c>
      <c r="AB1591" t="s">
        <v>14171</v>
      </c>
      <c r="AC1591" t="s">
        <v>15189</v>
      </c>
      <c r="AD1591" t="s">
        <v>16593</v>
      </c>
      <c r="AE1591">
        <v>917</v>
      </c>
      <c r="AF1591" t="s">
        <v>2902</v>
      </c>
      <c r="AG1591" t="s">
        <v>2017</v>
      </c>
      <c r="AH1591">
        <v>5</v>
      </c>
      <c r="AI1591">
        <v>1</v>
      </c>
      <c r="AJ1591">
        <v>0</v>
      </c>
      <c r="AK1591">
        <v>72.15000000000001</v>
      </c>
      <c r="AN1591" t="s">
        <v>2926</v>
      </c>
      <c r="AO1591">
        <v>9012</v>
      </c>
      <c r="AU1591">
        <v>0.75</v>
      </c>
      <c r="AV1591" t="s">
        <v>219</v>
      </c>
      <c r="AW1591" t="s">
        <v>73</v>
      </c>
    </row>
    <row r="1592" spans="1:50">
      <c r="A1592" s="1" t="s">
        <v>118</v>
      </c>
      <c r="B1592" t="s">
        <v>163</v>
      </c>
      <c r="C1592" t="s">
        <v>4802</v>
      </c>
      <c r="D1592" t="s">
        <v>188</v>
      </c>
      <c r="F1592" t="s">
        <v>7170</v>
      </c>
      <c r="G1592" t="s">
        <v>8625</v>
      </c>
      <c r="H1592" t="s">
        <v>9397</v>
      </c>
      <c r="I1592" t="s">
        <v>10967</v>
      </c>
      <c r="J1592" t="s">
        <v>1641</v>
      </c>
      <c r="K1592">
        <v>10452</v>
      </c>
      <c r="L1592" t="s">
        <v>1670</v>
      </c>
      <c r="M1592" t="s">
        <v>1672</v>
      </c>
      <c r="O1592" t="s">
        <v>1938</v>
      </c>
      <c r="P1592" t="s">
        <v>1961</v>
      </c>
      <c r="R1592" t="s">
        <v>50</v>
      </c>
      <c r="S1592" t="s">
        <v>1670</v>
      </c>
      <c r="U1592" t="s">
        <v>1972</v>
      </c>
      <c r="W1592" t="s">
        <v>1991</v>
      </c>
      <c r="X1592">
        <v>1047</v>
      </c>
      <c r="Y1592" t="s">
        <v>2006</v>
      </c>
      <c r="Z1592" t="s">
        <v>2015</v>
      </c>
      <c r="AB1592" t="s">
        <v>14172</v>
      </c>
      <c r="AD1592" t="s">
        <v>16594</v>
      </c>
      <c r="AE1592">
        <v>52</v>
      </c>
      <c r="AF1592" t="s">
        <v>2902</v>
      </c>
      <c r="AH1592">
        <v>19</v>
      </c>
      <c r="AI1592">
        <v>1</v>
      </c>
      <c r="AJ1592">
        <v>0</v>
      </c>
      <c r="AK1592">
        <v>72.34999999999999</v>
      </c>
      <c r="AN1592" t="s">
        <v>2926</v>
      </c>
      <c r="AO1592">
        <v>9036</v>
      </c>
      <c r="AU1592">
        <v>19.2</v>
      </c>
      <c r="AV1592" t="s">
        <v>3030</v>
      </c>
      <c r="AW1592" t="s">
        <v>118</v>
      </c>
      <c r="AX1592" t="s">
        <v>18685</v>
      </c>
    </row>
    <row r="1593" spans="1:50">
      <c r="A1593" s="1" t="s">
        <v>3192</v>
      </c>
      <c r="B1593" t="s">
        <v>164</v>
      </c>
      <c r="C1593" t="s">
        <v>4803</v>
      </c>
      <c r="D1593" t="s">
        <v>230</v>
      </c>
      <c r="E1593" t="s">
        <v>397</v>
      </c>
      <c r="F1593" t="s">
        <v>7471</v>
      </c>
      <c r="G1593" t="s">
        <v>8626</v>
      </c>
      <c r="H1593" t="s">
        <v>10096</v>
      </c>
      <c r="J1593" t="s">
        <v>1650</v>
      </c>
      <c r="K1593">
        <v>11418</v>
      </c>
      <c r="L1593" t="s">
        <v>1670</v>
      </c>
      <c r="M1593" t="s">
        <v>1672</v>
      </c>
      <c r="N1593" t="s">
        <v>12292</v>
      </c>
      <c r="O1593" t="s">
        <v>1936</v>
      </c>
      <c r="P1593" t="s">
        <v>1960</v>
      </c>
      <c r="Q1593" t="s">
        <v>1969</v>
      </c>
      <c r="R1593" t="s">
        <v>50</v>
      </c>
      <c r="S1593" t="s">
        <v>1670</v>
      </c>
      <c r="U1593" t="s">
        <v>1972</v>
      </c>
      <c r="V1593" t="s">
        <v>1984</v>
      </c>
      <c r="W1593" t="s">
        <v>230</v>
      </c>
      <c r="X1593">
        <v>1213</v>
      </c>
      <c r="Y1593" t="s">
        <v>2007</v>
      </c>
      <c r="Z1593" t="s">
        <v>2014</v>
      </c>
      <c r="AA1593" t="s">
        <v>2032</v>
      </c>
      <c r="AB1593" t="s">
        <v>2318</v>
      </c>
      <c r="AC1593" t="s">
        <v>15190</v>
      </c>
      <c r="AD1593" t="s">
        <v>16595</v>
      </c>
      <c r="AE1593">
        <v>60</v>
      </c>
      <c r="AF1593" t="s">
        <v>2902</v>
      </c>
      <c r="AG1593" t="s">
        <v>2920</v>
      </c>
      <c r="AH1593">
        <v>3</v>
      </c>
      <c r="AI1593">
        <v>1</v>
      </c>
      <c r="AJ1593">
        <v>0</v>
      </c>
      <c r="AK1593">
        <v>72.44</v>
      </c>
      <c r="AN1593" t="s">
        <v>2926</v>
      </c>
      <c r="AO1593">
        <v>9048</v>
      </c>
      <c r="AQ1593" t="s">
        <v>2979</v>
      </c>
      <c r="AR1593" t="s">
        <v>2988</v>
      </c>
      <c r="AS1593" t="s">
        <v>2992</v>
      </c>
      <c r="AT1593" t="s">
        <v>18557</v>
      </c>
      <c r="AU1593">
        <v>6.5</v>
      </c>
      <c r="AV1593" t="s">
        <v>397</v>
      </c>
      <c r="AW1593" t="s">
        <v>3073</v>
      </c>
      <c r="AX1593" t="s">
        <v>18685</v>
      </c>
    </row>
    <row r="1594" spans="1:50">
      <c r="A1594" s="1" t="s">
        <v>3142</v>
      </c>
      <c r="B1594" t="s">
        <v>164</v>
      </c>
      <c r="C1594" t="s">
        <v>4804</v>
      </c>
      <c r="D1594" t="s">
        <v>225</v>
      </c>
      <c r="E1594" t="s">
        <v>225</v>
      </c>
      <c r="F1594" t="s">
        <v>438</v>
      </c>
      <c r="G1594" t="s">
        <v>8627</v>
      </c>
      <c r="H1594" t="s">
        <v>10097</v>
      </c>
      <c r="I1594" t="s">
        <v>11249</v>
      </c>
      <c r="J1594" t="s">
        <v>1641</v>
      </c>
      <c r="K1594">
        <v>10453</v>
      </c>
      <c r="L1594" t="s">
        <v>1670</v>
      </c>
      <c r="M1594" t="s">
        <v>1670</v>
      </c>
      <c r="O1594" t="s">
        <v>1675</v>
      </c>
      <c r="P1594" t="s">
        <v>1958</v>
      </c>
      <c r="Q1594" t="s">
        <v>1965</v>
      </c>
      <c r="R1594" t="s">
        <v>50</v>
      </c>
      <c r="S1594" t="s">
        <v>1671</v>
      </c>
      <c r="U1594" t="s">
        <v>1972</v>
      </c>
      <c r="W1594" t="s">
        <v>225</v>
      </c>
      <c r="X1594">
        <v>875.8</v>
      </c>
      <c r="Y1594" t="s">
        <v>2006</v>
      </c>
      <c r="Z1594" t="s">
        <v>2015</v>
      </c>
      <c r="AA1594" t="s">
        <v>2029</v>
      </c>
      <c r="AB1594" t="s">
        <v>14173</v>
      </c>
      <c r="AD1594" t="s">
        <v>16596</v>
      </c>
      <c r="AE1594">
        <v>38</v>
      </c>
      <c r="AF1594" t="s">
        <v>2902</v>
      </c>
      <c r="AG1594" t="s">
        <v>1754</v>
      </c>
      <c r="AH1594">
        <v>39</v>
      </c>
      <c r="AI1594">
        <v>1</v>
      </c>
      <c r="AJ1594">
        <v>0</v>
      </c>
      <c r="AK1594">
        <v>72.45</v>
      </c>
      <c r="AN1594" t="s">
        <v>2927</v>
      </c>
      <c r="AO1594">
        <v>8796</v>
      </c>
      <c r="AU1594">
        <v>0.4</v>
      </c>
      <c r="AV1594" t="s">
        <v>173</v>
      </c>
      <c r="AW1594" t="s">
        <v>3046</v>
      </c>
    </row>
    <row r="1595" spans="1:50">
      <c r="A1595" s="1" t="s">
        <v>104</v>
      </c>
      <c r="B1595" t="s">
        <v>164</v>
      </c>
      <c r="C1595" t="s">
        <v>4805</v>
      </c>
      <c r="D1595" t="s">
        <v>247</v>
      </c>
      <c r="E1595" t="s">
        <v>401</v>
      </c>
      <c r="F1595" t="s">
        <v>7472</v>
      </c>
      <c r="G1595" t="s">
        <v>8628</v>
      </c>
      <c r="H1595" t="s">
        <v>10098</v>
      </c>
      <c r="I1595">
        <v>1</v>
      </c>
      <c r="J1595" t="s">
        <v>1646</v>
      </c>
      <c r="K1595">
        <v>10301</v>
      </c>
      <c r="L1595" t="s">
        <v>1670</v>
      </c>
      <c r="M1595" t="s">
        <v>1671</v>
      </c>
      <c r="N1595" t="s">
        <v>1693</v>
      </c>
      <c r="O1595" t="s">
        <v>1942</v>
      </c>
      <c r="P1595" t="s">
        <v>1961</v>
      </c>
      <c r="Q1595" t="s">
        <v>1966</v>
      </c>
      <c r="R1595" t="s">
        <v>50</v>
      </c>
      <c r="S1595" t="s">
        <v>1671</v>
      </c>
      <c r="U1595" t="s">
        <v>1973</v>
      </c>
      <c r="V1595" t="s">
        <v>1984</v>
      </c>
      <c r="W1595" t="s">
        <v>247</v>
      </c>
      <c r="X1595">
        <v>1243.56</v>
      </c>
      <c r="Y1595" t="s">
        <v>2010</v>
      </c>
      <c r="Z1595" t="s">
        <v>2020</v>
      </c>
      <c r="AA1595" t="s">
        <v>2030</v>
      </c>
      <c r="AB1595" t="s">
        <v>14174</v>
      </c>
      <c r="AD1595" t="s">
        <v>16597</v>
      </c>
      <c r="AE1595">
        <v>2</v>
      </c>
      <c r="AF1595" t="s">
        <v>2903</v>
      </c>
      <c r="AG1595" t="s">
        <v>2915</v>
      </c>
      <c r="AH1595">
        <v>6</v>
      </c>
      <c r="AI1595">
        <v>1</v>
      </c>
      <c r="AJ1595">
        <v>0</v>
      </c>
      <c r="AK1595">
        <v>72.45</v>
      </c>
      <c r="AN1595" t="s">
        <v>2926</v>
      </c>
      <c r="AO1595">
        <v>8796</v>
      </c>
      <c r="AR1595" t="s">
        <v>2017</v>
      </c>
      <c r="AU1595">
        <v>3.15</v>
      </c>
      <c r="AV1595" t="s">
        <v>401</v>
      </c>
      <c r="AW1595" t="s">
        <v>104</v>
      </c>
    </row>
    <row r="1596" spans="1:50">
      <c r="A1596" s="1" t="s">
        <v>119</v>
      </c>
      <c r="B1596" t="s">
        <v>164</v>
      </c>
      <c r="C1596" t="s">
        <v>4806</v>
      </c>
      <c r="D1596" t="s">
        <v>351</v>
      </c>
      <c r="E1596" t="s">
        <v>177</v>
      </c>
      <c r="F1596" t="s">
        <v>687</v>
      </c>
      <c r="G1596" t="s">
        <v>8599</v>
      </c>
      <c r="H1596" t="s">
        <v>10099</v>
      </c>
      <c r="I1596" t="s">
        <v>1501</v>
      </c>
      <c r="J1596" t="s">
        <v>1644</v>
      </c>
      <c r="K1596">
        <v>11208</v>
      </c>
      <c r="L1596" t="s">
        <v>1670</v>
      </c>
      <c r="M1596" t="s">
        <v>1670</v>
      </c>
      <c r="N1596" t="s">
        <v>12293</v>
      </c>
      <c r="O1596" t="s">
        <v>1940</v>
      </c>
      <c r="P1596" t="s">
        <v>1960</v>
      </c>
      <c r="Q1596" t="s">
        <v>1967</v>
      </c>
      <c r="R1596" t="s">
        <v>50</v>
      </c>
      <c r="S1596" t="s">
        <v>1671</v>
      </c>
      <c r="U1596" t="s">
        <v>1972</v>
      </c>
      <c r="W1596" t="s">
        <v>312</v>
      </c>
      <c r="X1596">
        <v>1556</v>
      </c>
      <c r="Y1596" t="s">
        <v>2009</v>
      </c>
      <c r="Z1596" t="s">
        <v>2014</v>
      </c>
      <c r="AA1596" t="s">
        <v>2033</v>
      </c>
      <c r="AB1596" t="s">
        <v>14175</v>
      </c>
      <c r="AC1596" t="s">
        <v>2904</v>
      </c>
      <c r="AD1596" t="s">
        <v>16598</v>
      </c>
      <c r="AE1596">
        <v>3</v>
      </c>
      <c r="AF1596" t="s">
        <v>2903</v>
      </c>
      <c r="AG1596" t="s">
        <v>2915</v>
      </c>
      <c r="AH1596">
        <v>4</v>
      </c>
      <c r="AI1596">
        <v>1</v>
      </c>
      <c r="AJ1596">
        <v>0</v>
      </c>
      <c r="AK1596">
        <v>72.45</v>
      </c>
      <c r="AN1596" t="s">
        <v>2926</v>
      </c>
      <c r="AO1596">
        <v>8796</v>
      </c>
      <c r="AU1596">
        <v>22.3</v>
      </c>
      <c r="AV1596" t="s">
        <v>301</v>
      </c>
      <c r="AW1596" t="s">
        <v>3060</v>
      </c>
      <c r="AX1596" t="s">
        <v>18685</v>
      </c>
    </row>
    <row r="1597" spans="1:50">
      <c r="A1597" s="1" t="s">
        <v>104</v>
      </c>
      <c r="B1597" t="s">
        <v>164</v>
      </c>
      <c r="C1597" t="s">
        <v>4807</v>
      </c>
      <c r="D1597" t="s">
        <v>340</v>
      </c>
      <c r="E1597" t="s">
        <v>401</v>
      </c>
      <c r="F1597" t="s">
        <v>7472</v>
      </c>
      <c r="G1597" t="s">
        <v>8628</v>
      </c>
      <c r="H1597" t="s">
        <v>10098</v>
      </c>
      <c r="I1597">
        <v>1</v>
      </c>
      <c r="J1597" t="s">
        <v>1646</v>
      </c>
      <c r="K1597">
        <v>10301</v>
      </c>
      <c r="L1597" t="s">
        <v>1670</v>
      </c>
      <c r="M1597" t="s">
        <v>1671</v>
      </c>
      <c r="N1597" t="s">
        <v>12294</v>
      </c>
      <c r="O1597" t="s">
        <v>1940</v>
      </c>
      <c r="P1597" t="s">
        <v>1960</v>
      </c>
      <c r="Q1597" t="s">
        <v>1969</v>
      </c>
      <c r="R1597" t="s">
        <v>50</v>
      </c>
      <c r="S1597" t="s">
        <v>1671</v>
      </c>
      <c r="U1597" t="s">
        <v>1972</v>
      </c>
      <c r="V1597" t="s">
        <v>1984</v>
      </c>
      <c r="W1597" t="s">
        <v>340</v>
      </c>
      <c r="X1597">
        <v>1243.56</v>
      </c>
      <c r="Y1597" t="s">
        <v>2010</v>
      </c>
      <c r="Z1597" t="s">
        <v>2020</v>
      </c>
      <c r="AA1597" t="s">
        <v>2033</v>
      </c>
      <c r="AB1597" t="s">
        <v>14174</v>
      </c>
      <c r="AD1597" t="s">
        <v>16597</v>
      </c>
      <c r="AE1597">
        <v>2</v>
      </c>
      <c r="AF1597" t="s">
        <v>2903</v>
      </c>
      <c r="AG1597" t="s">
        <v>2915</v>
      </c>
      <c r="AH1597">
        <v>6</v>
      </c>
      <c r="AI1597">
        <v>1</v>
      </c>
      <c r="AJ1597">
        <v>0</v>
      </c>
      <c r="AK1597">
        <v>72.45</v>
      </c>
      <c r="AN1597" t="s">
        <v>2926</v>
      </c>
      <c r="AO1597">
        <v>8796</v>
      </c>
      <c r="AQ1597" t="s">
        <v>18424</v>
      </c>
      <c r="AR1597" t="s">
        <v>18471</v>
      </c>
      <c r="AS1597" t="s">
        <v>2993</v>
      </c>
      <c r="AT1597" t="s">
        <v>18558</v>
      </c>
      <c r="AU1597">
        <v>12.7</v>
      </c>
      <c r="AV1597" t="s">
        <v>401</v>
      </c>
      <c r="AW1597" t="s">
        <v>18666</v>
      </c>
    </row>
    <row r="1598" spans="1:50">
      <c r="A1598" s="1" t="s">
        <v>104</v>
      </c>
      <c r="B1598" t="s">
        <v>164</v>
      </c>
      <c r="C1598" t="s">
        <v>4808</v>
      </c>
      <c r="D1598" t="s">
        <v>194</v>
      </c>
      <c r="E1598" t="s">
        <v>384</v>
      </c>
      <c r="F1598" t="s">
        <v>7472</v>
      </c>
      <c r="G1598" t="s">
        <v>8628</v>
      </c>
      <c r="H1598" t="s">
        <v>10098</v>
      </c>
      <c r="I1598">
        <v>1</v>
      </c>
      <c r="J1598" t="s">
        <v>1646</v>
      </c>
      <c r="K1598">
        <v>10301</v>
      </c>
      <c r="L1598" t="s">
        <v>1670</v>
      </c>
      <c r="M1598" t="s">
        <v>1671</v>
      </c>
      <c r="N1598" t="s">
        <v>12295</v>
      </c>
      <c r="O1598" t="s">
        <v>1939</v>
      </c>
      <c r="P1598" t="s">
        <v>1960</v>
      </c>
      <c r="Q1598" t="s">
        <v>1969</v>
      </c>
      <c r="R1598" t="s">
        <v>50</v>
      </c>
      <c r="S1598" t="s">
        <v>1671</v>
      </c>
      <c r="U1598" t="s">
        <v>1972</v>
      </c>
      <c r="V1598" t="s">
        <v>1984</v>
      </c>
      <c r="W1598" t="s">
        <v>194</v>
      </c>
      <c r="X1598">
        <v>1243.56</v>
      </c>
      <c r="Y1598" t="s">
        <v>2010</v>
      </c>
      <c r="Z1598" t="s">
        <v>2013</v>
      </c>
      <c r="AA1598" t="s">
        <v>2031</v>
      </c>
      <c r="AB1598" t="s">
        <v>14174</v>
      </c>
      <c r="AD1598" t="s">
        <v>16597</v>
      </c>
      <c r="AE1598">
        <v>2</v>
      </c>
      <c r="AF1598" t="s">
        <v>2903</v>
      </c>
      <c r="AG1598" t="s">
        <v>2915</v>
      </c>
      <c r="AH1598">
        <v>6</v>
      </c>
      <c r="AI1598">
        <v>1</v>
      </c>
      <c r="AJ1598">
        <v>0</v>
      </c>
      <c r="AK1598">
        <v>72.45</v>
      </c>
      <c r="AN1598" t="s">
        <v>2926</v>
      </c>
      <c r="AO1598">
        <v>8796</v>
      </c>
      <c r="AR1598" t="s">
        <v>18453</v>
      </c>
      <c r="AU1598">
        <v>15.2</v>
      </c>
      <c r="AV1598" t="s">
        <v>266</v>
      </c>
      <c r="AW1598" t="s">
        <v>3062</v>
      </c>
    </row>
    <row r="1599" spans="1:50">
      <c r="A1599" s="1" t="s">
        <v>65</v>
      </c>
      <c r="B1599" t="s">
        <v>163</v>
      </c>
      <c r="C1599" t="s">
        <v>4809</v>
      </c>
      <c r="D1599" t="s">
        <v>256</v>
      </c>
      <c r="F1599" t="s">
        <v>7473</v>
      </c>
      <c r="G1599" t="s">
        <v>8629</v>
      </c>
      <c r="H1599" t="s">
        <v>9391</v>
      </c>
      <c r="I1599" t="s">
        <v>1486</v>
      </c>
      <c r="J1599" t="s">
        <v>1644</v>
      </c>
      <c r="K1599">
        <v>11225</v>
      </c>
      <c r="L1599" t="s">
        <v>1670</v>
      </c>
      <c r="M1599" t="s">
        <v>1670</v>
      </c>
      <c r="O1599" t="s">
        <v>1952</v>
      </c>
      <c r="P1599" t="s">
        <v>1960</v>
      </c>
      <c r="R1599" t="s">
        <v>50</v>
      </c>
      <c r="S1599" t="s">
        <v>1670</v>
      </c>
      <c r="U1599" t="s">
        <v>1972</v>
      </c>
      <c r="W1599" t="s">
        <v>2001</v>
      </c>
      <c r="X1599">
        <v>1726.17</v>
      </c>
      <c r="Y1599" t="s">
        <v>2009</v>
      </c>
      <c r="AB1599" t="s">
        <v>14176</v>
      </c>
      <c r="AE1599" t="s">
        <v>13051</v>
      </c>
      <c r="AH1599">
        <v>14</v>
      </c>
      <c r="AI1599">
        <v>2</v>
      </c>
      <c r="AJ1599">
        <v>0</v>
      </c>
      <c r="AK1599">
        <v>72.45</v>
      </c>
      <c r="AN1599" t="s">
        <v>2926</v>
      </c>
      <c r="AO1599">
        <v>12252</v>
      </c>
      <c r="AU1599">
        <v>1.8</v>
      </c>
      <c r="AV1599" t="s">
        <v>274</v>
      </c>
      <c r="AW1599" t="s">
        <v>158</v>
      </c>
      <c r="AX1599" t="s">
        <v>18685</v>
      </c>
    </row>
    <row r="1600" spans="1:50">
      <c r="A1600" s="1" t="s">
        <v>65</v>
      </c>
      <c r="B1600" t="s">
        <v>163</v>
      </c>
      <c r="C1600" t="s">
        <v>4810</v>
      </c>
      <c r="D1600" t="s">
        <v>256</v>
      </c>
      <c r="F1600" t="s">
        <v>7473</v>
      </c>
      <c r="G1600" t="s">
        <v>8629</v>
      </c>
      <c r="H1600" t="s">
        <v>9391</v>
      </c>
      <c r="I1600" t="s">
        <v>1486</v>
      </c>
      <c r="J1600" t="s">
        <v>1644</v>
      </c>
      <c r="K1600">
        <v>11225</v>
      </c>
      <c r="L1600" t="s">
        <v>1670</v>
      </c>
      <c r="M1600" t="s">
        <v>1670</v>
      </c>
      <c r="O1600" t="s">
        <v>1952</v>
      </c>
      <c r="P1600" t="s">
        <v>1960</v>
      </c>
      <c r="R1600" t="s">
        <v>50</v>
      </c>
      <c r="S1600" t="s">
        <v>1670</v>
      </c>
      <c r="U1600" t="s">
        <v>1972</v>
      </c>
      <c r="W1600" t="s">
        <v>2001</v>
      </c>
      <c r="X1600">
        <v>1726.17</v>
      </c>
      <c r="Y1600" t="s">
        <v>2009</v>
      </c>
      <c r="AB1600" t="s">
        <v>14176</v>
      </c>
      <c r="AE1600" t="s">
        <v>13051</v>
      </c>
      <c r="AH1600">
        <v>14</v>
      </c>
      <c r="AI1600">
        <v>2</v>
      </c>
      <c r="AJ1600">
        <v>0</v>
      </c>
      <c r="AK1600">
        <v>72.45</v>
      </c>
      <c r="AN1600" t="s">
        <v>2926</v>
      </c>
      <c r="AO1600">
        <v>12252</v>
      </c>
      <c r="AU1600" t="s">
        <v>13051</v>
      </c>
      <c r="AW1600" t="s">
        <v>158</v>
      </c>
    </row>
    <row r="1601" spans="1:50">
      <c r="A1601" s="1" t="s">
        <v>126</v>
      </c>
      <c r="B1601" t="s">
        <v>163</v>
      </c>
      <c r="C1601" t="s">
        <v>4811</v>
      </c>
      <c r="D1601" t="s">
        <v>298</v>
      </c>
      <c r="F1601" t="s">
        <v>7474</v>
      </c>
      <c r="G1601" t="s">
        <v>7946</v>
      </c>
      <c r="H1601" t="s">
        <v>9627</v>
      </c>
      <c r="I1601" t="s">
        <v>11250</v>
      </c>
      <c r="J1601" t="s">
        <v>1641</v>
      </c>
      <c r="K1601">
        <v>10451</v>
      </c>
      <c r="L1601" t="s">
        <v>1670</v>
      </c>
      <c r="M1601" t="s">
        <v>1670</v>
      </c>
      <c r="N1601" t="s">
        <v>11981</v>
      </c>
      <c r="O1601" t="s">
        <v>1939</v>
      </c>
      <c r="P1601" t="s">
        <v>1960</v>
      </c>
      <c r="R1601" t="s">
        <v>50</v>
      </c>
      <c r="S1601" t="s">
        <v>1670</v>
      </c>
      <c r="U1601" t="s">
        <v>1972</v>
      </c>
      <c r="W1601" t="s">
        <v>359</v>
      </c>
      <c r="X1601">
        <v>279</v>
      </c>
      <c r="Y1601" t="s">
        <v>2006</v>
      </c>
      <c r="Z1601" t="s">
        <v>2015</v>
      </c>
      <c r="AB1601" t="s">
        <v>14177</v>
      </c>
      <c r="AD1601" t="s">
        <v>16599</v>
      </c>
      <c r="AE1601">
        <v>100</v>
      </c>
      <c r="AF1601" t="s">
        <v>2902</v>
      </c>
      <c r="AG1601" t="s">
        <v>2915</v>
      </c>
      <c r="AH1601">
        <v>32</v>
      </c>
      <c r="AI1601">
        <v>1</v>
      </c>
      <c r="AJ1601">
        <v>0</v>
      </c>
      <c r="AK1601">
        <v>72.51000000000001</v>
      </c>
      <c r="AN1601" t="s">
        <v>2927</v>
      </c>
      <c r="AO1601">
        <v>8802.24</v>
      </c>
      <c r="AU1601" t="s">
        <v>13051</v>
      </c>
      <c r="AW1601" t="s">
        <v>3047</v>
      </c>
    </row>
    <row r="1602" spans="1:50">
      <c r="A1602" s="1" t="s">
        <v>104</v>
      </c>
      <c r="B1602" t="s">
        <v>164</v>
      </c>
      <c r="C1602" t="s">
        <v>4812</v>
      </c>
      <c r="D1602" t="s">
        <v>385</v>
      </c>
      <c r="E1602" t="s">
        <v>385</v>
      </c>
      <c r="F1602" t="s">
        <v>651</v>
      </c>
      <c r="G1602" t="s">
        <v>8630</v>
      </c>
      <c r="H1602" t="s">
        <v>10100</v>
      </c>
      <c r="I1602" t="s">
        <v>11251</v>
      </c>
      <c r="J1602" t="s">
        <v>1646</v>
      </c>
      <c r="K1602">
        <v>10314</v>
      </c>
      <c r="L1602" t="s">
        <v>1670</v>
      </c>
      <c r="M1602" t="s">
        <v>1670</v>
      </c>
      <c r="N1602" t="s">
        <v>12296</v>
      </c>
      <c r="O1602" t="s">
        <v>1936</v>
      </c>
      <c r="P1602" t="s">
        <v>1958</v>
      </c>
      <c r="Q1602" t="s">
        <v>1965</v>
      </c>
      <c r="R1602" t="s">
        <v>51</v>
      </c>
      <c r="S1602" t="s">
        <v>1671</v>
      </c>
      <c r="U1602" t="s">
        <v>1972</v>
      </c>
      <c r="V1602" t="s">
        <v>1983</v>
      </c>
      <c r="W1602" t="s">
        <v>220</v>
      </c>
      <c r="X1602">
        <v>971.5</v>
      </c>
      <c r="Y1602" t="s">
        <v>2010</v>
      </c>
      <c r="Z1602" t="s">
        <v>2012</v>
      </c>
      <c r="AA1602" t="s">
        <v>2029</v>
      </c>
      <c r="AB1602" t="s">
        <v>14178</v>
      </c>
      <c r="AE1602" t="s">
        <v>13051</v>
      </c>
      <c r="AF1602" t="s">
        <v>2902</v>
      </c>
      <c r="AG1602" t="s">
        <v>1754</v>
      </c>
      <c r="AH1602">
        <v>5</v>
      </c>
      <c r="AI1602">
        <v>1</v>
      </c>
      <c r="AJ1602">
        <v>0</v>
      </c>
      <c r="AK1602">
        <v>72.54000000000001</v>
      </c>
      <c r="AL1602" t="s">
        <v>2923</v>
      </c>
      <c r="AM1602" t="s">
        <v>2924</v>
      </c>
      <c r="AN1602" t="s">
        <v>2926</v>
      </c>
      <c r="AO1602">
        <v>9060</v>
      </c>
      <c r="AU1602">
        <v>3</v>
      </c>
      <c r="AV1602" t="s">
        <v>385</v>
      </c>
      <c r="AW1602" t="s">
        <v>104</v>
      </c>
    </row>
    <row r="1603" spans="1:50">
      <c r="A1603" s="1" t="s">
        <v>3147</v>
      </c>
      <c r="B1603" t="s">
        <v>164</v>
      </c>
      <c r="C1603" t="s">
        <v>4813</v>
      </c>
      <c r="D1603" t="s">
        <v>173</v>
      </c>
      <c r="E1603" t="s">
        <v>330</v>
      </c>
      <c r="F1603" t="s">
        <v>7475</v>
      </c>
      <c r="G1603" t="s">
        <v>855</v>
      </c>
      <c r="H1603" t="s">
        <v>1332</v>
      </c>
      <c r="I1603">
        <v>1005</v>
      </c>
      <c r="J1603" t="s">
        <v>1649</v>
      </c>
      <c r="K1603">
        <v>11692</v>
      </c>
      <c r="L1603" t="s">
        <v>1670</v>
      </c>
      <c r="M1603" t="s">
        <v>1670</v>
      </c>
      <c r="N1603" t="s">
        <v>12297</v>
      </c>
      <c r="O1603" t="s">
        <v>1936</v>
      </c>
      <c r="P1603" t="s">
        <v>1958</v>
      </c>
      <c r="Q1603" t="s">
        <v>1965</v>
      </c>
      <c r="R1603" t="s">
        <v>50</v>
      </c>
      <c r="S1603" t="s">
        <v>1671</v>
      </c>
      <c r="U1603" t="s">
        <v>1972</v>
      </c>
      <c r="V1603" t="s">
        <v>1985</v>
      </c>
      <c r="W1603" t="s">
        <v>173</v>
      </c>
      <c r="X1603">
        <v>1400</v>
      </c>
      <c r="Y1603" t="s">
        <v>2007</v>
      </c>
      <c r="Z1603" t="s">
        <v>2014</v>
      </c>
      <c r="AA1603" t="s">
        <v>2029</v>
      </c>
      <c r="AB1603" t="s">
        <v>13217</v>
      </c>
      <c r="AC1603" t="s">
        <v>15191</v>
      </c>
      <c r="AD1603" t="s">
        <v>16600</v>
      </c>
      <c r="AE1603">
        <v>216</v>
      </c>
      <c r="AF1603" t="s">
        <v>2906</v>
      </c>
      <c r="AG1603" t="s">
        <v>1754</v>
      </c>
      <c r="AH1603">
        <v>4</v>
      </c>
      <c r="AI1603">
        <v>1</v>
      </c>
      <c r="AJ1603">
        <v>0</v>
      </c>
      <c r="AK1603">
        <v>72.55</v>
      </c>
      <c r="AN1603" t="s">
        <v>2926</v>
      </c>
      <c r="AO1603">
        <v>8808</v>
      </c>
      <c r="AU1603">
        <v>0.1</v>
      </c>
      <c r="AV1603" t="s">
        <v>250</v>
      </c>
      <c r="AW1603" t="s">
        <v>85</v>
      </c>
    </row>
    <row r="1604" spans="1:50">
      <c r="A1604" s="1" t="s">
        <v>3057</v>
      </c>
      <c r="B1604" t="s">
        <v>164</v>
      </c>
      <c r="C1604" t="s">
        <v>4814</v>
      </c>
      <c r="D1604" t="s">
        <v>215</v>
      </c>
      <c r="E1604" t="s">
        <v>304</v>
      </c>
      <c r="F1604" t="s">
        <v>513</v>
      </c>
      <c r="G1604" t="s">
        <v>8631</v>
      </c>
      <c r="H1604" t="s">
        <v>10101</v>
      </c>
      <c r="I1604" t="s">
        <v>1477</v>
      </c>
      <c r="J1604" t="s">
        <v>1646</v>
      </c>
      <c r="K1604">
        <v>10304</v>
      </c>
      <c r="L1604" t="s">
        <v>1670</v>
      </c>
      <c r="M1604" t="s">
        <v>1670</v>
      </c>
      <c r="N1604" t="s">
        <v>1693</v>
      </c>
      <c r="O1604" t="s">
        <v>12749</v>
      </c>
      <c r="P1604" t="s">
        <v>1961</v>
      </c>
      <c r="Q1604" t="s">
        <v>1970</v>
      </c>
      <c r="R1604" t="s">
        <v>50</v>
      </c>
      <c r="S1604" t="s">
        <v>1671</v>
      </c>
      <c r="U1604" t="s">
        <v>1972</v>
      </c>
      <c r="V1604" t="s">
        <v>1984</v>
      </c>
      <c r="W1604" t="s">
        <v>215</v>
      </c>
      <c r="X1604">
        <v>890</v>
      </c>
      <c r="Y1604" t="s">
        <v>2010</v>
      </c>
      <c r="Z1604" t="s">
        <v>2020</v>
      </c>
      <c r="AA1604" t="s">
        <v>2036</v>
      </c>
      <c r="AB1604" t="s">
        <v>14179</v>
      </c>
      <c r="AD1604" t="s">
        <v>16601</v>
      </c>
      <c r="AE1604">
        <v>104</v>
      </c>
      <c r="AF1604" t="s">
        <v>2902</v>
      </c>
      <c r="AG1604" t="s">
        <v>2915</v>
      </c>
      <c r="AH1604">
        <v>30</v>
      </c>
      <c r="AI1604">
        <v>1</v>
      </c>
      <c r="AJ1604">
        <v>0</v>
      </c>
      <c r="AK1604">
        <v>72.55</v>
      </c>
      <c r="AN1604" t="s">
        <v>2926</v>
      </c>
      <c r="AO1604">
        <v>8808</v>
      </c>
      <c r="AR1604" t="s">
        <v>2017</v>
      </c>
      <c r="AS1604" t="s">
        <v>2992</v>
      </c>
      <c r="AT1604" t="s">
        <v>18559</v>
      </c>
      <c r="AU1604">
        <v>7.8</v>
      </c>
      <c r="AV1604" t="s">
        <v>304</v>
      </c>
      <c r="AW1604" t="s">
        <v>3057</v>
      </c>
    </row>
    <row r="1605" spans="1:50">
      <c r="A1605" s="1" t="s">
        <v>115</v>
      </c>
      <c r="B1605" t="s">
        <v>163</v>
      </c>
      <c r="C1605" t="s">
        <v>4815</v>
      </c>
      <c r="D1605" t="s">
        <v>268</v>
      </c>
      <c r="F1605" t="s">
        <v>7476</v>
      </c>
      <c r="G1605" t="s">
        <v>8070</v>
      </c>
      <c r="H1605" t="s">
        <v>10102</v>
      </c>
      <c r="I1605" t="s">
        <v>11252</v>
      </c>
      <c r="J1605" t="s">
        <v>1641</v>
      </c>
      <c r="K1605">
        <v>10452</v>
      </c>
      <c r="L1605" t="s">
        <v>1670</v>
      </c>
      <c r="M1605" t="s">
        <v>1672</v>
      </c>
      <c r="O1605" t="s">
        <v>1675</v>
      </c>
      <c r="P1605" t="s">
        <v>1958</v>
      </c>
      <c r="R1605" t="s">
        <v>50</v>
      </c>
      <c r="S1605" t="s">
        <v>1671</v>
      </c>
      <c r="U1605" t="s">
        <v>1972</v>
      </c>
      <c r="W1605" t="s">
        <v>1991</v>
      </c>
      <c r="X1605">
        <v>1597.96</v>
      </c>
      <c r="Y1605" t="s">
        <v>2006</v>
      </c>
      <c r="Z1605" t="s">
        <v>2015</v>
      </c>
      <c r="AB1605" t="s">
        <v>14180</v>
      </c>
      <c r="AE1605">
        <v>55</v>
      </c>
      <c r="AF1605" t="s">
        <v>2902</v>
      </c>
      <c r="AG1605" t="s">
        <v>2915</v>
      </c>
      <c r="AH1605">
        <v>17</v>
      </c>
      <c r="AI1605">
        <v>1</v>
      </c>
      <c r="AJ1605">
        <v>0</v>
      </c>
      <c r="AK1605">
        <v>72.63</v>
      </c>
      <c r="AN1605" t="s">
        <v>2927</v>
      </c>
      <c r="AO1605">
        <v>9072</v>
      </c>
      <c r="AU1605">
        <v>1.2</v>
      </c>
      <c r="AV1605" t="s">
        <v>396</v>
      </c>
      <c r="AW1605" t="s">
        <v>115</v>
      </c>
      <c r="AX1605" t="s">
        <v>18685</v>
      </c>
    </row>
    <row r="1606" spans="1:50">
      <c r="A1606" s="1" t="s">
        <v>130</v>
      </c>
      <c r="B1606" t="s">
        <v>164</v>
      </c>
      <c r="C1606" t="s">
        <v>4816</v>
      </c>
      <c r="D1606" t="s">
        <v>360</v>
      </c>
      <c r="E1606" t="s">
        <v>206</v>
      </c>
      <c r="F1606" t="s">
        <v>7477</v>
      </c>
      <c r="G1606" t="s">
        <v>8632</v>
      </c>
      <c r="H1606" t="s">
        <v>9932</v>
      </c>
      <c r="I1606" t="s">
        <v>11253</v>
      </c>
      <c r="J1606" t="s">
        <v>1644</v>
      </c>
      <c r="K1606">
        <v>11221</v>
      </c>
      <c r="L1606" t="s">
        <v>1670</v>
      </c>
      <c r="M1606" t="s">
        <v>1670</v>
      </c>
      <c r="O1606" t="s">
        <v>1675</v>
      </c>
      <c r="P1606" t="s">
        <v>1959</v>
      </c>
      <c r="Q1606" t="s">
        <v>1968</v>
      </c>
      <c r="R1606" t="s">
        <v>50</v>
      </c>
      <c r="U1606" t="s">
        <v>1972</v>
      </c>
      <c r="W1606" t="s">
        <v>358</v>
      </c>
      <c r="X1606">
        <v>800</v>
      </c>
      <c r="Y1606" t="s">
        <v>2009</v>
      </c>
      <c r="Z1606" t="s">
        <v>2026</v>
      </c>
      <c r="AA1606" t="s">
        <v>2030</v>
      </c>
      <c r="AB1606" t="s">
        <v>14181</v>
      </c>
      <c r="AE1606">
        <v>54</v>
      </c>
      <c r="AF1606" t="s">
        <v>2902</v>
      </c>
      <c r="AG1606" t="s">
        <v>2017</v>
      </c>
      <c r="AH1606">
        <v>6</v>
      </c>
      <c r="AI1606">
        <v>1</v>
      </c>
      <c r="AJ1606">
        <v>0</v>
      </c>
      <c r="AK1606">
        <v>72.65000000000001</v>
      </c>
      <c r="AN1606" t="s">
        <v>2926</v>
      </c>
      <c r="AO1606">
        <v>8820</v>
      </c>
      <c r="AP1606" t="s">
        <v>18294</v>
      </c>
      <c r="AU1606">
        <v>0.1</v>
      </c>
      <c r="AV1606" t="s">
        <v>206</v>
      </c>
      <c r="AW1606" t="s">
        <v>3060</v>
      </c>
      <c r="AX1606" t="s">
        <v>18685</v>
      </c>
    </row>
    <row r="1607" spans="1:50">
      <c r="A1607" s="1" t="s">
        <v>107</v>
      </c>
      <c r="B1607" t="s">
        <v>163</v>
      </c>
      <c r="C1607" t="s">
        <v>4817</v>
      </c>
      <c r="D1607" t="s">
        <v>315</v>
      </c>
      <c r="F1607" t="s">
        <v>573</v>
      </c>
      <c r="G1607" t="s">
        <v>8633</v>
      </c>
      <c r="H1607" t="s">
        <v>10103</v>
      </c>
      <c r="I1607" t="s">
        <v>1510</v>
      </c>
      <c r="J1607" t="s">
        <v>1644</v>
      </c>
      <c r="K1607">
        <v>11233</v>
      </c>
      <c r="L1607" t="s">
        <v>1670</v>
      </c>
      <c r="M1607" t="s">
        <v>1670</v>
      </c>
      <c r="N1607" t="s">
        <v>12298</v>
      </c>
      <c r="O1607" t="s">
        <v>1936</v>
      </c>
      <c r="P1607" t="s">
        <v>1960</v>
      </c>
      <c r="R1607" t="s">
        <v>50</v>
      </c>
      <c r="S1607" t="s">
        <v>1671</v>
      </c>
      <c r="U1607" t="s">
        <v>1972</v>
      </c>
      <c r="V1607" t="s">
        <v>1984</v>
      </c>
      <c r="W1607" t="s">
        <v>315</v>
      </c>
      <c r="X1607">
        <v>957.15</v>
      </c>
      <c r="Y1607" t="s">
        <v>2009</v>
      </c>
      <c r="Z1607" t="s">
        <v>2017</v>
      </c>
      <c r="AB1607" t="s">
        <v>14182</v>
      </c>
      <c r="AC1607" t="s">
        <v>15192</v>
      </c>
      <c r="AD1607" t="s">
        <v>16602</v>
      </c>
      <c r="AE1607">
        <v>15</v>
      </c>
      <c r="AF1607" t="s">
        <v>2904</v>
      </c>
      <c r="AG1607" t="s">
        <v>1754</v>
      </c>
      <c r="AH1607">
        <v>25</v>
      </c>
      <c r="AI1607">
        <v>1</v>
      </c>
      <c r="AJ1607">
        <v>0</v>
      </c>
      <c r="AK1607">
        <v>72.65000000000001</v>
      </c>
      <c r="AN1607" t="s">
        <v>2926</v>
      </c>
      <c r="AO1607">
        <v>8820</v>
      </c>
      <c r="AP1607" t="s">
        <v>18134</v>
      </c>
      <c r="AU1607">
        <v>15.65</v>
      </c>
      <c r="AV1607" t="s">
        <v>1995</v>
      </c>
      <c r="AW1607" t="s">
        <v>3068</v>
      </c>
    </row>
    <row r="1608" spans="1:50">
      <c r="A1608" s="1" t="s">
        <v>94</v>
      </c>
      <c r="B1608" t="s">
        <v>163</v>
      </c>
      <c r="C1608" t="s">
        <v>4818</v>
      </c>
      <c r="D1608" t="s">
        <v>318</v>
      </c>
      <c r="F1608" t="s">
        <v>473</v>
      </c>
      <c r="G1608" t="s">
        <v>8634</v>
      </c>
      <c r="H1608" t="s">
        <v>9407</v>
      </c>
      <c r="I1608" t="s">
        <v>1550</v>
      </c>
      <c r="J1608" t="s">
        <v>1643</v>
      </c>
      <c r="K1608">
        <v>10040</v>
      </c>
      <c r="L1608" t="s">
        <v>1670</v>
      </c>
      <c r="M1608" t="s">
        <v>1670</v>
      </c>
      <c r="O1608" t="s">
        <v>1938</v>
      </c>
      <c r="P1608" t="s">
        <v>1960</v>
      </c>
      <c r="R1608" t="s">
        <v>50</v>
      </c>
      <c r="S1608" t="s">
        <v>1670</v>
      </c>
      <c r="U1608" t="s">
        <v>1972</v>
      </c>
      <c r="W1608" t="s">
        <v>318</v>
      </c>
      <c r="X1608">
        <v>991.98</v>
      </c>
      <c r="Y1608" t="s">
        <v>2008</v>
      </c>
      <c r="Z1608" t="s">
        <v>2020</v>
      </c>
      <c r="AB1608" t="s">
        <v>14183</v>
      </c>
      <c r="AD1608" t="s">
        <v>16603</v>
      </c>
      <c r="AE1608">
        <v>88</v>
      </c>
      <c r="AF1608" t="s">
        <v>2902</v>
      </c>
      <c r="AG1608" t="s">
        <v>1754</v>
      </c>
      <c r="AH1608">
        <v>40</v>
      </c>
      <c r="AI1608">
        <v>1</v>
      </c>
      <c r="AJ1608">
        <v>0</v>
      </c>
      <c r="AK1608">
        <v>72.65000000000001</v>
      </c>
      <c r="AN1608" t="s">
        <v>2927</v>
      </c>
      <c r="AO1608">
        <v>8820</v>
      </c>
      <c r="AU1608" t="s">
        <v>13051</v>
      </c>
      <c r="AW1608" t="s">
        <v>3042</v>
      </c>
    </row>
    <row r="1609" spans="1:50">
      <c r="A1609" s="1" t="s">
        <v>52</v>
      </c>
      <c r="B1609" t="s">
        <v>163</v>
      </c>
      <c r="C1609" t="s">
        <v>4819</v>
      </c>
      <c r="D1609" t="s">
        <v>187</v>
      </c>
      <c r="F1609" t="s">
        <v>567</v>
      </c>
      <c r="G1609" t="s">
        <v>8635</v>
      </c>
      <c r="H1609" t="s">
        <v>1136</v>
      </c>
      <c r="I1609" t="s">
        <v>1525</v>
      </c>
      <c r="J1609" t="s">
        <v>1641</v>
      </c>
      <c r="K1609">
        <v>10457</v>
      </c>
      <c r="L1609" t="s">
        <v>1670</v>
      </c>
      <c r="M1609" t="s">
        <v>1670</v>
      </c>
      <c r="N1609" t="s">
        <v>1695</v>
      </c>
      <c r="O1609" t="s">
        <v>1938</v>
      </c>
      <c r="P1609" t="s">
        <v>1961</v>
      </c>
      <c r="R1609" t="s">
        <v>50</v>
      </c>
      <c r="S1609" t="s">
        <v>1670</v>
      </c>
      <c r="U1609" t="s">
        <v>1972</v>
      </c>
      <c r="W1609" t="s">
        <v>359</v>
      </c>
      <c r="X1609">
        <v>1551</v>
      </c>
      <c r="Y1609" t="s">
        <v>2006</v>
      </c>
      <c r="Z1609" t="s">
        <v>2015</v>
      </c>
      <c r="AB1609" t="s">
        <v>14184</v>
      </c>
      <c r="AD1609" t="s">
        <v>16604</v>
      </c>
      <c r="AE1609">
        <v>47</v>
      </c>
      <c r="AF1609" t="s">
        <v>2902</v>
      </c>
      <c r="AG1609" t="s">
        <v>2915</v>
      </c>
      <c r="AH1609">
        <v>12</v>
      </c>
      <c r="AI1609">
        <v>2</v>
      </c>
      <c r="AJ1609">
        <v>0</v>
      </c>
      <c r="AK1609">
        <v>72.69</v>
      </c>
      <c r="AN1609" t="s">
        <v>2926</v>
      </c>
      <c r="AO1609">
        <v>11964</v>
      </c>
      <c r="AU1609">
        <v>0.4</v>
      </c>
      <c r="AV1609" t="s">
        <v>6191</v>
      </c>
      <c r="AW1609" t="s">
        <v>3046</v>
      </c>
    </row>
    <row r="1610" spans="1:50">
      <c r="A1610" s="1" t="s">
        <v>52</v>
      </c>
      <c r="B1610" t="s">
        <v>163</v>
      </c>
      <c r="C1610" t="s">
        <v>4820</v>
      </c>
      <c r="D1610" t="s">
        <v>187</v>
      </c>
      <c r="F1610" t="s">
        <v>567</v>
      </c>
      <c r="G1610" t="s">
        <v>8635</v>
      </c>
      <c r="H1610" t="s">
        <v>1136</v>
      </c>
      <c r="I1610" t="s">
        <v>1525</v>
      </c>
      <c r="J1610" t="s">
        <v>1641</v>
      </c>
      <c r="K1610">
        <v>10457</v>
      </c>
      <c r="L1610" t="s">
        <v>1670</v>
      </c>
      <c r="M1610" t="s">
        <v>1670</v>
      </c>
      <c r="N1610" t="s">
        <v>1696</v>
      </c>
      <c r="O1610" t="s">
        <v>1939</v>
      </c>
      <c r="P1610" t="s">
        <v>1960</v>
      </c>
      <c r="R1610" t="s">
        <v>50</v>
      </c>
      <c r="S1610" t="s">
        <v>1670</v>
      </c>
      <c r="U1610" t="s">
        <v>1972</v>
      </c>
      <c r="W1610" t="s">
        <v>359</v>
      </c>
      <c r="X1610">
        <v>1551</v>
      </c>
      <c r="Y1610" t="s">
        <v>2006</v>
      </c>
      <c r="Z1610" t="s">
        <v>2015</v>
      </c>
      <c r="AB1610" t="s">
        <v>14184</v>
      </c>
      <c r="AD1610" t="s">
        <v>16604</v>
      </c>
      <c r="AE1610">
        <v>47</v>
      </c>
      <c r="AF1610" t="s">
        <v>2902</v>
      </c>
      <c r="AG1610" t="s">
        <v>2915</v>
      </c>
      <c r="AH1610">
        <v>12</v>
      </c>
      <c r="AI1610">
        <v>2</v>
      </c>
      <c r="AJ1610">
        <v>0</v>
      </c>
      <c r="AK1610">
        <v>72.69</v>
      </c>
      <c r="AN1610" t="s">
        <v>2926</v>
      </c>
      <c r="AO1610">
        <v>11964</v>
      </c>
      <c r="AU1610">
        <v>1</v>
      </c>
      <c r="AV1610" t="s">
        <v>219</v>
      </c>
      <c r="AW1610" t="s">
        <v>3046</v>
      </c>
    </row>
    <row r="1611" spans="1:50">
      <c r="A1611" s="1" t="s">
        <v>132</v>
      </c>
      <c r="B1611" t="s">
        <v>163</v>
      </c>
      <c r="C1611" t="s">
        <v>4821</v>
      </c>
      <c r="D1611" t="s">
        <v>399</v>
      </c>
      <c r="F1611" t="s">
        <v>7478</v>
      </c>
      <c r="G1611" t="s">
        <v>8434</v>
      </c>
      <c r="H1611" t="s">
        <v>1290</v>
      </c>
      <c r="I1611" t="s">
        <v>1522</v>
      </c>
      <c r="J1611" t="s">
        <v>1644</v>
      </c>
      <c r="K1611">
        <v>11221</v>
      </c>
      <c r="L1611" t="s">
        <v>1671</v>
      </c>
      <c r="M1611" t="s">
        <v>1672</v>
      </c>
      <c r="N1611" t="s">
        <v>1687</v>
      </c>
      <c r="O1611" t="s">
        <v>1937</v>
      </c>
      <c r="P1611" t="s">
        <v>1962</v>
      </c>
      <c r="R1611" t="s">
        <v>50</v>
      </c>
      <c r="S1611" t="s">
        <v>1670</v>
      </c>
      <c r="U1611" t="s">
        <v>1977</v>
      </c>
      <c r="V1611" t="s">
        <v>1984</v>
      </c>
      <c r="W1611" t="s">
        <v>266</v>
      </c>
      <c r="X1611">
        <v>793</v>
      </c>
      <c r="Y1611" t="s">
        <v>2009</v>
      </c>
      <c r="Z1611" t="s">
        <v>2015</v>
      </c>
      <c r="AB1611" t="s">
        <v>14185</v>
      </c>
      <c r="AC1611" t="s">
        <v>1691</v>
      </c>
      <c r="AD1611" t="s">
        <v>16605</v>
      </c>
      <c r="AE1611">
        <v>12</v>
      </c>
      <c r="AF1611" t="s">
        <v>2902</v>
      </c>
      <c r="AG1611" t="s">
        <v>1754</v>
      </c>
      <c r="AH1611">
        <v>15</v>
      </c>
      <c r="AI1611">
        <v>1</v>
      </c>
      <c r="AJ1611">
        <v>0</v>
      </c>
      <c r="AK1611">
        <v>72.86</v>
      </c>
      <c r="AN1611" t="s">
        <v>2926</v>
      </c>
      <c r="AO1611">
        <v>9100</v>
      </c>
      <c r="AU1611" t="s">
        <v>13051</v>
      </c>
      <c r="AW1611" t="s">
        <v>3060</v>
      </c>
      <c r="AX1611" t="s">
        <v>1754</v>
      </c>
    </row>
    <row r="1612" spans="1:50">
      <c r="A1612" s="1" t="s">
        <v>3152</v>
      </c>
      <c r="B1612" t="s">
        <v>163</v>
      </c>
      <c r="C1612" t="s">
        <v>4822</v>
      </c>
      <c r="D1612" t="s">
        <v>326</v>
      </c>
      <c r="F1612" t="s">
        <v>7478</v>
      </c>
      <c r="G1612" t="s">
        <v>8434</v>
      </c>
      <c r="H1612" t="s">
        <v>1290</v>
      </c>
      <c r="I1612" t="s">
        <v>1522</v>
      </c>
      <c r="J1612" t="s">
        <v>1644</v>
      </c>
      <c r="K1612">
        <v>11221</v>
      </c>
      <c r="L1612" t="s">
        <v>1671</v>
      </c>
      <c r="M1612" t="s">
        <v>1671</v>
      </c>
      <c r="O1612" t="s">
        <v>1946</v>
      </c>
      <c r="P1612" t="s">
        <v>1964</v>
      </c>
      <c r="R1612" t="s">
        <v>50</v>
      </c>
      <c r="S1612" t="s">
        <v>1670</v>
      </c>
      <c r="U1612" t="s">
        <v>1978</v>
      </c>
      <c r="V1612" t="s">
        <v>1985</v>
      </c>
      <c r="W1612" t="s">
        <v>326</v>
      </c>
      <c r="X1612">
        <v>793</v>
      </c>
      <c r="Y1612" t="s">
        <v>2009</v>
      </c>
      <c r="Z1612" t="s">
        <v>2015</v>
      </c>
      <c r="AB1612" t="s">
        <v>14185</v>
      </c>
      <c r="AC1612" t="s">
        <v>1754</v>
      </c>
      <c r="AD1612" t="s">
        <v>16605</v>
      </c>
      <c r="AE1612">
        <v>12</v>
      </c>
      <c r="AF1612" t="s">
        <v>2902</v>
      </c>
      <c r="AG1612" t="s">
        <v>1754</v>
      </c>
      <c r="AH1612">
        <v>15</v>
      </c>
      <c r="AI1612">
        <v>1</v>
      </c>
      <c r="AJ1612">
        <v>0</v>
      </c>
      <c r="AK1612">
        <v>72.86</v>
      </c>
      <c r="AN1612" t="s">
        <v>2926</v>
      </c>
      <c r="AO1612">
        <v>9100</v>
      </c>
      <c r="AU1612">
        <v>3.75</v>
      </c>
      <c r="AV1612" t="s">
        <v>396</v>
      </c>
      <c r="AW1612" t="s">
        <v>3060</v>
      </c>
      <c r="AX1612" t="s">
        <v>1754</v>
      </c>
    </row>
    <row r="1613" spans="1:50">
      <c r="A1613" s="1" t="s">
        <v>127</v>
      </c>
      <c r="B1613" t="s">
        <v>163</v>
      </c>
      <c r="C1613" t="s">
        <v>4823</v>
      </c>
      <c r="D1613" t="s">
        <v>326</v>
      </c>
      <c r="F1613" t="s">
        <v>7479</v>
      </c>
      <c r="G1613" t="s">
        <v>8636</v>
      </c>
      <c r="H1613" t="s">
        <v>9623</v>
      </c>
      <c r="I1613" t="s">
        <v>1570</v>
      </c>
      <c r="J1613" t="s">
        <v>1644</v>
      </c>
      <c r="K1613">
        <v>11212</v>
      </c>
      <c r="L1613" t="s">
        <v>1670</v>
      </c>
      <c r="M1613" t="s">
        <v>1670</v>
      </c>
      <c r="O1613" t="s">
        <v>1946</v>
      </c>
      <c r="P1613" t="s">
        <v>1964</v>
      </c>
      <c r="R1613" t="s">
        <v>50</v>
      </c>
      <c r="S1613" t="s">
        <v>1670</v>
      </c>
      <c r="U1613" t="s">
        <v>1972</v>
      </c>
      <c r="W1613" t="s">
        <v>326</v>
      </c>
      <c r="X1613">
        <v>389.17</v>
      </c>
      <c r="Y1613" t="s">
        <v>2009</v>
      </c>
      <c r="Z1613" t="s">
        <v>2016</v>
      </c>
      <c r="AB1613" t="s">
        <v>14186</v>
      </c>
      <c r="AD1613" t="s">
        <v>16606</v>
      </c>
      <c r="AE1613">
        <v>10</v>
      </c>
      <c r="AF1613" t="s">
        <v>2902</v>
      </c>
      <c r="AG1613" t="s">
        <v>1754</v>
      </c>
      <c r="AH1613">
        <v>6</v>
      </c>
      <c r="AI1613">
        <v>1</v>
      </c>
      <c r="AJ1613">
        <v>0</v>
      </c>
      <c r="AK1613">
        <v>72.86</v>
      </c>
      <c r="AN1613" t="s">
        <v>2926</v>
      </c>
      <c r="AO1613">
        <v>9100</v>
      </c>
      <c r="AU1613" t="s">
        <v>13051</v>
      </c>
      <c r="AW1613" t="s">
        <v>3059</v>
      </c>
    </row>
    <row r="1614" spans="1:50">
      <c r="A1614" s="1" t="s">
        <v>74</v>
      </c>
      <c r="B1614" t="s">
        <v>163</v>
      </c>
      <c r="C1614" t="s">
        <v>4824</v>
      </c>
      <c r="D1614" t="s">
        <v>273</v>
      </c>
      <c r="F1614" t="s">
        <v>7307</v>
      </c>
      <c r="G1614" t="s">
        <v>8424</v>
      </c>
      <c r="H1614" t="s">
        <v>1131</v>
      </c>
      <c r="I1614" t="s">
        <v>11176</v>
      </c>
      <c r="J1614" t="s">
        <v>1641</v>
      </c>
      <c r="K1614">
        <v>10460</v>
      </c>
      <c r="L1614" t="s">
        <v>1670</v>
      </c>
      <c r="M1614" t="s">
        <v>1670</v>
      </c>
      <c r="N1614" t="s">
        <v>1692</v>
      </c>
      <c r="O1614" t="s">
        <v>1939</v>
      </c>
      <c r="P1614" t="s">
        <v>1960</v>
      </c>
      <c r="R1614" t="s">
        <v>50</v>
      </c>
      <c r="S1614" t="s">
        <v>1670</v>
      </c>
      <c r="U1614" t="s">
        <v>1972</v>
      </c>
      <c r="W1614" t="s">
        <v>283</v>
      </c>
      <c r="X1614">
        <v>150</v>
      </c>
      <c r="Y1614" t="s">
        <v>2006</v>
      </c>
      <c r="Z1614" t="s">
        <v>2015</v>
      </c>
      <c r="AB1614" t="s">
        <v>2352</v>
      </c>
      <c r="AD1614" t="s">
        <v>16280</v>
      </c>
      <c r="AE1614">
        <v>168</v>
      </c>
      <c r="AF1614" t="s">
        <v>2910</v>
      </c>
      <c r="AG1614" t="s">
        <v>2921</v>
      </c>
      <c r="AH1614">
        <v>25</v>
      </c>
      <c r="AI1614">
        <v>2</v>
      </c>
      <c r="AJ1614">
        <v>0</v>
      </c>
      <c r="AK1614">
        <v>72.90000000000001</v>
      </c>
      <c r="AN1614" t="s">
        <v>2926</v>
      </c>
      <c r="AO1614">
        <v>12000</v>
      </c>
      <c r="AU1614">
        <v>443.69</v>
      </c>
      <c r="AV1614" t="s">
        <v>397</v>
      </c>
      <c r="AW1614" t="s">
        <v>95</v>
      </c>
    </row>
    <row r="1615" spans="1:50">
      <c r="A1615" s="1" t="s">
        <v>124</v>
      </c>
      <c r="B1615" t="s">
        <v>163</v>
      </c>
      <c r="C1615" t="s">
        <v>4825</v>
      </c>
      <c r="D1615" t="s">
        <v>263</v>
      </c>
      <c r="F1615" t="s">
        <v>1002</v>
      </c>
      <c r="G1615" t="s">
        <v>8637</v>
      </c>
      <c r="H1615" t="s">
        <v>10104</v>
      </c>
      <c r="I1615">
        <v>4</v>
      </c>
      <c r="J1615" t="s">
        <v>1644</v>
      </c>
      <c r="K1615">
        <v>11232</v>
      </c>
      <c r="L1615" t="s">
        <v>1670</v>
      </c>
      <c r="M1615" t="s">
        <v>1670</v>
      </c>
      <c r="N1615" t="s">
        <v>12299</v>
      </c>
      <c r="O1615" t="s">
        <v>1936</v>
      </c>
      <c r="P1615" t="s">
        <v>1960</v>
      </c>
      <c r="R1615" t="s">
        <v>50</v>
      </c>
      <c r="U1615" t="s">
        <v>1972</v>
      </c>
      <c r="W1615" t="s">
        <v>263</v>
      </c>
      <c r="X1615">
        <v>1147.63</v>
      </c>
      <c r="Y1615" t="s">
        <v>2009</v>
      </c>
      <c r="Z1615" t="s">
        <v>2015</v>
      </c>
      <c r="AB1615" t="s">
        <v>14187</v>
      </c>
      <c r="AD1615" t="s">
        <v>16607</v>
      </c>
      <c r="AE1615" t="s">
        <v>13051</v>
      </c>
      <c r="AF1615" t="s">
        <v>2902</v>
      </c>
      <c r="AG1615" t="s">
        <v>2915</v>
      </c>
      <c r="AH1615">
        <v>23</v>
      </c>
      <c r="AI1615">
        <v>1</v>
      </c>
      <c r="AJ1615">
        <v>0</v>
      </c>
      <c r="AK1615">
        <v>73.02</v>
      </c>
      <c r="AN1615" t="s">
        <v>2926</v>
      </c>
      <c r="AO1615">
        <v>9120</v>
      </c>
      <c r="AQ1615" t="s">
        <v>2979</v>
      </c>
      <c r="AS1615" t="s">
        <v>2992</v>
      </c>
      <c r="AU1615">
        <v>12</v>
      </c>
      <c r="AV1615" t="s">
        <v>203</v>
      </c>
      <c r="AW1615" t="s">
        <v>158</v>
      </c>
    </row>
    <row r="1616" spans="1:50">
      <c r="A1616" s="1" t="s">
        <v>124</v>
      </c>
      <c r="B1616" t="s">
        <v>163</v>
      </c>
      <c r="C1616" t="s">
        <v>4826</v>
      </c>
      <c r="D1616" t="s">
        <v>226</v>
      </c>
      <c r="F1616" t="s">
        <v>1002</v>
      </c>
      <c r="G1616" t="s">
        <v>8637</v>
      </c>
      <c r="H1616" t="s">
        <v>10104</v>
      </c>
      <c r="I1616">
        <v>4</v>
      </c>
      <c r="J1616" t="s">
        <v>1644</v>
      </c>
      <c r="K1616">
        <v>11232</v>
      </c>
      <c r="L1616" t="s">
        <v>1670</v>
      </c>
      <c r="M1616" t="s">
        <v>1670</v>
      </c>
      <c r="P1616" t="s">
        <v>1960</v>
      </c>
      <c r="R1616" t="s">
        <v>50</v>
      </c>
      <c r="S1616" t="s">
        <v>1671</v>
      </c>
      <c r="U1616" t="s">
        <v>1972</v>
      </c>
      <c r="W1616" t="s">
        <v>226</v>
      </c>
      <c r="X1616" t="s">
        <v>13051</v>
      </c>
      <c r="Y1616" t="s">
        <v>2009</v>
      </c>
      <c r="AB1616" t="s">
        <v>14187</v>
      </c>
      <c r="AD1616" t="s">
        <v>16607</v>
      </c>
      <c r="AE1616" t="s">
        <v>13051</v>
      </c>
      <c r="AH1616" t="s">
        <v>13051</v>
      </c>
      <c r="AI1616">
        <v>1</v>
      </c>
      <c r="AJ1616">
        <v>0</v>
      </c>
      <c r="AK1616">
        <v>73.02</v>
      </c>
      <c r="AN1616" t="s">
        <v>2926</v>
      </c>
      <c r="AO1616">
        <v>9120</v>
      </c>
      <c r="AU1616">
        <v>1.4</v>
      </c>
      <c r="AV1616" t="s">
        <v>400</v>
      </c>
      <c r="AW1616" t="s">
        <v>158</v>
      </c>
    </row>
    <row r="1617" spans="1:50">
      <c r="A1617" s="1" t="s">
        <v>101</v>
      </c>
      <c r="B1617" t="s">
        <v>163</v>
      </c>
      <c r="C1617" t="s">
        <v>4827</v>
      </c>
      <c r="D1617" t="s">
        <v>356</v>
      </c>
      <c r="F1617" t="s">
        <v>562</v>
      </c>
      <c r="G1617" t="s">
        <v>8638</v>
      </c>
      <c r="H1617" t="s">
        <v>9440</v>
      </c>
      <c r="I1617">
        <v>2</v>
      </c>
      <c r="J1617" t="s">
        <v>1643</v>
      </c>
      <c r="K1617">
        <v>10039</v>
      </c>
      <c r="L1617" t="s">
        <v>1670</v>
      </c>
      <c r="M1617" t="s">
        <v>1670</v>
      </c>
      <c r="N1617" t="s">
        <v>11886</v>
      </c>
      <c r="O1617" t="s">
        <v>1939</v>
      </c>
      <c r="P1617" t="s">
        <v>1960</v>
      </c>
      <c r="R1617" t="s">
        <v>50</v>
      </c>
      <c r="S1617" t="s">
        <v>1670</v>
      </c>
      <c r="U1617" t="s">
        <v>1972</v>
      </c>
      <c r="V1617" t="s">
        <v>1984</v>
      </c>
      <c r="W1617" t="s">
        <v>238</v>
      </c>
      <c r="X1617">
        <v>1222.79</v>
      </c>
      <c r="Y1617" t="s">
        <v>2008</v>
      </c>
      <c r="Z1617" t="s">
        <v>2013</v>
      </c>
      <c r="AB1617" t="s">
        <v>14188</v>
      </c>
      <c r="AD1617" t="s">
        <v>16608</v>
      </c>
      <c r="AE1617">
        <v>24</v>
      </c>
      <c r="AF1617" t="s">
        <v>2902</v>
      </c>
      <c r="AG1617" t="s">
        <v>1754</v>
      </c>
      <c r="AH1617">
        <v>15</v>
      </c>
      <c r="AI1617">
        <v>1</v>
      </c>
      <c r="AJ1617">
        <v>0</v>
      </c>
      <c r="AK1617">
        <v>73.05</v>
      </c>
      <c r="AN1617" t="s">
        <v>2926</v>
      </c>
      <c r="AO1617">
        <v>8868</v>
      </c>
      <c r="AU1617" t="s">
        <v>13051</v>
      </c>
      <c r="AW1617" t="s">
        <v>3051</v>
      </c>
    </row>
    <row r="1618" spans="1:50">
      <c r="A1618" s="1" t="s">
        <v>124</v>
      </c>
      <c r="B1618" t="s">
        <v>163</v>
      </c>
      <c r="C1618" t="s">
        <v>4828</v>
      </c>
      <c r="D1618" t="s">
        <v>253</v>
      </c>
      <c r="F1618" t="s">
        <v>7480</v>
      </c>
      <c r="G1618" t="s">
        <v>8639</v>
      </c>
      <c r="H1618" t="s">
        <v>10105</v>
      </c>
      <c r="I1618" t="s">
        <v>1581</v>
      </c>
      <c r="J1618" t="s">
        <v>1644</v>
      </c>
      <c r="K1618">
        <v>11238</v>
      </c>
      <c r="L1618" t="s">
        <v>1670</v>
      </c>
      <c r="M1618" t="s">
        <v>1670</v>
      </c>
      <c r="N1618" t="s">
        <v>12300</v>
      </c>
      <c r="O1618" t="s">
        <v>1936</v>
      </c>
      <c r="P1618" t="s">
        <v>1960</v>
      </c>
      <c r="R1618" t="s">
        <v>50</v>
      </c>
      <c r="S1618" t="s">
        <v>1671</v>
      </c>
      <c r="U1618" t="s">
        <v>1972</v>
      </c>
      <c r="W1618" t="s">
        <v>253</v>
      </c>
      <c r="X1618">
        <v>230.29</v>
      </c>
      <c r="Y1618" t="s">
        <v>2009</v>
      </c>
      <c r="AB1618" t="s">
        <v>14189</v>
      </c>
      <c r="AD1618" t="s">
        <v>16609</v>
      </c>
      <c r="AE1618" t="s">
        <v>13051</v>
      </c>
      <c r="AF1618" t="s">
        <v>2908</v>
      </c>
      <c r="AH1618">
        <v>63</v>
      </c>
      <c r="AI1618">
        <v>1</v>
      </c>
      <c r="AJ1618">
        <v>0</v>
      </c>
      <c r="AK1618">
        <v>73.11</v>
      </c>
      <c r="AN1618" t="s">
        <v>2926</v>
      </c>
      <c r="AO1618">
        <v>9132</v>
      </c>
      <c r="AU1618">
        <v>19.8</v>
      </c>
      <c r="AV1618" t="s">
        <v>400</v>
      </c>
      <c r="AW1618" t="s">
        <v>158</v>
      </c>
    </row>
    <row r="1619" spans="1:50">
      <c r="A1619" s="1" t="s">
        <v>100</v>
      </c>
      <c r="B1619" t="s">
        <v>164</v>
      </c>
      <c r="C1619" t="s">
        <v>4829</v>
      </c>
      <c r="D1619" t="s">
        <v>318</v>
      </c>
      <c r="E1619" t="s">
        <v>318</v>
      </c>
      <c r="F1619" t="s">
        <v>7481</v>
      </c>
      <c r="G1619" t="s">
        <v>8640</v>
      </c>
      <c r="H1619" t="s">
        <v>1271</v>
      </c>
      <c r="I1619" t="s">
        <v>10938</v>
      </c>
      <c r="J1619" t="s">
        <v>1643</v>
      </c>
      <c r="K1619">
        <v>10034</v>
      </c>
      <c r="L1619" t="s">
        <v>1670</v>
      </c>
      <c r="M1619" t="s">
        <v>1672</v>
      </c>
      <c r="O1619" t="s">
        <v>1939</v>
      </c>
      <c r="P1619" t="s">
        <v>1962</v>
      </c>
      <c r="Q1619" t="s">
        <v>1968</v>
      </c>
      <c r="R1619" t="s">
        <v>50</v>
      </c>
      <c r="S1619" t="s">
        <v>1671</v>
      </c>
      <c r="U1619" t="s">
        <v>1972</v>
      </c>
      <c r="W1619" t="s">
        <v>318</v>
      </c>
      <c r="X1619" t="s">
        <v>13051</v>
      </c>
      <c r="Y1619" t="s">
        <v>2008</v>
      </c>
      <c r="Z1619" t="s">
        <v>2013</v>
      </c>
      <c r="AA1619" t="s">
        <v>2029</v>
      </c>
      <c r="AB1619" t="s">
        <v>14190</v>
      </c>
      <c r="AD1619" t="s">
        <v>16610</v>
      </c>
      <c r="AE1619" t="s">
        <v>13051</v>
      </c>
      <c r="AF1619" t="s">
        <v>2902</v>
      </c>
      <c r="AG1619" t="s">
        <v>1754</v>
      </c>
      <c r="AH1619" t="s">
        <v>13051</v>
      </c>
      <c r="AI1619">
        <v>1</v>
      </c>
      <c r="AJ1619">
        <v>0</v>
      </c>
      <c r="AK1619">
        <v>73.13</v>
      </c>
      <c r="AN1619" t="s">
        <v>2927</v>
      </c>
      <c r="AO1619">
        <v>8820</v>
      </c>
      <c r="AU1619">
        <v>1.1</v>
      </c>
      <c r="AV1619" t="s">
        <v>318</v>
      </c>
      <c r="AW1619" t="s">
        <v>100</v>
      </c>
    </row>
    <row r="1620" spans="1:50">
      <c r="A1620" s="1" t="s">
        <v>58</v>
      </c>
      <c r="B1620" t="s">
        <v>163</v>
      </c>
      <c r="C1620" t="s">
        <v>4830</v>
      </c>
      <c r="D1620" t="s">
        <v>290</v>
      </c>
      <c r="F1620" t="s">
        <v>460</v>
      </c>
      <c r="G1620" t="s">
        <v>8641</v>
      </c>
      <c r="H1620" t="s">
        <v>10106</v>
      </c>
      <c r="I1620" t="s">
        <v>11101</v>
      </c>
      <c r="J1620" t="s">
        <v>1641</v>
      </c>
      <c r="K1620">
        <v>10474</v>
      </c>
      <c r="L1620" t="s">
        <v>1670</v>
      </c>
      <c r="M1620" t="s">
        <v>1672</v>
      </c>
      <c r="N1620" t="s">
        <v>12301</v>
      </c>
      <c r="O1620" t="s">
        <v>1939</v>
      </c>
      <c r="P1620" t="s">
        <v>1960</v>
      </c>
      <c r="R1620" t="s">
        <v>50</v>
      </c>
      <c r="S1620" t="s">
        <v>1671</v>
      </c>
      <c r="U1620" t="s">
        <v>1972</v>
      </c>
      <c r="V1620" t="s">
        <v>1984</v>
      </c>
      <c r="W1620" t="s">
        <v>1991</v>
      </c>
      <c r="X1620">
        <v>894.52</v>
      </c>
      <c r="Y1620" t="s">
        <v>2006</v>
      </c>
      <c r="Z1620" t="s">
        <v>2016</v>
      </c>
      <c r="AB1620" t="s">
        <v>14191</v>
      </c>
      <c r="AE1620">
        <v>60</v>
      </c>
      <c r="AF1620" t="s">
        <v>2902</v>
      </c>
      <c r="AG1620" t="s">
        <v>1754</v>
      </c>
      <c r="AH1620">
        <v>15</v>
      </c>
      <c r="AI1620">
        <v>3</v>
      </c>
      <c r="AJ1620">
        <v>0</v>
      </c>
      <c r="AK1620">
        <v>73.14</v>
      </c>
      <c r="AN1620" t="s">
        <v>2926</v>
      </c>
      <c r="AO1620">
        <v>15600</v>
      </c>
      <c r="AU1620">
        <v>26.7</v>
      </c>
      <c r="AV1620" t="s">
        <v>397</v>
      </c>
      <c r="AW1620" t="s">
        <v>3045</v>
      </c>
      <c r="AX1620" t="s">
        <v>18685</v>
      </c>
    </row>
    <row r="1621" spans="1:50">
      <c r="A1621" s="1" t="s">
        <v>119</v>
      </c>
      <c r="B1621" t="s">
        <v>163</v>
      </c>
      <c r="C1621" t="s">
        <v>4831</v>
      </c>
      <c r="D1621" t="s">
        <v>178</v>
      </c>
      <c r="F1621" t="s">
        <v>7252</v>
      </c>
      <c r="G1621" t="s">
        <v>8642</v>
      </c>
      <c r="H1621" t="s">
        <v>1359</v>
      </c>
      <c r="I1621" t="s">
        <v>11254</v>
      </c>
      <c r="J1621" t="s">
        <v>1644</v>
      </c>
      <c r="K1621">
        <v>11207</v>
      </c>
      <c r="L1621" t="s">
        <v>1672</v>
      </c>
      <c r="M1621" t="s">
        <v>1672</v>
      </c>
      <c r="N1621" t="s">
        <v>1675</v>
      </c>
      <c r="O1621" t="s">
        <v>1939</v>
      </c>
      <c r="P1621" t="s">
        <v>1962</v>
      </c>
      <c r="R1621" t="s">
        <v>50</v>
      </c>
      <c r="S1621" t="s">
        <v>1671</v>
      </c>
      <c r="U1621" t="s">
        <v>1972</v>
      </c>
      <c r="V1621" t="s">
        <v>1984</v>
      </c>
      <c r="W1621" t="s">
        <v>371</v>
      </c>
      <c r="X1621">
        <v>1300</v>
      </c>
      <c r="Y1621" t="s">
        <v>2009</v>
      </c>
      <c r="AB1621" t="s">
        <v>14192</v>
      </c>
      <c r="AD1621" t="s">
        <v>16611</v>
      </c>
      <c r="AE1621">
        <v>23</v>
      </c>
      <c r="AH1621">
        <v>4</v>
      </c>
      <c r="AI1621">
        <v>1</v>
      </c>
      <c r="AJ1621">
        <v>0</v>
      </c>
      <c r="AK1621">
        <v>73.15000000000001</v>
      </c>
      <c r="AN1621" t="s">
        <v>2926</v>
      </c>
      <c r="AO1621">
        <v>8880</v>
      </c>
      <c r="AU1621">
        <v>2.25</v>
      </c>
      <c r="AV1621" t="s">
        <v>371</v>
      </c>
      <c r="AW1621" t="s">
        <v>18654</v>
      </c>
    </row>
    <row r="1622" spans="1:50">
      <c r="A1622" s="1" t="s">
        <v>91</v>
      </c>
      <c r="B1622" t="s">
        <v>164</v>
      </c>
      <c r="C1622" t="s">
        <v>4832</v>
      </c>
      <c r="D1622" t="s">
        <v>199</v>
      </c>
      <c r="E1622" t="s">
        <v>328</v>
      </c>
      <c r="F1622" t="s">
        <v>7482</v>
      </c>
      <c r="G1622" t="s">
        <v>8643</v>
      </c>
      <c r="H1622" t="s">
        <v>10107</v>
      </c>
      <c r="I1622">
        <v>33</v>
      </c>
      <c r="J1622" t="s">
        <v>1643</v>
      </c>
      <c r="K1622">
        <v>10033</v>
      </c>
      <c r="L1622" t="s">
        <v>1670</v>
      </c>
      <c r="M1622" t="s">
        <v>1670</v>
      </c>
      <c r="N1622" t="s">
        <v>12302</v>
      </c>
      <c r="O1622" t="s">
        <v>1940</v>
      </c>
      <c r="P1622" t="s">
        <v>1958</v>
      </c>
      <c r="Q1622" t="s">
        <v>1965</v>
      </c>
      <c r="R1622" t="s">
        <v>50</v>
      </c>
      <c r="S1622" t="s">
        <v>1671</v>
      </c>
      <c r="U1622" t="s">
        <v>1972</v>
      </c>
      <c r="V1622" t="s">
        <v>1984</v>
      </c>
      <c r="W1622" t="s">
        <v>199</v>
      </c>
      <c r="X1622">
        <v>1500</v>
      </c>
      <c r="Y1622" t="s">
        <v>2008</v>
      </c>
      <c r="Z1622" t="s">
        <v>2013</v>
      </c>
      <c r="AA1622" t="s">
        <v>2029</v>
      </c>
      <c r="AB1622" t="s">
        <v>14193</v>
      </c>
      <c r="AD1622" t="s">
        <v>16612</v>
      </c>
      <c r="AE1622">
        <v>20</v>
      </c>
      <c r="AF1622" t="s">
        <v>2902</v>
      </c>
      <c r="AG1622" t="s">
        <v>2915</v>
      </c>
      <c r="AH1622">
        <v>14</v>
      </c>
      <c r="AI1622">
        <v>1</v>
      </c>
      <c r="AJ1622">
        <v>0</v>
      </c>
      <c r="AK1622">
        <v>73.31</v>
      </c>
      <c r="AN1622" t="s">
        <v>2927</v>
      </c>
      <c r="AO1622">
        <v>9156</v>
      </c>
      <c r="AU1622">
        <v>5.6</v>
      </c>
      <c r="AV1622" t="s">
        <v>258</v>
      </c>
      <c r="AW1622" t="s">
        <v>3042</v>
      </c>
      <c r="AX1622" t="s">
        <v>18685</v>
      </c>
    </row>
    <row r="1623" spans="1:50">
      <c r="A1623" s="1" t="s">
        <v>74</v>
      </c>
      <c r="B1623" t="s">
        <v>163</v>
      </c>
      <c r="C1623" t="s">
        <v>4833</v>
      </c>
      <c r="D1623" t="s">
        <v>390</v>
      </c>
      <c r="F1623" t="s">
        <v>6955</v>
      </c>
      <c r="G1623" t="s">
        <v>8644</v>
      </c>
      <c r="H1623" t="s">
        <v>1131</v>
      </c>
      <c r="I1623" t="s">
        <v>1612</v>
      </c>
      <c r="J1623" t="s">
        <v>1641</v>
      </c>
      <c r="K1623">
        <v>10460</v>
      </c>
      <c r="L1623" t="s">
        <v>1670</v>
      </c>
      <c r="M1623" t="s">
        <v>1672</v>
      </c>
      <c r="N1623" t="s">
        <v>1691</v>
      </c>
      <c r="O1623" t="s">
        <v>1675</v>
      </c>
      <c r="P1623" t="s">
        <v>1959</v>
      </c>
      <c r="R1623" t="s">
        <v>50</v>
      </c>
      <c r="S1623" t="s">
        <v>1670</v>
      </c>
      <c r="U1623" t="s">
        <v>1972</v>
      </c>
      <c r="W1623" t="s">
        <v>1991</v>
      </c>
      <c r="X1623">
        <v>1694</v>
      </c>
      <c r="Y1623" t="s">
        <v>2006</v>
      </c>
      <c r="Z1623" t="s">
        <v>2015</v>
      </c>
      <c r="AB1623" t="s">
        <v>14194</v>
      </c>
      <c r="AD1623" t="s">
        <v>16613</v>
      </c>
      <c r="AE1623">
        <v>168</v>
      </c>
      <c r="AF1623" t="s">
        <v>2902</v>
      </c>
      <c r="AG1623" t="s">
        <v>2915</v>
      </c>
      <c r="AH1623">
        <v>35</v>
      </c>
      <c r="AI1623">
        <v>1</v>
      </c>
      <c r="AJ1623">
        <v>0</v>
      </c>
      <c r="AK1623">
        <v>73.31</v>
      </c>
      <c r="AN1623" t="s">
        <v>2926</v>
      </c>
      <c r="AO1623">
        <v>9156</v>
      </c>
      <c r="AU1623" t="s">
        <v>13051</v>
      </c>
      <c r="AW1623" t="s">
        <v>3054</v>
      </c>
      <c r="AX1623" t="s">
        <v>18685</v>
      </c>
    </row>
    <row r="1624" spans="1:50">
      <c r="A1624" s="1" t="s">
        <v>126</v>
      </c>
      <c r="B1624" t="s">
        <v>163</v>
      </c>
      <c r="C1624" t="s">
        <v>4834</v>
      </c>
      <c r="D1624" t="s">
        <v>200</v>
      </c>
      <c r="F1624" t="s">
        <v>7483</v>
      </c>
      <c r="G1624" t="s">
        <v>8645</v>
      </c>
      <c r="H1624" t="s">
        <v>9627</v>
      </c>
      <c r="I1624" t="s">
        <v>11255</v>
      </c>
      <c r="J1624" t="s">
        <v>1641</v>
      </c>
      <c r="K1624">
        <v>10451</v>
      </c>
      <c r="L1624" t="s">
        <v>1670</v>
      </c>
      <c r="M1624" t="s">
        <v>1670</v>
      </c>
      <c r="N1624" t="s">
        <v>11981</v>
      </c>
      <c r="O1624" t="s">
        <v>1939</v>
      </c>
      <c r="P1624" t="s">
        <v>1960</v>
      </c>
      <c r="R1624" t="s">
        <v>50</v>
      </c>
      <c r="S1624" t="s">
        <v>1670</v>
      </c>
      <c r="U1624" t="s">
        <v>1972</v>
      </c>
      <c r="W1624" t="s">
        <v>359</v>
      </c>
      <c r="X1624">
        <v>1500</v>
      </c>
      <c r="Y1624" t="s">
        <v>2006</v>
      </c>
      <c r="Z1624" t="s">
        <v>2015</v>
      </c>
      <c r="AB1624" t="s">
        <v>14195</v>
      </c>
      <c r="AD1624" t="s">
        <v>16614</v>
      </c>
      <c r="AE1624">
        <v>100</v>
      </c>
      <c r="AF1624" t="s">
        <v>2902</v>
      </c>
      <c r="AG1624" t="s">
        <v>2915</v>
      </c>
      <c r="AH1624">
        <v>31</v>
      </c>
      <c r="AI1624">
        <v>1</v>
      </c>
      <c r="AJ1624">
        <v>0</v>
      </c>
      <c r="AK1624">
        <v>73.64</v>
      </c>
      <c r="AN1624" t="s">
        <v>2927</v>
      </c>
      <c r="AO1624">
        <v>8940</v>
      </c>
      <c r="AU1624" t="s">
        <v>13051</v>
      </c>
      <c r="AW1624" t="s">
        <v>3047</v>
      </c>
    </row>
    <row r="1625" spans="1:50">
      <c r="A1625" s="1" t="s">
        <v>58</v>
      </c>
      <c r="B1625" t="s">
        <v>164</v>
      </c>
      <c r="C1625" t="s">
        <v>4835</v>
      </c>
      <c r="D1625" t="s">
        <v>294</v>
      </c>
      <c r="E1625" t="s">
        <v>195</v>
      </c>
      <c r="F1625" t="s">
        <v>7484</v>
      </c>
      <c r="G1625" t="s">
        <v>780</v>
      </c>
      <c r="H1625" t="s">
        <v>1136</v>
      </c>
      <c r="I1625" t="s">
        <v>11256</v>
      </c>
      <c r="J1625" t="s">
        <v>1641</v>
      </c>
      <c r="K1625">
        <v>10457</v>
      </c>
      <c r="L1625" t="s">
        <v>1670</v>
      </c>
      <c r="M1625" t="s">
        <v>1670</v>
      </c>
      <c r="N1625" t="s">
        <v>12303</v>
      </c>
      <c r="O1625" t="s">
        <v>1939</v>
      </c>
      <c r="P1625" t="s">
        <v>1958</v>
      </c>
      <c r="Q1625" t="s">
        <v>1965</v>
      </c>
      <c r="R1625" t="s">
        <v>50</v>
      </c>
      <c r="S1625" t="s">
        <v>1671</v>
      </c>
      <c r="U1625" t="s">
        <v>1972</v>
      </c>
      <c r="W1625" t="s">
        <v>324</v>
      </c>
      <c r="X1625">
        <v>385</v>
      </c>
      <c r="Y1625" t="s">
        <v>2006</v>
      </c>
      <c r="Z1625" t="s">
        <v>2015</v>
      </c>
      <c r="AA1625" t="s">
        <v>2029</v>
      </c>
      <c r="AB1625" t="s">
        <v>14196</v>
      </c>
      <c r="AD1625" t="s">
        <v>16615</v>
      </c>
      <c r="AE1625">
        <v>47</v>
      </c>
      <c r="AF1625" t="s">
        <v>2902</v>
      </c>
      <c r="AG1625" t="s">
        <v>2915</v>
      </c>
      <c r="AH1625">
        <v>6</v>
      </c>
      <c r="AI1625">
        <v>1</v>
      </c>
      <c r="AJ1625">
        <v>0</v>
      </c>
      <c r="AK1625">
        <v>73.69</v>
      </c>
      <c r="AN1625" t="s">
        <v>2927</v>
      </c>
      <c r="AO1625">
        <v>9204</v>
      </c>
      <c r="AU1625">
        <v>1</v>
      </c>
      <c r="AV1625" t="s">
        <v>324</v>
      </c>
      <c r="AW1625" t="s">
        <v>3046</v>
      </c>
    </row>
    <row r="1626" spans="1:50">
      <c r="A1626" s="1" t="s">
        <v>101</v>
      </c>
      <c r="B1626" t="s">
        <v>164</v>
      </c>
      <c r="C1626" t="s">
        <v>4836</v>
      </c>
      <c r="D1626" t="s">
        <v>1993</v>
      </c>
      <c r="E1626" t="s">
        <v>222</v>
      </c>
      <c r="F1626" t="s">
        <v>695</v>
      </c>
      <c r="G1626" t="s">
        <v>960</v>
      </c>
      <c r="H1626" t="s">
        <v>9938</v>
      </c>
      <c r="I1626" t="s">
        <v>1477</v>
      </c>
      <c r="J1626" t="s">
        <v>1643</v>
      </c>
      <c r="K1626">
        <v>10035</v>
      </c>
      <c r="L1626" t="s">
        <v>1670</v>
      </c>
      <c r="M1626" t="s">
        <v>1670</v>
      </c>
      <c r="O1626" t="s">
        <v>1675</v>
      </c>
      <c r="P1626" t="s">
        <v>1958</v>
      </c>
      <c r="Q1626" t="s">
        <v>1965</v>
      </c>
      <c r="R1626" t="s">
        <v>50</v>
      </c>
      <c r="S1626" t="s">
        <v>1670</v>
      </c>
      <c r="U1626" t="s">
        <v>1972</v>
      </c>
      <c r="V1626" t="s">
        <v>1984</v>
      </c>
      <c r="W1626" t="s">
        <v>1993</v>
      </c>
      <c r="X1626">
        <v>1552</v>
      </c>
      <c r="Y1626" t="s">
        <v>2008</v>
      </c>
      <c r="Z1626" t="s">
        <v>2025</v>
      </c>
      <c r="AA1626" t="s">
        <v>2029</v>
      </c>
      <c r="AB1626" t="s">
        <v>14197</v>
      </c>
      <c r="AD1626" t="s">
        <v>16616</v>
      </c>
      <c r="AE1626">
        <v>9</v>
      </c>
      <c r="AF1626" t="s">
        <v>2902</v>
      </c>
      <c r="AG1626" t="s">
        <v>2915</v>
      </c>
      <c r="AH1626">
        <v>20</v>
      </c>
      <c r="AI1626">
        <v>2</v>
      </c>
      <c r="AJ1626">
        <v>0</v>
      </c>
      <c r="AK1626">
        <v>73.69</v>
      </c>
      <c r="AN1626" t="s">
        <v>2926</v>
      </c>
      <c r="AO1626">
        <v>12129</v>
      </c>
      <c r="AU1626">
        <v>1</v>
      </c>
      <c r="AV1626" t="s">
        <v>1993</v>
      </c>
      <c r="AW1626" t="s">
        <v>3051</v>
      </c>
    </row>
    <row r="1627" spans="1:50">
      <c r="A1627" s="1" t="s">
        <v>96</v>
      </c>
      <c r="B1627" t="s">
        <v>163</v>
      </c>
      <c r="C1627" t="s">
        <v>4837</v>
      </c>
      <c r="D1627" t="s">
        <v>217</v>
      </c>
      <c r="F1627" t="s">
        <v>681</v>
      </c>
      <c r="G1627" t="s">
        <v>8646</v>
      </c>
      <c r="H1627" t="s">
        <v>10108</v>
      </c>
      <c r="I1627" t="s">
        <v>11257</v>
      </c>
      <c r="J1627" t="s">
        <v>1644</v>
      </c>
      <c r="K1627">
        <v>11206</v>
      </c>
      <c r="L1627" t="s">
        <v>1671</v>
      </c>
      <c r="M1627" t="s">
        <v>1671</v>
      </c>
      <c r="P1627" t="s">
        <v>1959</v>
      </c>
      <c r="R1627" t="s">
        <v>50</v>
      </c>
      <c r="U1627" t="s">
        <v>1973</v>
      </c>
      <c r="W1627" t="s">
        <v>217</v>
      </c>
      <c r="X1627" t="s">
        <v>13051</v>
      </c>
      <c r="Y1627" t="s">
        <v>2009</v>
      </c>
      <c r="AB1627" t="s">
        <v>14198</v>
      </c>
      <c r="AC1627" t="s">
        <v>15193</v>
      </c>
      <c r="AD1627" t="s">
        <v>16617</v>
      </c>
      <c r="AE1627" t="s">
        <v>13051</v>
      </c>
      <c r="AG1627" t="s">
        <v>1754</v>
      </c>
      <c r="AH1627" t="s">
        <v>13051</v>
      </c>
      <c r="AI1627">
        <v>2</v>
      </c>
      <c r="AJ1627">
        <v>0</v>
      </c>
      <c r="AK1627">
        <v>73.8</v>
      </c>
      <c r="AN1627" t="s">
        <v>2926</v>
      </c>
      <c r="AO1627">
        <v>12480</v>
      </c>
      <c r="AU1627">
        <v>12.9</v>
      </c>
      <c r="AV1627" t="s">
        <v>333</v>
      </c>
      <c r="AW1627" t="s">
        <v>69</v>
      </c>
    </row>
    <row r="1628" spans="1:50">
      <c r="A1628" s="1" t="s">
        <v>104</v>
      </c>
      <c r="B1628" t="s">
        <v>164</v>
      </c>
      <c r="C1628" t="s">
        <v>4838</v>
      </c>
      <c r="D1628" t="s">
        <v>293</v>
      </c>
      <c r="E1628" t="s">
        <v>1994</v>
      </c>
      <c r="F1628" t="s">
        <v>7485</v>
      </c>
      <c r="G1628" t="s">
        <v>8647</v>
      </c>
      <c r="H1628" t="s">
        <v>10109</v>
      </c>
      <c r="I1628" t="s">
        <v>1484</v>
      </c>
      <c r="J1628" t="s">
        <v>1646</v>
      </c>
      <c r="K1628">
        <v>10304</v>
      </c>
      <c r="L1628" t="s">
        <v>1670</v>
      </c>
      <c r="M1628" t="s">
        <v>1672</v>
      </c>
      <c r="N1628" t="s">
        <v>1693</v>
      </c>
      <c r="O1628" t="s">
        <v>1947</v>
      </c>
      <c r="P1628" t="s">
        <v>1959</v>
      </c>
      <c r="Q1628" t="s">
        <v>1968</v>
      </c>
      <c r="R1628" t="s">
        <v>50</v>
      </c>
      <c r="S1628" t="s">
        <v>1671</v>
      </c>
      <c r="U1628" t="s">
        <v>1980</v>
      </c>
      <c r="V1628" t="s">
        <v>1984</v>
      </c>
      <c r="W1628" t="s">
        <v>293</v>
      </c>
      <c r="X1628">
        <v>800</v>
      </c>
      <c r="Y1628" t="s">
        <v>2010</v>
      </c>
      <c r="Z1628" t="s">
        <v>2020</v>
      </c>
      <c r="AA1628" t="s">
        <v>2034</v>
      </c>
      <c r="AB1628" t="s">
        <v>14199</v>
      </c>
      <c r="AD1628" t="s">
        <v>16618</v>
      </c>
      <c r="AE1628">
        <v>6</v>
      </c>
      <c r="AF1628" t="s">
        <v>2904</v>
      </c>
      <c r="AG1628" t="s">
        <v>2916</v>
      </c>
      <c r="AH1628">
        <v>4</v>
      </c>
      <c r="AI1628">
        <v>2</v>
      </c>
      <c r="AJ1628">
        <v>0</v>
      </c>
      <c r="AK1628">
        <v>73.94</v>
      </c>
      <c r="AN1628" t="s">
        <v>2926</v>
      </c>
      <c r="AO1628">
        <v>12504</v>
      </c>
      <c r="AU1628">
        <v>2.7</v>
      </c>
      <c r="AV1628" t="s">
        <v>1994</v>
      </c>
      <c r="AW1628" t="s">
        <v>3050</v>
      </c>
      <c r="AX1628" t="s">
        <v>18685</v>
      </c>
    </row>
    <row r="1629" spans="1:50">
      <c r="A1629" s="1" t="s">
        <v>119</v>
      </c>
      <c r="B1629" t="s">
        <v>164</v>
      </c>
      <c r="C1629" t="s">
        <v>4839</v>
      </c>
      <c r="D1629" t="s">
        <v>254</v>
      </c>
      <c r="E1629" t="s">
        <v>177</v>
      </c>
      <c r="F1629" t="s">
        <v>7486</v>
      </c>
      <c r="G1629" t="s">
        <v>7916</v>
      </c>
      <c r="H1629" t="s">
        <v>10110</v>
      </c>
      <c r="I1629" t="s">
        <v>1539</v>
      </c>
      <c r="J1629" t="s">
        <v>1644</v>
      </c>
      <c r="K1629">
        <v>11233</v>
      </c>
      <c r="L1629" t="s">
        <v>1670</v>
      </c>
      <c r="M1629" t="s">
        <v>1670</v>
      </c>
      <c r="N1629" t="s">
        <v>12304</v>
      </c>
      <c r="O1629" t="s">
        <v>1940</v>
      </c>
      <c r="P1629" t="s">
        <v>1958</v>
      </c>
      <c r="Q1629" t="s">
        <v>1965</v>
      </c>
      <c r="R1629" t="s">
        <v>50</v>
      </c>
      <c r="S1629" t="s">
        <v>13025</v>
      </c>
      <c r="U1629" t="s">
        <v>1972</v>
      </c>
      <c r="W1629" t="s">
        <v>195</v>
      </c>
      <c r="X1629">
        <v>650</v>
      </c>
      <c r="Y1629" t="s">
        <v>2009</v>
      </c>
      <c r="Z1629" t="s">
        <v>2022</v>
      </c>
      <c r="AA1629" t="s">
        <v>2029</v>
      </c>
      <c r="AB1629" t="s">
        <v>14200</v>
      </c>
      <c r="AC1629" t="s">
        <v>1754</v>
      </c>
      <c r="AD1629" t="s">
        <v>16619</v>
      </c>
      <c r="AE1629">
        <v>10</v>
      </c>
      <c r="AH1629">
        <v>3</v>
      </c>
      <c r="AI1629">
        <v>1</v>
      </c>
      <c r="AJ1629">
        <v>0</v>
      </c>
      <c r="AK1629">
        <v>73.98</v>
      </c>
      <c r="AN1629" t="s">
        <v>2926</v>
      </c>
      <c r="AO1629">
        <v>9240</v>
      </c>
      <c r="AU1629">
        <v>2.2</v>
      </c>
      <c r="AV1629" t="s">
        <v>195</v>
      </c>
      <c r="AW1629" t="s">
        <v>18658</v>
      </c>
      <c r="AX1629" t="s">
        <v>18685</v>
      </c>
    </row>
    <row r="1630" spans="1:50">
      <c r="A1630" s="1" t="s">
        <v>72</v>
      </c>
      <c r="B1630" t="s">
        <v>163</v>
      </c>
      <c r="C1630" t="s">
        <v>4840</v>
      </c>
      <c r="D1630" t="s">
        <v>237</v>
      </c>
      <c r="F1630" t="s">
        <v>7487</v>
      </c>
      <c r="G1630" t="s">
        <v>8648</v>
      </c>
      <c r="H1630" t="s">
        <v>10111</v>
      </c>
      <c r="I1630">
        <v>602</v>
      </c>
      <c r="J1630" t="s">
        <v>1643</v>
      </c>
      <c r="K1630">
        <v>10029</v>
      </c>
      <c r="L1630" t="s">
        <v>1670</v>
      </c>
      <c r="M1630" t="s">
        <v>1670</v>
      </c>
      <c r="O1630" t="s">
        <v>1675</v>
      </c>
      <c r="P1630" t="s">
        <v>1959</v>
      </c>
      <c r="R1630" t="s">
        <v>50</v>
      </c>
      <c r="S1630" t="s">
        <v>1671</v>
      </c>
      <c r="U1630" t="s">
        <v>1972</v>
      </c>
      <c r="V1630" t="s">
        <v>1984</v>
      </c>
      <c r="W1630" t="s">
        <v>353</v>
      </c>
      <c r="X1630">
        <v>505</v>
      </c>
      <c r="Y1630" t="s">
        <v>2008</v>
      </c>
      <c r="Z1630" t="s">
        <v>2020</v>
      </c>
      <c r="AB1630" t="s">
        <v>14201</v>
      </c>
      <c r="AD1630" t="s">
        <v>16620</v>
      </c>
      <c r="AE1630">
        <v>40</v>
      </c>
      <c r="AF1630" t="s">
        <v>2908</v>
      </c>
      <c r="AG1630" t="s">
        <v>1754</v>
      </c>
      <c r="AH1630">
        <v>8</v>
      </c>
      <c r="AI1630">
        <v>1</v>
      </c>
      <c r="AJ1630">
        <v>0</v>
      </c>
      <c r="AK1630">
        <v>73.98</v>
      </c>
      <c r="AN1630" t="s">
        <v>2927</v>
      </c>
      <c r="AO1630">
        <v>9240</v>
      </c>
      <c r="AU1630">
        <v>25.6</v>
      </c>
      <c r="AV1630" t="s">
        <v>390</v>
      </c>
      <c r="AW1630" t="s">
        <v>3078</v>
      </c>
    </row>
    <row r="1631" spans="1:50">
      <c r="A1631" s="1" t="s">
        <v>94</v>
      </c>
      <c r="B1631" t="s">
        <v>163</v>
      </c>
      <c r="C1631" t="s">
        <v>4841</v>
      </c>
      <c r="D1631" t="s">
        <v>290</v>
      </c>
      <c r="F1631" t="s">
        <v>558</v>
      </c>
      <c r="G1631" t="s">
        <v>8649</v>
      </c>
      <c r="H1631" t="s">
        <v>10112</v>
      </c>
      <c r="I1631" t="s">
        <v>11258</v>
      </c>
      <c r="J1631" t="s">
        <v>1643</v>
      </c>
      <c r="K1631">
        <v>10040</v>
      </c>
      <c r="L1631" t="s">
        <v>1670</v>
      </c>
      <c r="M1631" t="s">
        <v>1672</v>
      </c>
      <c r="N1631" t="s">
        <v>12305</v>
      </c>
      <c r="O1631" t="s">
        <v>12744</v>
      </c>
      <c r="P1631" t="s">
        <v>1958</v>
      </c>
      <c r="R1631" t="s">
        <v>50</v>
      </c>
      <c r="S1631" t="s">
        <v>1671</v>
      </c>
      <c r="U1631" t="s">
        <v>1972</v>
      </c>
      <c r="W1631" t="s">
        <v>290</v>
      </c>
      <c r="X1631">
        <v>771</v>
      </c>
      <c r="Y1631" t="s">
        <v>2008</v>
      </c>
      <c r="Z1631" t="s">
        <v>2013</v>
      </c>
      <c r="AB1631" t="s">
        <v>14202</v>
      </c>
      <c r="AD1631" t="s">
        <v>16621</v>
      </c>
      <c r="AE1631">
        <v>169</v>
      </c>
      <c r="AF1631" t="s">
        <v>2906</v>
      </c>
      <c r="AG1631" t="s">
        <v>1754</v>
      </c>
      <c r="AH1631">
        <v>15</v>
      </c>
      <c r="AI1631">
        <v>1</v>
      </c>
      <c r="AJ1631">
        <v>0</v>
      </c>
      <c r="AK1631">
        <v>74.08</v>
      </c>
      <c r="AN1631" t="s">
        <v>2926</v>
      </c>
      <c r="AO1631">
        <v>9252</v>
      </c>
      <c r="AU1631">
        <v>1.8</v>
      </c>
      <c r="AV1631" t="s">
        <v>334</v>
      </c>
      <c r="AW1631" t="s">
        <v>3042</v>
      </c>
      <c r="AX1631" t="s">
        <v>18685</v>
      </c>
    </row>
    <row r="1632" spans="1:50">
      <c r="A1632" s="1" t="s">
        <v>134</v>
      </c>
      <c r="B1632" t="s">
        <v>163</v>
      </c>
      <c r="C1632" t="s">
        <v>4842</v>
      </c>
      <c r="D1632" t="s">
        <v>286</v>
      </c>
      <c r="F1632" t="s">
        <v>427</v>
      </c>
      <c r="G1632" t="s">
        <v>806</v>
      </c>
      <c r="H1632" t="s">
        <v>10113</v>
      </c>
      <c r="I1632" t="s">
        <v>1525</v>
      </c>
      <c r="J1632" t="s">
        <v>1643</v>
      </c>
      <c r="K1632">
        <v>10034</v>
      </c>
      <c r="L1632" t="s">
        <v>1670</v>
      </c>
      <c r="M1632" t="s">
        <v>1670</v>
      </c>
      <c r="O1632" t="s">
        <v>1945</v>
      </c>
      <c r="P1632" t="s">
        <v>1962</v>
      </c>
      <c r="R1632" t="s">
        <v>50</v>
      </c>
      <c r="S1632" t="s">
        <v>1671</v>
      </c>
      <c r="U1632" t="s">
        <v>1972</v>
      </c>
      <c r="W1632" t="s">
        <v>286</v>
      </c>
      <c r="X1632">
        <v>880.9</v>
      </c>
      <c r="Y1632" t="s">
        <v>2008</v>
      </c>
      <c r="Z1632" t="s">
        <v>2013</v>
      </c>
      <c r="AB1632" t="s">
        <v>14203</v>
      </c>
      <c r="AD1632" t="s">
        <v>16622</v>
      </c>
      <c r="AE1632">
        <v>40</v>
      </c>
      <c r="AF1632" t="s">
        <v>2902</v>
      </c>
      <c r="AG1632" t="s">
        <v>2919</v>
      </c>
      <c r="AH1632">
        <v>19</v>
      </c>
      <c r="AI1632">
        <v>1</v>
      </c>
      <c r="AJ1632">
        <v>0</v>
      </c>
      <c r="AK1632">
        <v>74.08</v>
      </c>
      <c r="AN1632" t="s">
        <v>2927</v>
      </c>
      <c r="AO1632">
        <v>9252</v>
      </c>
      <c r="AU1632">
        <v>10.3</v>
      </c>
      <c r="AV1632" t="s">
        <v>346</v>
      </c>
      <c r="AW1632" t="s">
        <v>3042</v>
      </c>
      <c r="AX1632" t="s">
        <v>18685</v>
      </c>
    </row>
    <row r="1633" spans="1:50">
      <c r="A1633" s="1" t="s">
        <v>72</v>
      </c>
      <c r="B1633" t="s">
        <v>163</v>
      </c>
      <c r="C1633" t="s">
        <v>4843</v>
      </c>
      <c r="D1633" t="s">
        <v>327</v>
      </c>
      <c r="F1633" t="s">
        <v>7298</v>
      </c>
      <c r="G1633" t="s">
        <v>8612</v>
      </c>
      <c r="H1633" t="s">
        <v>10114</v>
      </c>
      <c r="I1633" t="s">
        <v>11050</v>
      </c>
      <c r="J1633" t="s">
        <v>1643</v>
      </c>
      <c r="K1633">
        <v>10035</v>
      </c>
      <c r="L1633" t="s">
        <v>1670</v>
      </c>
      <c r="M1633" t="s">
        <v>1670</v>
      </c>
      <c r="N1633" t="s">
        <v>12306</v>
      </c>
      <c r="O1633" t="s">
        <v>1936</v>
      </c>
      <c r="P1633" t="s">
        <v>1963</v>
      </c>
      <c r="R1633" t="s">
        <v>50</v>
      </c>
      <c r="S1633" t="s">
        <v>1671</v>
      </c>
      <c r="U1633" t="s">
        <v>1972</v>
      </c>
      <c r="V1633" t="s">
        <v>1984</v>
      </c>
      <c r="W1633" t="s">
        <v>269</v>
      </c>
      <c r="X1633">
        <v>1978</v>
      </c>
      <c r="Y1633" t="s">
        <v>2008</v>
      </c>
      <c r="Z1633" t="s">
        <v>2013</v>
      </c>
      <c r="AB1633" t="s">
        <v>14204</v>
      </c>
      <c r="AD1633" t="s">
        <v>16623</v>
      </c>
      <c r="AE1633">
        <v>72</v>
      </c>
      <c r="AF1633" t="s">
        <v>2902</v>
      </c>
      <c r="AG1633" t="s">
        <v>2915</v>
      </c>
      <c r="AH1633">
        <v>36</v>
      </c>
      <c r="AI1633">
        <v>1</v>
      </c>
      <c r="AJ1633">
        <v>0</v>
      </c>
      <c r="AK1633">
        <v>74.08</v>
      </c>
      <c r="AN1633" t="s">
        <v>2926</v>
      </c>
      <c r="AO1633">
        <v>9252</v>
      </c>
      <c r="AU1633">
        <v>10.1</v>
      </c>
      <c r="AV1633" t="s">
        <v>289</v>
      </c>
      <c r="AW1633" t="s">
        <v>3068</v>
      </c>
      <c r="AX1633" t="s">
        <v>18685</v>
      </c>
    </row>
    <row r="1634" spans="1:50">
      <c r="A1634" s="1" t="s">
        <v>74</v>
      </c>
      <c r="B1634" t="s">
        <v>163</v>
      </c>
      <c r="C1634" t="s">
        <v>4844</v>
      </c>
      <c r="D1634" t="s">
        <v>191</v>
      </c>
      <c r="F1634" t="s">
        <v>7488</v>
      </c>
      <c r="G1634" t="s">
        <v>848</v>
      </c>
      <c r="H1634" t="s">
        <v>1131</v>
      </c>
      <c r="I1634" t="s">
        <v>1475</v>
      </c>
      <c r="J1634" t="s">
        <v>1641</v>
      </c>
      <c r="K1634">
        <v>10460</v>
      </c>
      <c r="L1634" t="s">
        <v>1670</v>
      </c>
      <c r="M1634" t="s">
        <v>1672</v>
      </c>
      <c r="O1634" t="s">
        <v>1675</v>
      </c>
      <c r="P1634" t="s">
        <v>1959</v>
      </c>
      <c r="R1634" t="s">
        <v>50</v>
      </c>
      <c r="S1634" t="s">
        <v>1670</v>
      </c>
      <c r="U1634" t="s">
        <v>1972</v>
      </c>
      <c r="W1634" t="s">
        <v>1991</v>
      </c>
      <c r="X1634">
        <v>1583</v>
      </c>
      <c r="Y1634" t="s">
        <v>2006</v>
      </c>
      <c r="Z1634" t="s">
        <v>2015</v>
      </c>
      <c r="AB1634" t="s">
        <v>14205</v>
      </c>
      <c r="AC1634" t="s">
        <v>15194</v>
      </c>
      <c r="AD1634" t="s">
        <v>16624</v>
      </c>
      <c r="AE1634">
        <v>168</v>
      </c>
      <c r="AF1634" t="s">
        <v>2902</v>
      </c>
      <c r="AG1634" t="s">
        <v>2915</v>
      </c>
      <c r="AH1634">
        <v>3</v>
      </c>
      <c r="AI1634">
        <v>1</v>
      </c>
      <c r="AJ1634">
        <v>0</v>
      </c>
      <c r="AK1634">
        <v>74.08</v>
      </c>
      <c r="AN1634" t="s">
        <v>2926</v>
      </c>
      <c r="AO1634">
        <v>9252</v>
      </c>
      <c r="AU1634" t="s">
        <v>13051</v>
      </c>
      <c r="AW1634" t="s">
        <v>3054</v>
      </c>
      <c r="AX1634" t="s">
        <v>18685</v>
      </c>
    </row>
    <row r="1635" spans="1:50">
      <c r="A1635" s="1" t="s">
        <v>90</v>
      </c>
      <c r="B1635" t="s">
        <v>164</v>
      </c>
      <c r="C1635" t="s">
        <v>4845</v>
      </c>
      <c r="D1635" t="s">
        <v>3039</v>
      </c>
      <c r="E1635" t="s">
        <v>361</v>
      </c>
      <c r="F1635" t="s">
        <v>7489</v>
      </c>
      <c r="G1635" t="s">
        <v>8650</v>
      </c>
      <c r="H1635" t="s">
        <v>10115</v>
      </c>
      <c r="I1635" t="s">
        <v>1549</v>
      </c>
      <c r="J1635" t="s">
        <v>1646</v>
      </c>
      <c r="K1635">
        <v>10301</v>
      </c>
      <c r="L1635" t="s">
        <v>1670</v>
      </c>
      <c r="M1635" t="s">
        <v>1672</v>
      </c>
      <c r="O1635" t="s">
        <v>1954</v>
      </c>
      <c r="P1635" t="s">
        <v>1961</v>
      </c>
      <c r="Q1635" t="s">
        <v>1969</v>
      </c>
      <c r="R1635" t="s">
        <v>50</v>
      </c>
      <c r="S1635" t="s">
        <v>1671</v>
      </c>
      <c r="U1635" t="s">
        <v>1972</v>
      </c>
      <c r="V1635" t="s">
        <v>1984</v>
      </c>
      <c r="W1635" t="s">
        <v>3039</v>
      </c>
      <c r="X1635">
        <v>1213</v>
      </c>
      <c r="Y1635" t="s">
        <v>2010</v>
      </c>
      <c r="Z1635" t="s">
        <v>2017</v>
      </c>
      <c r="AA1635" t="s">
        <v>2043</v>
      </c>
      <c r="AB1635" t="s">
        <v>14206</v>
      </c>
      <c r="AD1635" t="s">
        <v>16625</v>
      </c>
      <c r="AE1635" t="s">
        <v>13051</v>
      </c>
      <c r="AG1635" t="s">
        <v>2916</v>
      </c>
      <c r="AH1635">
        <v>1</v>
      </c>
      <c r="AI1635">
        <v>1</v>
      </c>
      <c r="AJ1635">
        <v>0</v>
      </c>
      <c r="AK1635">
        <v>74.08</v>
      </c>
      <c r="AN1635" t="s">
        <v>2926</v>
      </c>
      <c r="AO1635">
        <v>9252</v>
      </c>
      <c r="AU1635">
        <v>4.45</v>
      </c>
      <c r="AV1635" t="s">
        <v>403</v>
      </c>
      <c r="AW1635" t="s">
        <v>3050</v>
      </c>
      <c r="AX1635" t="s">
        <v>18685</v>
      </c>
    </row>
    <row r="1636" spans="1:50">
      <c r="A1636" s="1" t="s">
        <v>119</v>
      </c>
      <c r="B1636" t="s">
        <v>164</v>
      </c>
      <c r="C1636" t="s">
        <v>4846</v>
      </c>
      <c r="D1636" t="s">
        <v>322</v>
      </c>
      <c r="E1636" t="s">
        <v>171</v>
      </c>
      <c r="F1636" t="s">
        <v>7490</v>
      </c>
      <c r="G1636" t="s">
        <v>8651</v>
      </c>
      <c r="H1636" t="s">
        <v>10116</v>
      </c>
      <c r="I1636" t="s">
        <v>1525</v>
      </c>
      <c r="J1636" t="s">
        <v>1644</v>
      </c>
      <c r="K1636">
        <v>11239</v>
      </c>
      <c r="L1636" t="s">
        <v>1670</v>
      </c>
      <c r="M1636" t="s">
        <v>1670</v>
      </c>
      <c r="N1636" t="s">
        <v>12307</v>
      </c>
      <c r="O1636" t="s">
        <v>1954</v>
      </c>
      <c r="P1636" t="s">
        <v>1960</v>
      </c>
      <c r="Q1636" t="s">
        <v>1967</v>
      </c>
      <c r="R1636" t="s">
        <v>50</v>
      </c>
      <c r="S1636" t="s">
        <v>1671</v>
      </c>
      <c r="U1636" t="s">
        <v>1972</v>
      </c>
      <c r="V1636" t="s">
        <v>1986</v>
      </c>
      <c r="W1636" t="s">
        <v>240</v>
      </c>
      <c r="X1636">
        <v>100</v>
      </c>
      <c r="Y1636" t="s">
        <v>2009</v>
      </c>
      <c r="Z1636" t="s">
        <v>2020</v>
      </c>
      <c r="AA1636" t="s">
        <v>2032</v>
      </c>
      <c r="AB1636" t="s">
        <v>14207</v>
      </c>
      <c r="AD1636" t="s">
        <v>16626</v>
      </c>
      <c r="AE1636">
        <v>20</v>
      </c>
      <c r="AH1636">
        <v>3</v>
      </c>
      <c r="AI1636">
        <v>1</v>
      </c>
      <c r="AJ1636">
        <v>0</v>
      </c>
      <c r="AK1636">
        <v>74.08</v>
      </c>
      <c r="AN1636" t="s">
        <v>2926</v>
      </c>
      <c r="AO1636">
        <v>9252</v>
      </c>
      <c r="AU1636">
        <v>9.300000000000001</v>
      </c>
      <c r="AV1636" t="s">
        <v>1999</v>
      </c>
      <c r="AW1636" t="s">
        <v>3049</v>
      </c>
      <c r="AX1636" t="s">
        <v>18685</v>
      </c>
    </row>
    <row r="1637" spans="1:50">
      <c r="A1637" s="1" t="s">
        <v>3172</v>
      </c>
      <c r="B1637" t="s">
        <v>163</v>
      </c>
      <c r="C1637" t="s">
        <v>4847</v>
      </c>
      <c r="D1637" t="s">
        <v>230</v>
      </c>
      <c r="F1637" t="s">
        <v>7491</v>
      </c>
      <c r="G1637" t="s">
        <v>8652</v>
      </c>
      <c r="H1637" t="s">
        <v>9811</v>
      </c>
      <c r="I1637" t="s">
        <v>1517</v>
      </c>
      <c r="J1637" t="s">
        <v>1668</v>
      </c>
      <c r="K1637">
        <v>11354</v>
      </c>
      <c r="L1637" t="s">
        <v>1670</v>
      </c>
      <c r="M1637" t="s">
        <v>1672</v>
      </c>
      <c r="N1637" t="s">
        <v>12308</v>
      </c>
      <c r="O1637" t="s">
        <v>1940</v>
      </c>
      <c r="P1637" t="s">
        <v>1960</v>
      </c>
      <c r="R1637" t="s">
        <v>50</v>
      </c>
      <c r="S1637" t="s">
        <v>1671</v>
      </c>
      <c r="U1637" t="s">
        <v>1972</v>
      </c>
      <c r="V1637" t="s">
        <v>1984</v>
      </c>
      <c r="W1637" t="s">
        <v>230</v>
      </c>
      <c r="X1637">
        <v>500</v>
      </c>
      <c r="Y1637" t="s">
        <v>2007</v>
      </c>
      <c r="Z1637" t="s">
        <v>2014</v>
      </c>
      <c r="AB1637" t="s">
        <v>14208</v>
      </c>
      <c r="AC1637" t="s">
        <v>15077</v>
      </c>
      <c r="AD1637" t="s">
        <v>16627</v>
      </c>
      <c r="AE1637">
        <v>175</v>
      </c>
      <c r="AF1637" t="s">
        <v>2902</v>
      </c>
      <c r="AG1637" t="s">
        <v>1754</v>
      </c>
      <c r="AH1637">
        <v>3</v>
      </c>
      <c r="AI1637">
        <v>1</v>
      </c>
      <c r="AJ1637">
        <v>0</v>
      </c>
      <c r="AK1637">
        <v>74.08</v>
      </c>
      <c r="AN1637" t="s">
        <v>2926</v>
      </c>
      <c r="AO1637">
        <v>9252</v>
      </c>
      <c r="AU1637">
        <v>10.65</v>
      </c>
      <c r="AV1637" t="s">
        <v>3034</v>
      </c>
      <c r="AW1637" t="s">
        <v>3172</v>
      </c>
      <c r="AX1637" t="s">
        <v>18685</v>
      </c>
    </row>
    <row r="1638" spans="1:50">
      <c r="A1638" s="1" t="s">
        <v>154</v>
      </c>
      <c r="B1638" t="s">
        <v>163</v>
      </c>
      <c r="C1638" t="s">
        <v>4848</v>
      </c>
      <c r="D1638" t="s">
        <v>361</v>
      </c>
      <c r="F1638" t="s">
        <v>7492</v>
      </c>
      <c r="G1638" t="s">
        <v>780</v>
      </c>
      <c r="H1638" t="s">
        <v>10117</v>
      </c>
      <c r="I1638" t="s">
        <v>1477</v>
      </c>
      <c r="J1638" t="s">
        <v>1643</v>
      </c>
      <c r="K1638">
        <v>10029</v>
      </c>
      <c r="L1638" t="s">
        <v>1670</v>
      </c>
      <c r="M1638" t="s">
        <v>1672</v>
      </c>
      <c r="N1638" t="s">
        <v>12309</v>
      </c>
      <c r="O1638" t="s">
        <v>1936</v>
      </c>
      <c r="P1638" t="s">
        <v>1960</v>
      </c>
      <c r="R1638" t="s">
        <v>50</v>
      </c>
      <c r="S1638" t="s">
        <v>1671</v>
      </c>
      <c r="U1638" t="s">
        <v>1972</v>
      </c>
      <c r="W1638" t="s">
        <v>361</v>
      </c>
      <c r="X1638">
        <v>369.12</v>
      </c>
      <c r="Y1638" t="s">
        <v>2008</v>
      </c>
      <c r="Z1638" t="s">
        <v>2014</v>
      </c>
      <c r="AB1638" t="s">
        <v>14209</v>
      </c>
      <c r="AD1638" t="s">
        <v>16628</v>
      </c>
      <c r="AE1638" t="s">
        <v>13051</v>
      </c>
      <c r="AF1638" t="s">
        <v>2904</v>
      </c>
      <c r="AG1638" t="s">
        <v>1754</v>
      </c>
      <c r="AH1638">
        <v>7</v>
      </c>
      <c r="AI1638">
        <v>1</v>
      </c>
      <c r="AJ1638">
        <v>0</v>
      </c>
      <c r="AK1638">
        <v>74.08</v>
      </c>
      <c r="AN1638" t="s">
        <v>2927</v>
      </c>
      <c r="AO1638">
        <v>9252</v>
      </c>
      <c r="AU1638">
        <v>3.3</v>
      </c>
      <c r="AV1638" t="s">
        <v>333</v>
      </c>
      <c r="AW1638" t="s">
        <v>3048</v>
      </c>
      <c r="AX1638" t="s">
        <v>18685</v>
      </c>
    </row>
    <row r="1639" spans="1:50">
      <c r="A1639" s="1" t="s">
        <v>93</v>
      </c>
      <c r="B1639" t="s">
        <v>164</v>
      </c>
      <c r="C1639" t="s">
        <v>4849</v>
      </c>
      <c r="D1639" t="s">
        <v>314</v>
      </c>
      <c r="E1639" t="s">
        <v>174</v>
      </c>
      <c r="F1639" t="s">
        <v>7078</v>
      </c>
      <c r="G1639" t="s">
        <v>8653</v>
      </c>
      <c r="H1639" t="s">
        <v>10118</v>
      </c>
      <c r="J1639" t="s">
        <v>1645</v>
      </c>
      <c r="K1639">
        <v>11691</v>
      </c>
      <c r="L1639" t="s">
        <v>1670</v>
      </c>
      <c r="M1639" t="s">
        <v>1670</v>
      </c>
      <c r="N1639" t="s">
        <v>12310</v>
      </c>
      <c r="O1639" t="s">
        <v>1940</v>
      </c>
      <c r="P1639" t="s">
        <v>1958</v>
      </c>
      <c r="Q1639" t="s">
        <v>1965</v>
      </c>
      <c r="R1639" t="s">
        <v>50</v>
      </c>
      <c r="S1639" t="s">
        <v>1671</v>
      </c>
      <c r="U1639" t="s">
        <v>1972</v>
      </c>
      <c r="V1639" t="s">
        <v>1984</v>
      </c>
      <c r="W1639" t="s">
        <v>314</v>
      </c>
      <c r="X1639">
        <v>800</v>
      </c>
      <c r="Y1639" t="s">
        <v>2007</v>
      </c>
      <c r="Z1639" t="s">
        <v>2014</v>
      </c>
      <c r="AA1639" t="s">
        <v>2029</v>
      </c>
      <c r="AB1639" t="s">
        <v>14210</v>
      </c>
      <c r="AC1639" t="s">
        <v>15195</v>
      </c>
      <c r="AD1639" t="s">
        <v>16629</v>
      </c>
      <c r="AE1639">
        <v>2</v>
      </c>
      <c r="AF1639" t="s">
        <v>2903</v>
      </c>
      <c r="AG1639" t="s">
        <v>2916</v>
      </c>
      <c r="AH1639">
        <v>4</v>
      </c>
      <c r="AI1639">
        <v>1</v>
      </c>
      <c r="AJ1639">
        <v>0</v>
      </c>
      <c r="AK1639">
        <v>74.14</v>
      </c>
      <c r="AN1639" t="s">
        <v>2927</v>
      </c>
      <c r="AO1639">
        <v>9000</v>
      </c>
      <c r="AU1639">
        <v>1.7</v>
      </c>
      <c r="AV1639" t="s">
        <v>174</v>
      </c>
      <c r="AW1639" t="s">
        <v>85</v>
      </c>
    </row>
    <row r="1640" spans="1:50">
      <c r="A1640" s="1" t="s">
        <v>3044</v>
      </c>
      <c r="B1640" t="s">
        <v>164</v>
      </c>
      <c r="C1640" t="s">
        <v>4850</v>
      </c>
      <c r="D1640" t="s">
        <v>194</v>
      </c>
      <c r="E1640" t="s">
        <v>292</v>
      </c>
      <c r="F1640" t="s">
        <v>460</v>
      </c>
      <c r="G1640" t="s">
        <v>770</v>
      </c>
      <c r="H1640" t="s">
        <v>10119</v>
      </c>
      <c r="I1640" t="s">
        <v>1487</v>
      </c>
      <c r="J1640" t="s">
        <v>1668</v>
      </c>
      <c r="K1640">
        <v>11367</v>
      </c>
      <c r="L1640" t="s">
        <v>1670</v>
      </c>
      <c r="M1640" t="s">
        <v>1670</v>
      </c>
      <c r="N1640" t="s">
        <v>12311</v>
      </c>
      <c r="O1640" t="s">
        <v>1940</v>
      </c>
      <c r="P1640" t="s">
        <v>1958</v>
      </c>
      <c r="Q1640" t="s">
        <v>1965</v>
      </c>
      <c r="R1640" t="s">
        <v>50</v>
      </c>
      <c r="S1640" t="s">
        <v>1671</v>
      </c>
      <c r="U1640" t="s">
        <v>1972</v>
      </c>
      <c r="V1640" t="s">
        <v>1984</v>
      </c>
      <c r="W1640" t="s">
        <v>194</v>
      </c>
      <c r="X1640">
        <v>950</v>
      </c>
      <c r="Y1640" t="s">
        <v>2007</v>
      </c>
      <c r="Z1640" t="s">
        <v>2020</v>
      </c>
      <c r="AA1640" t="s">
        <v>2029</v>
      </c>
      <c r="AB1640" t="s">
        <v>14211</v>
      </c>
      <c r="AC1640" t="s">
        <v>15196</v>
      </c>
      <c r="AD1640" t="s">
        <v>16630</v>
      </c>
      <c r="AE1640">
        <v>3</v>
      </c>
      <c r="AF1640" t="s">
        <v>2902</v>
      </c>
      <c r="AG1640" t="s">
        <v>2921</v>
      </c>
      <c r="AH1640">
        <v>30</v>
      </c>
      <c r="AI1640">
        <v>1</v>
      </c>
      <c r="AJ1640">
        <v>0</v>
      </c>
      <c r="AK1640">
        <v>74.14</v>
      </c>
      <c r="AN1640" t="s">
        <v>2926</v>
      </c>
      <c r="AO1640">
        <v>9000</v>
      </c>
      <c r="AU1640">
        <v>1.1</v>
      </c>
      <c r="AV1640" t="s">
        <v>292</v>
      </c>
      <c r="AW1640" t="s">
        <v>3044</v>
      </c>
    </row>
    <row r="1641" spans="1:50">
      <c r="A1641" s="1" t="s">
        <v>3151</v>
      </c>
      <c r="B1641" t="s">
        <v>164</v>
      </c>
      <c r="C1641" t="s">
        <v>4851</v>
      </c>
      <c r="D1641" t="s">
        <v>2003</v>
      </c>
      <c r="E1641" t="s">
        <v>306</v>
      </c>
      <c r="F1641" t="s">
        <v>7493</v>
      </c>
      <c r="G1641" t="s">
        <v>8017</v>
      </c>
      <c r="H1641" t="s">
        <v>10120</v>
      </c>
      <c r="I1641" t="s">
        <v>1488</v>
      </c>
      <c r="J1641" t="s">
        <v>1644</v>
      </c>
      <c r="K1641">
        <v>11233</v>
      </c>
      <c r="L1641" t="s">
        <v>1670</v>
      </c>
      <c r="M1641" t="s">
        <v>1670</v>
      </c>
      <c r="N1641" t="s">
        <v>12312</v>
      </c>
      <c r="O1641" t="s">
        <v>1940</v>
      </c>
      <c r="P1641" t="s">
        <v>1958</v>
      </c>
      <c r="Q1641" t="s">
        <v>1965</v>
      </c>
      <c r="R1641" t="s">
        <v>50</v>
      </c>
      <c r="U1641" t="s">
        <v>1972</v>
      </c>
      <c r="W1641" t="s">
        <v>306</v>
      </c>
      <c r="X1641">
        <v>173</v>
      </c>
      <c r="Y1641" t="s">
        <v>2009</v>
      </c>
      <c r="Z1641" t="s">
        <v>13056</v>
      </c>
      <c r="AA1641" t="s">
        <v>2029</v>
      </c>
      <c r="AB1641" t="s">
        <v>14212</v>
      </c>
      <c r="AC1641" t="s">
        <v>15197</v>
      </c>
      <c r="AD1641" t="s">
        <v>16631</v>
      </c>
      <c r="AE1641">
        <v>6</v>
      </c>
      <c r="AF1641" t="s">
        <v>2907</v>
      </c>
      <c r="AG1641" t="s">
        <v>2915</v>
      </c>
      <c r="AH1641">
        <v>24</v>
      </c>
      <c r="AI1641">
        <v>1</v>
      </c>
      <c r="AJ1641">
        <v>0</v>
      </c>
      <c r="AK1641">
        <v>74.14</v>
      </c>
      <c r="AN1641" t="s">
        <v>2926</v>
      </c>
      <c r="AO1641">
        <v>9000</v>
      </c>
      <c r="AP1641" t="s">
        <v>18295</v>
      </c>
      <c r="AU1641">
        <v>5.45</v>
      </c>
      <c r="AV1641" t="s">
        <v>370</v>
      </c>
      <c r="AW1641" t="s">
        <v>3066</v>
      </c>
    </row>
    <row r="1642" spans="1:50">
      <c r="A1642" s="1" t="s">
        <v>119</v>
      </c>
      <c r="B1642" t="s">
        <v>164</v>
      </c>
      <c r="C1642" t="s">
        <v>4852</v>
      </c>
      <c r="D1642" t="s">
        <v>6137</v>
      </c>
      <c r="E1642" t="s">
        <v>262</v>
      </c>
      <c r="F1642" t="s">
        <v>7236</v>
      </c>
      <c r="G1642" t="s">
        <v>8654</v>
      </c>
      <c r="H1642" t="s">
        <v>10121</v>
      </c>
      <c r="I1642">
        <v>1</v>
      </c>
      <c r="J1642" t="s">
        <v>1644</v>
      </c>
      <c r="K1642">
        <v>11208</v>
      </c>
      <c r="L1642" t="s">
        <v>1670</v>
      </c>
      <c r="M1642" t="s">
        <v>1670</v>
      </c>
      <c r="N1642" t="s">
        <v>12313</v>
      </c>
      <c r="O1642" t="s">
        <v>1940</v>
      </c>
      <c r="P1642" t="s">
        <v>1958</v>
      </c>
      <c r="Q1642" t="s">
        <v>1965</v>
      </c>
      <c r="R1642" t="s">
        <v>50</v>
      </c>
      <c r="U1642" t="s">
        <v>1972</v>
      </c>
      <c r="W1642" t="s">
        <v>6137</v>
      </c>
      <c r="X1642">
        <v>1350</v>
      </c>
      <c r="Y1642" t="s">
        <v>2009</v>
      </c>
      <c r="Z1642" t="s">
        <v>2014</v>
      </c>
      <c r="AA1642" t="s">
        <v>2029</v>
      </c>
      <c r="AB1642" t="s">
        <v>14213</v>
      </c>
      <c r="AD1642" t="s">
        <v>16632</v>
      </c>
      <c r="AE1642">
        <v>2</v>
      </c>
      <c r="AF1642" t="s">
        <v>2909</v>
      </c>
      <c r="AG1642" t="s">
        <v>2915</v>
      </c>
      <c r="AH1642">
        <v>7</v>
      </c>
      <c r="AI1642">
        <v>1</v>
      </c>
      <c r="AJ1642">
        <v>0</v>
      </c>
      <c r="AK1642">
        <v>74.14</v>
      </c>
      <c r="AN1642" t="s">
        <v>2926</v>
      </c>
      <c r="AO1642">
        <v>9000</v>
      </c>
      <c r="AU1642">
        <v>3.6</v>
      </c>
      <c r="AV1642" t="s">
        <v>209</v>
      </c>
      <c r="AW1642" t="s">
        <v>3074</v>
      </c>
    </row>
    <row r="1643" spans="1:50">
      <c r="A1643" s="1" t="s">
        <v>57</v>
      </c>
      <c r="B1643" t="s">
        <v>164</v>
      </c>
      <c r="C1643" t="s">
        <v>4853</v>
      </c>
      <c r="D1643" t="s">
        <v>323</v>
      </c>
      <c r="E1643" t="s">
        <v>323</v>
      </c>
      <c r="F1643" t="s">
        <v>649</v>
      </c>
      <c r="G1643" t="s">
        <v>8574</v>
      </c>
      <c r="H1643" t="s">
        <v>10122</v>
      </c>
      <c r="I1643" t="s">
        <v>1475</v>
      </c>
      <c r="J1643" t="s">
        <v>1641</v>
      </c>
      <c r="K1643">
        <v>10459</v>
      </c>
      <c r="L1643" t="s">
        <v>1670</v>
      </c>
      <c r="M1643" t="s">
        <v>1670</v>
      </c>
      <c r="O1643" t="s">
        <v>1675</v>
      </c>
      <c r="P1643" t="s">
        <v>1958</v>
      </c>
      <c r="Q1643" t="s">
        <v>1965</v>
      </c>
      <c r="R1643" t="s">
        <v>50</v>
      </c>
      <c r="S1643" t="s">
        <v>1671</v>
      </c>
      <c r="T1643" t="s">
        <v>50</v>
      </c>
      <c r="U1643" t="s">
        <v>1972</v>
      </c>
      <c r="V1643" t="s">
        <v>1984</v>
      </c>
      <c r="W1643" t="s">
        <v>228</v>
      </c>
      <c r="X1643">
        <v>1300</v>
      </c>
      <c r="Y1643" t="s">
        <v>2006</v>
      </c>
      <c r="Z1643" t="s">
        <v>2015</v>
      </c>
      <c r="AA1643" t="s">
        <v>2029</v>
      </c>
      <c r="AB1643" t="s">
        <v>14214</v>
      </c>
      <c r="AD1643" t="s">
        <v>16633</v>
      </c>
      <c r="AE1643">
        <v>27</v>
      </c>
      <c r="AF1643" t="s">
        <v>2909</v>
      </c>
      <c r="AH1643">
        <v>19</v>
      </c>
      <c r="AI1643">
        <v>1</v>
      </c>
      <c r="AJ1643">
        <v>0</v>
      </c>
      <c r="AK1643">
        <v>74.14</v>
      </c>
      <c r="AN1643" t="s">
        <v>2926</v>
      </c>
      <c r="AO1643">
        <v>9000</v>
      </c>
      <c r="AU1643">
        <v>0.1</v>
      </c>
      <c r="AV1643" t="s">
        <v>323</v>
      </c>
      <c r="AW1643" t="s">
        <v>57</v>
      </c>
    </row>
    <row r="1644" spans="1:50">
      <c r="A1644" s="1" t="s">
        <v>115</v>
      </c>
      <c r="B1644" t="s">
        <v>164</v>
      </c>
      <c r="C1644" t="s">
        <v>4854</v>
      </c>
      <c r="D1644" t="s">
        <v>264</v>
      </c>
      <c r="E1644" t="s">
        <v>297</v>
      </c>
      <c r="F1644" t="s">
        <v>7494</v>
      </c>
      <c r="G1644" t="s">
        <v>896</v>
      </c>
      <c r="H1644" t="s">
        <v>10123</v>
      </c>
      <c r="I1644" t="s">
        <v>1551</v>
      </c>
      <c r="J1644" t="s">
        <v>1641</v>
      </c>
      <c r="K1644">
        <v>10453</v>
      </c>
      <c r="L1644" t="s">
        <v>1670</v>
      </c>
      <c r="M1644" t="s">
        <v>1670</v>
      </c>
      <c r="O1644" t="s">
        <v>1675</v>
      </c>
      <c r="P1644" t="s">
        <v>1958</v>
      </c>
      <c r="Q1644" t="s">
        <v>1965</v>
      </c>
      <c r="R1644" t="s">
        <v>50</v>
      </c>
      <c r="S1644" t="s">
        <v>1671</v>
      </c>
      <c r="U1644" t="s">
        <v>1972</v>
      </c>
      <c r="W1644" t="s">
        <v>264</v>
      </c>
      <c r="X1644">
        <v>1380.6</v>
      </c>
      <c r="Y1644" t="s">
        <v>2006</v>
      </c>
      <c r="Z1644" t="s">
        <v>2013</v>
      </c>
      <c r="AA1644" t="s">
        <v>2029</v>
      </c>
      <c r="AB1644" t="s">
        <v>13560</v>
      </c>
      <c r="AD1644" t="s">
        <v>16634</v>
      </c>
      <c r="AE1644">
        <v>278</v>
      </c>
      <c r="AF1644" t="s">
        <v>2902</v>
      </c>
      <c r="AG1644" t="s">
        <v>2915</v>
      </c>
      <c r="AH1644">
        <v>26</v>
      </c>
      <c r="AI1644">
        <v>1</v>
      </c>
      <c r="AJ1644">
        <v>0</v>
      </c>
      <c r="AK1644">
        <v>74.14</v>
      </c>
      <c r="AN1644" t="s">
        <v>2927</v>
      </c>
      <c r="AO1644">
        <v>9000</v>
      </c>
      <c r="AU1644">
        <v>1.5</v>
      </c>
      <c r="AV1644" t="s">
        <v>297</v>
      </c>
      <c r="AW1644" t="s">
        <v>115</v>
      </c>
    </row>
    <row r="1645" spans="1:50">
      <c r="A1645" s="1" t="s">
        <v>91</v>
      </c>
      <c r="B1645" t="s">
        <v>164</v>
      </c>
      <c r="C1645" t="s">
        <v>4855</v>
      </c>
      <c r="D1645" t="s">
        <v>332</v>
      </c>
      <c r="E1645" t="s">
        <v>285</v>
      </c>
      <c r="F1645" t="s">
        <v>6778</v>
      </c>
      <c r="G1645" t="s">
        <v>959</v>
      </c>
      <c r="H1645" t="s">
        <v>10124</v>
      </c>
      <c r="I1645" t="s">
        <v>1475</v>
      </c>
      <c r="J1645" t="s">
        <v>1643</v>
      </c>
      <c r="K1645">
        <v>10034</v>
      </c>
      <c r="L1645" t="s">
        <v>1670</v>
      </c>
      <c r="M1645" t="s">
        <v>1670</v>
      </c>
      <c r="O1645" t="s">
        <v>1675</v>
      </c>
      <c r="P1645" t="s">
        <v>1958</v>
      </c>
      <c r="Q1645" t="s">
        <v>1965</v>
      </c>
      <c r="R1645" t="s">
        <v>50</v>
      </c>
      <c r="S1645" t="s">
        <v>1671</v>
      </c>
      <c r="U1645" t="s">
        <v>1972</v>
      </c>
      <c r="W1645" t="s">
        <v>332</v>
      </c>
      <c r="X1645">
        <v>1161.29</v>
      </c>
      <c r="Y1645" t="s">
        <v>2008</v>
      </c>
      <c r="Z1645" t="s">
        <v>2013</v>
      </c>
      <c r="AA1645" t="s">
        <v>2029</v>
      </c>
      <c r="AE1645" t="s">
        <v>13051</v>
      </c>
      <c r="AF1645" t="s">
        <v>2902</v>
      </c>
      <c r="AG1645" t="s">
        <v>1754</v>
      </c>
      <c r="AH1645">
        <v>23</v>
      </c>
      <c r="AI1645">
        <v>1</v>
      </c>
      <c r="AJ1645">
        <v>0</v>
      </c>
      <c r="AK1645">
        <v>74.14</v>
      </c>
      <c r="AN1645" t="s">
        <v>2927</v>
      </c>
      <c r="AO1645">
        <v>9000</v>
      </c>
      <c r="AU1645">
        <v>0.1</v>
      </c>
      <c r="AV1645" t="s">
        <v>332</v>
      </c>
      <c r="AW1645" t="s">
        <v>3042</v>
      </c>
    </row>
    <row r="1646" spans="1:50">
      <c r="A1646" s="1" t="s">
        <v>59</v>
      </c>
      <c r="B1646" t="s">
        <v>163</v>
      </c>
      <c r="C1646" t="s">
        <v>4856</v>
      </c>
      <c r="D1646" t="s">
        <v>267</v>
      </c>
      <c r="F1646" t="s">
        <v>7300</v>
      </c>
      <c r="G1646" t="s">
        <v>877</v>
      </c>
      <c r="H1646" t="s">
        <v>10125</v>
      </c>
      <c r="I1646" t="s">
        <v>1489</v>
      </c>
      <c r="J1646" t="s">
        <v>1641</v>
      </c>
      <c r="K1646">
        <v>10456</v>
      </c>
      <c r="L1646" t="s">
        <v>1670</v>
      </c>
      <c r="M1646" t="s">
        <v>1670</v>
      </c>
      <c r="O1646" t="s">
        <v>1936</v>
      </c>
      <c r="P1646" t="s">
        <v>1958</v>
      </c>
      <c r="R1646" t="s">
        <v>50</v>
      </c>
      <c r="S1646" t="s">
        <v>1671</v>
      </c>
      <c r="U1646" t="s">
        <v>1972</v>
      </c>
      <c r="V1646" t="s">
        <v>1984</v>
      </c>
      <c r="W1646" t="s">
        <v>181</v>
      </c>
      <c r="X1646">
        <v>239</v>
      </c>
      <c r="Y1646" t="s">
        <v>2006</v>
      </c>
      <c r="Z1646" t="s">
        <v>2015</v>
      </c>
      <c r="AB1646" t="s">
        <v>14215</v>
      </c>
      <c r="AD1646" t="s">
        <v>16635</v>
      </c>
      <c r="AE1646">
        <v>46</v>
      </c>
      <c r="AF1646" t="s">
        <v>2902</v>
      </c>
      <c r="AG1646" t="s">
        <v>2915</v>
      </c>
      <c r="AH1646">
        <v>15</v>
      </c>
      <c r="AI1646">
        <v>1</v>
      </c>
      <c r="AJ1646">
        <v>0</v>
      </c>
      <c r="AK1646">
        <v>74.14</v>
      </c>
      <c r="AN1646" t="s">
        <v>2926</v>
      </c>
      <c r="AO1646">
        <v>9000</v>
      </c>
      <c r="AU1646">
        <v>1</v>
      </c>
      <c r="AV1646" t="s">
        <v>181</v>
      </c>
      <c r="AW1646" t="s">
        <v>3047</v>
      </c>
    </row>
    <row r="1647" spans="1:50">
      <c r="A1647" s="1" t="s">
        <v>3158</v>
      </c>
      <c r="B1647" t="s">
        <v>164</v>
      </c>
      <c r="C1647" t="s">
        <v>4857</v>
      </c>
      <c r="D1647" t="s">
        <v>314</v>
      </c>
      <c r="E1647" t="s">
        <v>349</v>
      </c>
      <c r="F1647" t="s">
        <v>427</v>
      </c>
      <c r="G1647" t="s">
        <v>822</v>
      </c>
      <c r="H1647" t="s">
        <v>9684</v>
      </c>
      <c r="I1647" t="s">
        <v>1601</v>
      </c>
      <c r="J1647" t="s">
        <v>1643</v>
      </c>
      <c r="K1647">
        <v>10040</v>
      </c>
      <c r="L1647" t="s">
        <v>1670</v>
      </c>
      <c r="M1647" t="s">
        <v>1670</v>
      </c>
      <c r="N1647" t="s">
        <v>12314</v>
      </c>
      <c r="O1647" t="s">
        <v>1936</v>
      </c>
      <c r="P1647" t="s">
        <v>1962</v>
      </c>
      <c r="Q1647" t="s">
        <v>1965</v>
      </c>
      <c r="R1647" t="s">
        <v>50</v>
      </c>
      <c r="S1647" t="s">
        <v>1671</v>
      </c>
      <c r="U1647" t="s">
        <v>1972</v>
      </c>
      <c r="W1647" t="s">
        <v>314</v>
      </c>
      <c r="X1647">
        <v>1270.06</v>
      </c>
      <c r="Y1647" t="s">
        <v>2008</v>
      </c>
      <c r="Z1647" t="s">
        <v>2013</v>
      </c>
      <c r="AA1647" t="s">
        <v>2029</v>
      </c>
      <c r="AB1647" t="s">
        <v>14216</v>
      </c>
      <c r="AD1647" t="s">
        <v>16636</v>
      </c>
      <c r="AE1647">
        <v>48</v>
      </c>
      <c r="AF1647" t="s">
        <v>2902</v>
      </c>
      <c r="AG1647" t="s">
        <v>2915</v>
      </c>
      <c r="AH1647">
        <v>30</v>
      </c>
      <c r="AI1647">
        <v>1</v>
      </c>
      <c r="AJ1647">
        <v>0</v>
      </c>
      <c r="AK1647">
        <v>74.14</v>
      </c>
      <c r="AN1647" t="s">
        <v>2926</v>
      </c>
      <c r="AO1647">
        <v>9000</v>
      </c>
      <c r="AU1647">
        <v>4.4</v>
      </c>
      <c r="AV1647" t="s">
        <v>262</v>
      </c>
      <c r="AW1647" t="s">
        <v>3042</v>
      </c>
    </row>
    <row r="1648" spans="1:50">
      <c r="A1648" s="1" t="s">
        <v>95</v>
      </c>
      <c r="B1648" t="s">
        <v>164</v>
      </c>
      <c r="C1648" t="s">
        <v>4858</v>
      </c>
      <c r="D1648" t="s">
        <v>395</v>
      </c>
      <c r="E1648" t="s">
        <v>258</v>
      </c>
      <c r="F1648" t="s">
        <v>7495</v>
      </c>
      <c r="G1648" t="s">
        <v>8655</v>
      </c>
      <c r="H1648" t="s">
        <v>10126</v>
      </c>
      <c r="I1648" t="s">
        <v>1559</v>
      </c>
      <c r="J1648" t="s">
        <v>1641</v>
      </c>
      <c r="K1648">
        <v>10467</v>
      </c>
      <c r="L1648" t="s">
        <v>1670</v>
      </c>
      <c r="M1648" t="s">
        <v>1670</v>
      </c>
      <c r="O1648" t="s">
        <v>1941</v>
      </c>
      <c r="P1648" t="s">
        <v>1962</v>
      </c>
      <c r="Q1648" t="s">
        <v>1968</v>
      </c>
      <c r="R1648" t="s">
        <v>50</v>
      </c>
      <c r="S1648" t="s">
        <v>1671</v>
      </c>
      <c r="U1648" t="s">
        <v>1972</v>
      </c>
      <c r="W1648" t="s">
        <v>395</v>
      </c>
      <c r="X1648">
        <v>542.6900000000001</v>
      </c>
      <c r="Y1648" t="s">
        <v>2006</v>
      </c>
      <c r="Z1648" t="s">
        <v>2021</v>
      </c>
      <c r="AA1648" t="s">
        <v>2030</v>
      </c>
      <c r="AB1648" t="s">
        <v>14217</v>
      </c>
      <c r="AD1648" t="s">
        <v>16637</v>
      </c>
      <c r="AE1648">
        <v>59</v>
      </c>
      <c r="AF1648" t="s">
        <v>2902</v>
      </c>
      <c r="AG1648" t="s">
        <v>2919</v>
      </c>
      <c r="AH1648">
        <v>44</v>
      </c>
      <c r="AI1648">
        <v>1</v>
      </c>
      <c r="AJ1648">
        <v>0</v>
      </c>
      <c r="AK1648">
        <v>74.14</v>
      </c>
      <c r="AN1648" t="s">
        <v>2926</v>
      </c>
      <c r="AO1648">
        <v>9000</v>
      </c>
      <c r="AU1648">
        <v>3.75</v>
      </c>
      <c r="AV1648" t="s">
        <v>208</v>
      </c>
      <c r="AW1648" t="s">
        <v>95</v>
      </c>
    </row>
    <row r="1649" spans="1:49">
      <c r="A1649" s="1" t="s">
        <v>146</v>
      </c>
      <c r="B1649" t="s">
        <v>164</v>
      </c>
      <c r="C1649" t="s">
        <v>4859</v>
      </c>
      <c r="D1649" t="s">
        <v>197</v>
      </c>
      <c r="E1649" t="s">
        <v>359</v>
      </c>
      <c r="F1649" t="s">
        <v>7405</v>
      </c>
      <c r="G1649" t="s">
        <v>8656</v>
      </c>
      <c r="H1649" t="s">
        <v>10127</v>
      </c>
      <c r="J1649" t="s">
        <v>1641</v>
      </c>
      <c r="K1649">
        <v>10460</v>
      </c>
      <c r="L1649" t="s">
        <v>1670</v>
      </c>
      <c r="M1649" t="s">
        <v>1670</v>
      </c>
      <c r="O1649" t="s">
        <v>1939</v>
      </c>
      <c r="P1649" t="s">
        <v>1962</v>
      </c>
      <c r="Q1649" t="s">
        <v>1968</v>
      </c>
      <c r="R1649" t="s">
        <v>50</v>
      </c>
      <c r="S1649" t="s">
        <v>1671</v>
      </c>
      <c r="U1649" t="s">
        <v>1972</v>
      </c>
      <c r="W1649" t="s">
        <v>197</v>
      </c>
      <c r="X1649">
        <v>1070</v>
      </c>
      <c r="Y1649" t="s">
        <v>2006</v>
      </c>
      <c r="AA1649" t="s">
        <v>2030</v>
      </c>
      <c r="AB1649" t="s">
        <v>14218</v>
      </c>
      <c r="AD1649" t="s">
        <v>16638</v>
      </c>
      <c r="AE1649" t="s">
        <v>13051</v>
      </c>
      <c r="AF1649" t="s">
        <v>2902</v>
      </c>
      <c r="AG1649" t="s">
        <v>2921</v>
      </c>
      <c r="AH1649">
        <v>3</v>
      </c>
      <c r="AI1649">
        <v>1</v>
      </c>
      <c r="AJ1649">
        <v>0</v>
      </c>
      <c r="AK1649">
        <v>74.14</v>
      </c>
      <c r="AN1649" t="s">
        <v>2926</v>
      </c>
      <c r="AO1649">
        <v>9000</v>
      </c>
      <c r="AU1649">
        <v>1</v>
      </c>
      <c r="AV1649" t="s">
        <v>370</v>
      </c>
      <c r="AW1649" t="s">
        <v>146</v>
      </c>
    </row>
    <row r="1650" spans="1:49">
      <c r="A1650" s="1" t="s">
        <v>3168</v>
      </c>
      <c r="B1650" t="s">
        <v>164</v>
      </c>
      <c r="C1650" t="s">
        <v>4860</v>
      </c>
      <c r="D1650" t="s">
        <v>6156</v>
      </c>
      <c r="E1650" t="s">
        <v>302</v>
      </c>
      <c r="F1650" t="s">
        <v>650</v>
      </c>
      <c r="G1650" t="s">
        <v>7327</v>
      </c>
      <c r="H1650" t="s">
        <v>10128</v>
      </c>
      <c r="I1650" t="s">
        <v>11259</v>
      </c>
      <c r="J1650" t="s">
        <v>1641</v>
      </c>
      <c r="K1650">
        <v>10467</v>
      </c>
      <c r="L1650" t="s">
        <v>1670</v>
      </c>
      <c r="M1650" t="s">
        <v>1670</v>
      </c>
      <c r="O1650" t="s">
        <v>1941</v>
      </c>
      <c r="P1650" t="s">
        <v>1962</v>
      </c>
      <c r="Q1650" t="s">
        <v>1969</v>
      </c>
      <c r="R1650" t="s">
        <v>50</v>
      </c>
      <c r="U1650" t="s">
        <v>1972</v>
      </c>
      <c r="W1650" t="s">
        <v>1992</v>
      </c>
      <c r="X1650" t="s">
        <v>13051</v>
      </c>
      <c r="Y1650" t="s">
        <v>2006</v>
      </c>
      <c r="AA1650" t="s">
        <v>2032</v>
      </c>
      <c r="AB1650" t="s">
        <v>14219</v>
      </c>
      <c r="AD1650" t="s">
        <v>16639</v>
      </c>
      <c r="AE1650">
        <v>54</v>
      </c>
      <c r="AF1650" t="s">
        <v>2902</v>
      </c>
      <c r="AG1650" t="s">
        <v>1754</v>
      </c>
      <c r="AH1650" t="s">
        <v>13051</v>
      </c>
      <c r="AI1650">
        <v>1</v>
      </c>
      <c r="AJ1650">
        <v>0</v>
      </c>
      <c r="AK1650">
        <v>74.14</v>
      </c>
      <c r="AN1650" t="s">
        <v>2927</v>
      </c>
      <c r="AO1650">
        <v>9000</v>
      </c>
      <c r="AP1650" t="s">
        <v>18296</v>
      </c>
      <c r="AU1650">
        <v>6.5</v>
      </c>
      <c r="AV1650" t="s">
        <v>278</v>
      </c>
      <c r="AW1650" t="s">
        <v>3082</v>
      </c>
    </row>
    <row r="1651" spans="1:49">
      <c r="A1651" s="1" t="s">
        <v>3139</v>
      </c>
      <c r="B1651" t="s">
        <v>163</v>
      </c>
      <c r="C1651" t="s">
        <v>4861</v>
      </c>
      <c r="D1651" t="s">
        <v>304</v>
      </c>
      <c r="F1651" t="s">
        <v>7496</v>
      </c>
      <c r="G1651" t="s">
        <v>870</v>
      </c>
      <c r="H1651" t="s">
        <v>10129</v>
      </c>
      <c r="I1651" t="s">
        <v>1510</v>
      </c>
      <c r="J1651" t="s">
        <v>1641</v>
      </c>
      <c r="K1651">
        <v>10457</v>
      </c>
      <c r="L1651" t="s">
        <v>1670</v>
      </c>
      <c r="M1651" t="s">
        <v>1670</v>
      </c>
      <c r="O1651" t="s">
        <v>1945</v>
      </c>
      <c r="P1651" t="s">
        <v>1962</v>
      </c>
      <c r="R1651" t="s">
        <v>50</v>
      </c>
      <c r="U1651" t="s">
        <v>1980</v>
      </c>
      <c r="W1651" t="s">
        <v>316</v>
      </c>
      <c r="X1651">
        <v>908.14</v>
      </c>
      <c r="Y1651" t="s">
        <v>2006</v>
      </c>
      <c r="Z1651" t="s">
        <v>2011</v>
      </c>
      <c r="AB1651" t="s">
        <v>14220</v>
      </c>
      <c r="AD1651" t="s">
        <v>16640</v>
      </c>
      <c r="AE1651" t="s">
        <v>13051</v>
      </c>
      <c r="AF1651" t="s">
        <v>2902</v>
      </c>
      <c r="AG1651" t="s">
        <v>1754</v>
      </c>
      <c r="AH1651">
        <v>17</v>
      </c>
      <c r="AI1651">
        <v>1</v>
      </c>
      <c r="AJ1651">
        <v>0</v>
      </c>
      <c r="AK1651">
        <v>74.14</v>
      </c>
      <c r="AN1651" t="s">
        <v>2927</v>
      </c>
      <c r="AO1651">
        <v>9000</v>
      </c>
      <c r="AU1651">
        <v>0.5</v>
      </c>
      <c r="AV1651" t="s">
        <v>304</v>
      </c>
      <c r="AW1651" t="s">
        <v>18655</v>
      </c>
    </row>
    <row r="1652" spans="1:49">
      <c r="A1652" s="1" t="s">
        <v>96</v>
      </c>
      <c r="B1652" t="s">
        <v>163</v>
      </c>
      <c r="C1652" t="s">
        <v>4862</v>
      </c>
      <c r="D1652" t="s">
        <v>6156</v>
      </c>
      <c r="F1652" t="s">
        <v>7006</v>
      </c>
      <c r="G1652" t="s">
        <v>807</v>
      </c>
      <c r="H1652" t="s">
        <v>10130</v>
      </c>
      <c r="I1652" t="s">
        <v>11260</v>
      </c>
      <c r="J1652" t="s">
        <v>1644</v>
      </c>
      <c r="K1652">
        <v>11226</v>
      </c>
      <c r="L1652" t="s">
        <v>1670</v>
      </c>
      <c r="M1652" t="s">
        <v>1670</v>
      </c>
      <c r="O1652" t="s">
        <v>1675</v>
      </c>
      <c r="P1652" t="s">
        <v>1959</v>
      </c>
      <c r="R1652" t="s">
        <v>50</v>
      </c>
      <c r="S1652" t="s">
        <v>1671</v>
      </c>
      <c r="U1652" t="s">
        <v>1972</v>
      </c>
      <c r="W1652" t="s">
        <v>252</v>
      </c>
      <c r="X1652">
        <v>1735</v>
      </c>
      <c r="Y1652" t="s">
        <v>2009</v>
      </c>
      <c r="Z1652" t="s">
        <v>2015</v>
      </c>
      <c r="AB1652" t="s">
        <v>14221</v>
      </c>
      <c r="AD1652" t="s">
        <v>16641</v>
      </c>
      <c r="AE1652">
        <v>24</v>
      </c>
      <c r="AF1652" t="s">
        <v>2902</v>
      </c>
      <c r="AG1652" t="s">
        <v>1754</v>
      </c>
      <c r="AH1652">
        <v>41</v>
      </c>
      <c r="AI1652">
        <v>1</v>
      </c>
      <c r="AJ1652">
        <v>0</v>
      </c>
      <c r="AK1652">
        <v>74.14</v>
      </c>
      <c r="AN1652" t="s">
        <v>2926</v>
      </c>
      <c r="AO1652">
        <v>9000</v>
      </c>
      <c r="AU1652">
        <v>10.8</v>
      </c>
      <c r="AV1652" t="s">
        <v>381</v>
      </c>
      <c r="AW1652" t="s">
        <v>3079</v>
      </c>
    </row>
    <row r="1653" spans="1:49">
      <c r="A1653" s="1" t="s">
        <v>74</v>
      </c>
      <c r="B1653" t="s">
        <v>163</v>
      </c>
      <c r="C1653" t="s">
        <v>4863</v>
      </c>
      <c r="D1653" t="s">
        <v>281</v>
      </c>
      <c r="F1653" t="s">
        <v>7470</v>
      </c>
      <c r="G1653" t="s">
        <v>768</v>
      </c>
      <c r="H1653" t="s">
        <v>1131</v>
      </c>
      <c r="I1653" t="s">
        <v>11248</v>
      </c>
      <c r="J1653" t="s">
        <v>1641</v>
      </c>
      <c r="K1653">
        <v>10460</v>
      </c>
      <c r="L1653" t="s">
        <v>1670</v>
      </c>
      <c r="M1653" t="s">
        <v>1670</v>
      </c>
      <c r="O1653" t="s">
        <v>1675</v>
      </c>
      <c r="P1653" t="s">
        <v>1959</v>
      </c>
      <c r="R1653" t="s">
        <v>50</v>
      </c>
      <c r="S1653" t="s">
        <v>1670</v>
      </c>
      <c r="U1653" t="s">
        <v>1972</v>
      </c>
      <c r="W1653" t="s">
        <v>283</v>
      </c>
      <c r="X1653">
        <v>990</v>
      </c>
      <c r="Y1653" t="s">
        <v>2006</v>
      </c>
      <c r="Z1653" t="s">
        <v>2015</v>
      </c>
      <c r="AB1653" t="s">
        <v>14167</v>
      </c>
      <c r="AD1653" t="s">
        <v>16588</v>
      </c>
      <c r="AE1653">
        <v>169</v>
      </c>
      <c r="AF1653" t="s">
        <v>2902</v>
      </c>
      <c r="AG1653" t="s">
        <v>2915</v>
      </c>
      <c r="AH1653">
        <v>11</v>
      </c>
      <c r="AI1653">
        <v>1</v>
      </c>
      <c r="AJ1653">
        <v>0</v>
      </c>
      <c r="AK1653">
        <v>74.14</v>
      </c>
      <c r="AN1653" t="s">
        <v>2926</v>
      </c>
      <c r="AO1653">
        <v>9000</v>
      </c>
      <c r="AU1653" t="s">
        <v>13051</v>
      </c>
      <c r="AW1653" t="s">
        <v>76</v>
      </c>
    </row>
    <row r="1654" spans="1:49">
      <c r="A1654" s="1" t="s">
        <v>108</v>
      </c>
      <c r="B1654" t="s">
        <v>163</v>
      </c>
      <c r="C1654" t="s">
        <v>4864</v>
      </c>
      <c r="D1654" t="s">
        <v>215</v>
      </c>
      <c r="F1654" t="s">
        <v>7497</v>
      </c>
      <c r="G1654" t="s">
        <v>897</v>
      </c>
      <c r="H1654" t="s">
        <v>10131</v>
      </c>
      <c r="I1654" t="s">
        <v>10955</v>
      </c>
      <c r="J1654" t="s">
        <v>1651</v>
      </c>
      <c r="K1654">
        <v>11412</v>
      </c>
      <c r="L1654" t="s">
        <v>1670</v>
      </c>
      <c r="M1654" t="s">
        <v>1670</v>
      </c>
      <c r="N1654" t="s">
        <v>1687</v>
      </c>
      <c r="O1654" t="s">
        <v>1954</v>
      </c>
      <c r="P1654" t="s">
        <v>1959</v>
      </c>
      <c r="R1654" t="s">
        <v>51</v>
      </c>
      <c r="S1654" t="s">
        <v>1671</v>
      </c>
      <c r="U1654" t="s">
        <v>1972</v>
      </c>
      <c r="V1654" t="s">
        <v>1984</v>
      </c>
      <c r="W1654" t="s">
        <v>215</v>
      </c>
      <c r="X1654">
        <v>1200</v>
      </c>
      <c r="Y1654" t="s">
        <v>2007</v>
      </c>
      <c r="Z1654" t="s">
        <v>2012</v>
      </c>
      <c r="AB1654" t="s">
        <v>14222</v>
      </c>
      <c r="AD1654" t="s">
        <v>16642</v>
      </c>
      <c r="AE1654">
        <v>20</v>
      </c>
      <c r="AF1654" t="s">
        <v>18015</v>
      </c>
      <c r="AG1654" t="s">
        <v>1754</v>
      </c>
      <c r="AH1654">
        <v>1</v>
      </c>
      <c r="AI1654">
        <v>1</v>
      </c>
      <c r="AJ1654">
        <v>0</v>
      </c>
      <c r="AK1654">
        <v>74.14</v>
      </c>
      <c r="AL1654" t="s">
        <v>2923</v>
      </c>
      <c r="AM1654" t="s">
        <v>2924</v>
      </c>
      <c r="AN1654" t="s">
        <v>2926</v>
      </c>
      <c r="AO1654">
        <v>9000</v>
      </c>
      <c r="AQ1654" t="s">
        <v>2976</v>
      </c>
      <c r="AR1654" t="s">
        <v>2982</v>
      </c>
      <c r="AS1654" t="s">
        <v>2992</v>
      </c>
      <c r="AT1654" t="s">
        <v>18560</v>
      </c>
      <c r="AU1654">
        <v>24.14</v>
      </c>
      <c r="AV1654" t="s">
        <v>397</v>
      </c>
      <c r="AW1654" t="s">
        <v>85</v>
      </c>
    </row>
    <row r="1655" spans="1:49">
      <c r="A1655" s="1" t="s">
        <v>63</v>
      </c>
      <c r="B1655" t="s">
        <v>163</v>
      </c>
      <c r="C1655" t="s">
        <v>4865</v>
      </c>
      <c r="D1655" t="s">
        <v>287</v>
      </c>
      <c r="F1655" t="s">
        <v>7484</v>
      </c>
      <c r="G1655" t="s">
        <v>8657</v>
      </c>
      <c r="H1655" t="s">
        <v>10132</v>
      </c>
      <c r="I1655" t="s">
        <v>11261</v>
      </c>
      <c r="J1655" t="s">
        <v>1641</v>
      </c>
      <c r="K1655">
        <v>10452</v>
      </c>
      <c r="L1655" t="s">
        <v>1670</v>
      </c>
      <c r="M1655" t="s">
        <v>1670</v>
      </c>
      <c r="N1655" t="s">
        <v>12315</v>
      </c>
      <c r="O1655" t="s">
        <v>1949</v>
      </c>
      <c r="P1655" t="s">
        <v>1961</v>
      </c>
      <c r="R1655" t="s">
        <v>50</v>
      </c>
      <c r="S1655" t="s">
        <v>1670</v>
      </c>
      <c r="U1655" t="s">
        <v>1972</v>
      </c>
      <c r="W1655" t="s">
        <v>1992</v>
      </c>
      <c r="X1655">
        <v>789</v>
      </c>
      <c r="Y1655" t="s">
        <v>2006</v>
      </c>
      <c r="Z1655" t="s">
        <v>2015</v>
      </c>
      <c r="AB1655" t="s">
        <v>14223</v>
      </c>
      <c r="AC1655" t="s">
        <v>15198</v>
      </c>
      <c r="AD1655" t="s">
        <v>16643</v>
      </c>
      <c r="AE1655">
        <v>70</v>
      </c>
      <c r="AF1655" t="s">
        <v>2902</v>
      </c>
      <c r="AH1655">
        <v>40</v>
      </c>
      <c r="AI1655">
        <v>1</v>
      </c>
      <c r="AJ1655">
        <v>0</v>
      </c>
      <c r="AK1655">
        <v>74.14</v>
      </c>
      <c r="AN1655" t="s">
        <v>2926</v>
      </c>
      <c r="AO1655">
        <v>9000</v>
      </c>
      <c r="AP1655" t="s">
        <v>18297</v>
      </c>
      <c r="AU1655" t="s">
        <v>13051</v>
      </c>
      <c r="AW1655" t="s">
        <v>3046</v>
      </c>
    </row>
    <row r="1656" spans="1:49">
      <c r="A1656" s="1" t="s">
        <v>66</v>
      </c>
      <c r="B1656" t="s">
        <v>164</v>
      </c>
      <c r="C1656" t="s">
        <v>4866</v>
      </c>
      <c r="D1656" t="s">
        <v>200</v>
      </c>
      <c r="E1656" t="s">
        <v>210</v>
      </c>
      <c r="F1656" t="s">
        <v>7498</v>
      </c>
      <c r="G1656" t="s">
        <v>8658</v>
      </c>
      <c r="H1656" t="s">
        <v>10133</v>
      </c>
      <c r="I1656" t="s">
        <v>11262</v>
      </c>
      <c r="J1656" t="s">
        <v>1644</v>
      </c>
      <c r="K1656">
        <v>11208</v>
      </c>
      <c r="L1656" t="s">
        <v>1670</v>
      </c>
      <c r="M1656" t="s">
        <v>1670</v>
      </c>
      <c r="N1656" t="s">
        <v>12316</v>
      </c>
      <c r="O1656" t="s">
        <v>1936</v>
      </c>
      <c r="P1656" t="s">
        <v>1960</v>
      </c>
      <c r="Q1656" t="s">
        <v>1969</v>
      </c>
      <c r="R1656" t="s">
        <v>50</v>
      </c>
      <c r="S1656" t="s">
        <v>1671</v>
      </c>
      <c r="U1656" t="s">
        <v>1972</v>
      </c>
      <c r="W1656" t="s">
        <v>200</v>
      </c>
      <c r="X1656">
        <v>1165</v>
      </c>
      <c r="Y1656" t="s">
        <v>2009</v>
      </c>
      <c r="Z1656" t="s">
        <v>2020</v>
      </c>
      <c r="AA1656" t="s">
        <v>2032</v>
      </c>
      <c r="AB1656" t="s">
        <v>14224</v>
      </c>
      <c r="AC1656">
        <v>557185</v>
      </c>
      <c r="AD1656" t="s">
        <v>16644</v>
      </c>
      <c r="AE1656">
        <v>45</v>
      </c>
      <c r="AF1656" t="s">
        <v>2909</v>
      </c>
      <c r="AH1656">
        <v>12</v>
      </c>
      <c r="AI1656">
        <v>1</v>
      </c>
      <c r="AJ1656">
        <v>0</v>
      </c>
      <c r="AK1656">
        <v>74.14</v>
      </c>
      <c r="AN1656" t="s">
        <v>2926</v>
      </c>
      <c r="AO1656">
        <v>9000</v>
      </c>
      <c r="AP1656" t="s">
        <v>2953</v>
      </c>
      <c r="AU1656">
        <v>24.5</v>
      </c>
      <c r="AV1656" t="s">
        <v>236</v>
      </c>
      <c r="AW1656" t="s">
        <v>3060</v>
      </c>
    </row>
    <row r="1657" spans="1:49">
      <c r="A1657" s="1" t="s">
        <v>146</v>
      </c>
      <c r="B1657" t="s">
        <v>164</v>
      </c>
      <c r="C1657" t="s">
        <v>4867</v>
      </c>
      <c r="D1657" t="s">
        <v>2002</v>
      </c>
      <c r="E1657" t="s">
        <v>278</v>
      </c>
      <c r="F1657" t="s">
        <v>6859</v>
      </c>
      <c r="G1657" t="s">
        <v>1000</v>
      </c>
      <c r="H1657" t="s">
        <v>9999</v>
      </c>
      <c r="I1657" t="s">
        <v>1477</v>
      </c>
      <c r="J1657" t="s">
        <v>1641</v>
      </c>
      <c r="K1657">
        <v>10457</v>
      </c>
      <c r="L1657" t="s">
        <v>1670</v>
      </c>
      <c r="M1657" t="s">
        <v>1670</v>
      </c>
      <c r="N1657" t="s">
        <v>12317</v>
      </c>
      <c r="O1657" t="s">
        <v>1940</v>
      </c>
      <c r="P1657" t="s">
        <v>1960</v>
      </c>
      <c r="Q1657" t="s">
        <v>1969</v>
      </c>
      <c r="R1657" t="s">
        <v>50</v>
      </c>
      <c r="S1657" t="s">
        <v>1671</v>
      </c>
      <c r="U1657" t="s">
        <v>1972</v>
      </c>
      <c r="V1657" t="s">
        <v>1984</v>
      </c>
      <c r="W1657" t="s">
        <v>1992</v>
      </c>
      <c r="X1657">
        <v>931</v>
      </c>
      <c r="Y1657" t="s">
        <v>2006</v>
      </c>
      <c r="Z1657" t="s">
        <v>2022</v>
      </c>
      <c r="AA1657" t="s">
        <v>2032</v>
      </c>
      <c r="AB1657" t="s">
        <v>14034</v>
      </c>
      <c r="AD1657" t="s">
        <v>16469</v>
      </c>
      <c r="AE1657">
        <v>27</v>
      </c>
      <c r="AF1657" t="s">
        <v>2909</v>
      </c>
      <c r="AG1657" t="s">
        <v>2915</v>
      </c>
      <c r="AH1657">
        <v>2</v>
      </c>
      <c r="AI1657">
        <v>1</v>
      </c>
      <c r="AJ1657">
        <v>0</v>
      </c>
      <c r="AK1657">
        <v>74.14</v>
      </c>
      <c r="AN1657" t="s">
        <v>2926</v>
      </c>
      <c r="AO1657">
        <v>9000</v>
      </c>
      <c r="AR1657" t="s">
        <v>18472</v>
      </c>
      <c r="AS1657" t="s">
        <v>2992</v>
      </c>
      <c r="AT1657" t="s">
        <v>18547</v>
      </c>
      <c r="AU1657">
        <v>4.3</v>
      </c>
      <c r="AV1657" t="s">
        <v>247</v>
      </c>
      <c r="AW1657" t="s">
        <v>146</v>
      </c>
    </row>
    <row r="1658" spans="1:49">
      <c r="A1658" s="1" t="s">
        <v>75</v>
      </c>
      <c r="B1658" t="s">
        <v>164</v>
      </c>
      <c r="C1658" t="s">
        <v>4868</v>
      </c>
      <c r="D1658" t="s">
        <v>180</v>
      </c>
      <c r="E1658" t="s">
        <v>223</v>
      </c>
      <c r="F1658" t="s">
        <v>689</v>
      </c>
      <c r="G1658" t="s">
        <v>873</v>
      </c>
      <c r="H1658" t="s">
        <v>10134</v>
      </c>
      <c r="I1658" t="s">
        <v>1487</v>
      </c>
      <c r="J1658" t="s">
        <v>1643</v>
      </c>
      <c r="K1658">
        <v>10029</v>
      </c>
      <c r="L1658" t="s">
        <v>1670</v>
      </c>
      <c r="M1658" t="s">
        <v>1670</v>
      </c>
      <c r="N1658" t="s">
        <v>12318</v>
      </c>
      <c r="O1658" t="s">
        <v>1936</v>
      </c>
      <c r="P1658" t="s">
        <v>1960</v>
      </c>
      <c r="Q1658" t="s">
        <v>1969</v>
      </c>
      <c r="R1658" t="s">
        <v>50</v>
      </c>
      <c r="S1658" t="s">
        <v>1671</v>
      </c>
      <c r="U1658" t="s">
        <v>1972</v>
      </c>
      <c r="V1658" t="s">
        <v>1984</v>
      </c>
      <c r="W1658" t="s">
        <v>180</v>
      </c>
      <c r="X1658">
        <v>968</v>
      </c>
      <c r="Y1658" t="s">
        <v>2008</v>
      </c>
      <c r="Z1658" t="s">
        <v>13057</v>
      </c>
      <c r="AA1658" t="s">
        <v>2032</v>
      </c>
      <c r="AB1658" t="s">
        <v>14225</v>
      </c>
      <c r="AD1658" t="s">
        <v>16645</v>
      </c>
      <c r="AE1658">
        <v>20</v>
      </c>
      <c r="AF1658" t="s">
        <v>2902</v>
      </c>
      <c r="AG1658" t="s">
        <v>1754</v>
      </c>
      <c r="AH1658">
        <v>18</v>
      </c>
      <c r="AI1658">
        <v>1</v>
      </c>
      <c r="AJ1658">
        <v>0</v>
      </c>
      <c r="AK1658">
        <v>74.14</v>
      </c>
      <c r="AN1658" t="s">
        <v>2926</v>
      </c>
      <c r="AO1658">
        <v>9000</v>
      </c>
      <c r="AU1658">
        <v>4.5</v>
      </c>
      <c r="AV1658" t="s">
        <v>321</v>
      </c>
      <c r="AW1658" t="s">
        <v>3051</v>
      </c>
    </row>
    <row r="1659" spans="1:49">
      <c r="A1659" s="1" t="s">
        <v>66</v>
      </c>
      <c r="B1659" t="s">
        <v>164</v>
      </c>
      <c r="C1659" t="s">
        <v>4869</v>
      </c>
      <c r="D1659" t="s">
        <v>348</v>
      </c>
      <c r="E1659" t="s">
        <v>341</v>
      </c>
      <c r="F1659" t="s">
        <v>7499</v>
      </c>
      <c r="G1659" t="s">
        <v>8659</v>
      </c>
      <c r="H1659" t="s">
        <v>10135</v>
      </c>
      <c r="I1659" t="s">
        <v>1511</v>
      </c>
      <c r="J1659" t="s">
        <v>1644</v>
      </c>
      <c r="K1659">
        <v>11207</v>
      </c>
      <c r="L1659" t="s">
        <v>1670</v>
      </c>
      <c r="M1659" t="s">
        <v>1670</v>
      </c>
      <c r="N1659" t="s">
        <v>12319</v>
      </c>
      <c r="O1659" t="s">
        <v>1940</v>
      </c>
      <c r="P1659" t="s">
        <v>1960</v>
      </c>
      <c r="Q1659" t="s">
        <v>1971</v>
      </c>
      <c r="R1659" t="s">
        <v>50</v>
      </c>
      <c r="S1659" t="s">
        <v>1671</v>
      </c>
      <c r="U1659" t="s">
        <v>1972</v>
      </c>
      <c r="W1659" t="s">
        <v>348</v>
      </c>
      <c r="X1659">
        <v>1150</v>
      </c>
      <c r="Y1659" t="s">
        <v>2009</v>
      </c>
      <c r="Z1659" t="s">
        <v>2011</v>
      </c>
      <c r="AA1659" t="s">
        <v>2029</v>
      </c>
      <c r="AB1659" t="s">
        <v>14226</v>
      </c>
      <c r="AC1659" t="s">
        <v>15199</v>
      </c>
      <c r="AD1659" t="s">
        <v>16646</v>
      </c>
      <c r="AE1659">
        <v>5</v>
      </c>
      <c r="AF1659" t="s">
        <v>2904</v>
      </c>
      <c r="AG1659" t="s">
        <v>1754</v>
      </c>
      <c r="AH1659">
        <v>3</v>
      </c>
      <c r="AI1659">
        <v>1</v>
      </c>
      <c r="AJ1659">
        <v>0</v>
      </c>
      <c r="AK1659">
        <v>74.14</v>
      </c>
      <c r="AN1659" t="s">
        <v>2926</v>
      </c>
      <c r="AO1659">
        <v>9000</v>
      </c>
      <c r="AP1659" t="s">
        <v>2953</v>
      </c>
      <c r="AU1659">
        <v>8.300000000000001</v>
      </c>
      <c r="AV1659" t="s">
        <v>341</v>
      </c>
      <c r="AW1659" t="s">
        <v>3060</v>
      </c>
    </row>
    <row r="1660" spans="1:49">
      <c r="A1660" s="1" t="s">
        <v>82</v>
      </c>
      <c r="B1660" t="s">
        <v>164</v>
      </c>
      <c r="C1660" t="s">
        <v>4870</v>
      </c>
      <c r="D1660" t="s">
        <v>6180</v>
      </c>
      <c r="E1660" t="s">
        <v>6138</v>
      </c>
      <c r="F1660" t="s">
        <v>7500</v>
      </c>
      <c r="G1660" t="s">
        <v>979</v>
      </c>
      <c r="H1660" t="s">
        <v>10136</v>
      </c>
      <c r="I1660">
        <v>1</v>
      </c>
      <c r="J1660" t="s">
        <v>1644</v>
      </c>
      <c r="K1660">
        <v>11208</v>
      </c>
      <c r="L1660" t="s">
        <v>1670</v>
      </c>
      <c r="M1660" t="s">
        <v>1670</v>
      </c>
      <c r="N1660" t="s">
        <v>12320</v>
      </c>
      <c r="O1660" t="s">
        <v>1954</v>
      </c>
      <c r="P1660" t="s">
        <v>1960</v>
      </c>
      <c r="Q1660" t="s">
        <v>1966</v>
      </c>
      <c r="R1660" t="s">
        <v>50</v>
      </c>
      <c r="S1660" t="s">
        <v>1671</v>
      </c>
      <c r="U1660" t="s">
        <v>1972</v>
      </c>
      <c r="W1660" t="s">
        <v>6138</v>
      </c>
      <c r="X1660">
        <v>405</v>
      </c>
      <c r="Y1660" t="s">
        <v>2009</v>
      </c>
      <c r="Z1660" t="s">
        <v>2015</v>
      </c>
      <c r="AA1660" t="s">
        <v>2029</v>
      </c>
      <c r="AB1660" t="s">
        <v>14227</v>
      </c>
      <c r="AD1660" t="s">
        <v>16647</v>
      </c>
      <c r="AE1660">
        <v>4</v>
      </c>
      <c r="AF1660" t="s">
        <v>2903</v>
      </c>
      <c r="AG1660" t="s">
        <v>1754</v>
      </c>
      <c r="AH1660">
        <v>-1</v>
      </c>
      <c r="AI1660">
        <v>1</v>
      </c>
      <c r="AJ1660">
        <v>0</v>
      </c>
      <c r="AK1660">
        <v>74.14</v>
      </c>
      <c r="AN1660" t="s">
        <v>2926</v>
      </c>
      <c r="AO1660">
        <v>9000</v>
      </c>
      <c r="AU1660">
        <v>15.1</v>
      </c>
      <c r="AV1660" t="s">
        <v>6190</v>
      </c>
      <c r="AW1660" t="s">
        <v>3079</v>
      </c>
    </row>
    <row r="1661" spans="1:49">
      <c r="A1661" s="1" t="s">
        <v>73</v>
      </c>
      <c r="B1661" t="s">
        <v>163</v>
      </c>
      <c r="C1661" t="s">
        <v>4871</v>
      </c>
      <c r="D1661" t="s">
        <v>257</v>
      </c>
      <c r="F1661" t="s">
        <v>7501</v>
      </c>
      <c r="G1661" t="s">
        <v>8217</v>
      </c>
      <c r="H1661" t="s">
        <v>10137</v>
      </c>
      <c r="I1661" t="s">
        <v>11263</v>
      </c>
      <c r="J1661" t="s">
        <v>1645</v>
      </c>
      <c r="K1661">
        <v>11691</v>
      </c>
      <c r="L1661" t="s">
        <v>1670</v>
      </c>
      <c r="M1661" t="s">
        <v>1670</v>
      </c>
      <c r="N1661" t="s">
        <v>12321</v>
      </c>
      <c r="O1661" t="s">
        <v>1940</v>
      </c>
      <c r="P1661" t="s">
        <v>1960</v>
      </c>
      <c r="R1661" t="s">
        <v>50</v>
      </c>
      <c r="S1661" t="s">
        <v>1671</v>
      </c>
      <c r="U1661" t="s">
        <v>1972</v>
      </c>
      <c r="V1661" t="s">
        <v>1984</v>
      </c>
      <c r="W1661" t="s">
        <v>257</v>
      </c>
      <c r="X1661">
        <v>1396</v>
      </c>
      <c r="Y1661" t="s">
        <v>2007</v>
      </c>
      <c r="Z1661" t="s">
        <v>2014</v>
      </c>
      <c r="AB1661" t="s">
        <v>14228</v>
      </c>
      <c r="AC1661" t="s">
        <v>15200</v>
      </c>
      <c r="AD1661" t="s">
        <v>16648</v>
      </c>
      <c r="AE1661">
        <v>917</v>
      </c>
      <c r="AF1661" t="s">
        <v>2907</v>
      </c>
      <c r="AG1661" t="s">
        <v>2915</v>
      </c>
      <c r="AH1661">
        <v>7</v>
      </c>
      <c r="AI1661">
        <v>1</v>
      </c>
      <c r="AJ1661">
        <v>0</v>
      </c>
      <c r="AK1661">
        <v>74.14</v>
      </c>
      <c r="AN1661" t="s">
        <v>2926</v>
      </c>
      <c r="AO1661">
        <v>9000</v>
      </c>
      <c r="AQ1661" t="s">
        <v>2977</v>
      </c>
      <c r="AR1661" t="s">
        <v>18465</v>
      </c>
      <c r="AS1661" t="s">
        <v>2992</v>
      </c>
      <c r="AT1661" t="s">
        <v>18528</v>
      </c>
      <c r="AU1661">
        <v>25.55</v>
      </c>
      <c r="AV1661" t="s">
        <v>199</v>
      </c>
      <c r="AW1661" t="s">
        <v>85</v>
      </c>
    </row>
    <row r="1662" spans="1:49">
      <c r="A1662" s="1" t="s">
        <v>53</v>
      </c>
      <c r="B1662" t="s">
        <v>163</v>
      </c>
      <c r="C1662" t="s">
        <v>4872</v>
      </c>
      <c r="D1662" t="s">
        <v>196</v>
      </c>
      <c r="F1662" t="s">
        <v>6782</v>
      </c>
      <c r="G1662" t="s">
        <v>7464</v>
      </c>
      <c r="H1662" t="s">
        <v>10138</v>
      </c>
      <c r="I1662" t="s">
        <v>1543</v>
      </c>
      <c r="J1662" t="s">
        <v>11754</v>
      </c>
      <c r="K1662">
        <v>11427</v>
      </c>
      <c r="L1662" t="s">
        <v>1670</v>
      </c>
      <c r="M1662" t="s">
        <v>1670</v>
      </c>
      <c r="N1662" t="s">
        <v>12322</v>
      </c>
      <c r="O1662" t="s">
        <v>1940</v>
      </c>
      <c r="P1662" t="s">
        <v>1960</v>
      </c>
      <c r="R1662" t="s">
        <v>50</v>
      </c>
      <c r="S1662" t="s">
        <v>1671</v>
      </c>
      <c r="U1662" t="s">
        <v>1972</v>
      </c>
      <c r="V1662" t="s">
        <v>1984</v>
      </c>
      <c r="W1662" t="s">
        <v>196</v>
      </c>
      <c r="X1662">
        <v>1073</v>
      </c>
      <c r="Y1662" t="s">
        <v>2007</v>
      </c>
      <c r="Z1662" t="s">
        <v>2014</v>
      </c>
      <c r="AB1662" t="s">
        <v>14229</v>
      </c>
      <c r="AD1662" t="s">
        <v>16649</v>
      </c>
      <c r="AE1662">
        <v>8</v>
      </c>
      <c r="AF1662" t="s">
        <v>2902</v>
      </c>
      <c r="AG1662" t="s">
        <v>1754</v>
      </c>
      <c r="AH1662">
        <v>23</v>
      </c>
      <c r="AI1662">
        <v>1</v>
      </c>
      <c r="AJ1662">
        <v>0</v>
      </c>
      <c r="AK1662">
        <v>74.14</v>
      </c>
      <c r="AN1662" t="s">
        <v>2926</v>
      </c>
      <c r="AO1662">
        <v>9000</v>
      </c>
      <c r="AU1662">
        <v>44.6</v>
      </c>
      <c r="AV1662" t="s">
        <v>346</v>
      </c>
      <c r="AW1662" t="s">
        <v>85</v>
      </c>
    </row>
    <row r="1663" spans="1:49">
      <c r="A1663" s="1" t="s">
        <v>108</v>
      </c>
      <c r="B1663" t="s">
        <v>163</v>
      </c>
      <c r="C1663" t="s">
        <v>4873</v>
      </c>
      <c r="D1663" t="s">
        <v>2003</v>
      </c>
      <c r="F1663" t="s">
        <v>7502</v>
      </c>
      <c r="G1663" t="s">
        <v>8660</v>
      </c>
      <c r="H1663" t="s">
        <v>10139</v>
      </c>
      <c r="I1663" t="s">
        <v>1582</v>
      </c>
      <c r="J1663" t="s">
        <v>11750</v>
      </c>
      <c r="K1663">
        <v>11420</v>
      </c>
      <c r="L1663" t="s">
        <v>1670</v>
      </c>
      <c r="M1663" t="s">
        <v>1670</v>
      </c>
      <c r="N1663" t="s">
        <v>12323</v>
      </c>
      <c r="O1663" t="s">
        <v>1940</v>
      </c>
      <c r="P1663" t="s">
        <v>1960</v>
      </c>
      <c r="R1663" t="s">
        <v>50</v>
      </c>
      <c r="S1663" t="s">
        <v>1671</v>
      </c>
      <c r="U1663" t="s">
        <v>1972</v>
      </c>
      <c r="V1663" t="s">
        <v>1984</v>
      </c>
      <c r="W1663" t="s">
        <v>260</v>
      </c>
      <c r="X1663">
        <v>800</v>
      </c>
      <c r="Y1663" t="s">
        <v>2007</v>
      </c>
      <c r="Z1663" t="s">
        <v>2014</v>
      </c>
      <c r="AB1663" t="s">
        <v>14230</v>
      </c>
      <c r="AC1663" t="s">
        <v>15201</v>
      </c>
      <c r="AD1663" t="s">
        <v>16650</v>
      </c>
      <c r="AE1663">
        <v>2</v>
      </c>
      <c r="AF1663" t="s">
        <v>2903</v>
      </c>
      <c r="AG1663" t="s">
        <v>1754</v>
      </c>
      <c r="AH1663">
        <v>2</v>
      </c>
      <c r="AI1663">
        <v>1</v>
      </c>
      <c r="AJ1663">
        <v>0</v>
      </c>
      <c r="AK1663">
        <v>74.14</v>
      </c>
      <c r="AN1663" t="s">
        <v>2927</v>
      </c>
      <c r="AO1663">
        <v>9000</v>
      </c>
      <c r="AQ1663" t="s">
        <v>2976</v>
      </c>
      <c r="AR1663" t="s">
        <v>2017</v>
      </c>
      <c r="AS1663" t="s">
        <v>2993</v>
      </c>
      <c r="AT1663" t="s">
        <v>18561</v>
      </c>
      <c r="AU1663">
        <v>21.95</v>
      </c>
      <c r="AV1663" t="s">
        <v>212</v>
      </c>
      <c r="AW1663" t="s">
        <v>85</v>
      </c>
    </row>
    <row r="1664" spans="1:49">
      <c r="A1664" s="1" t="s">
        <v>125</v>
      </c>
      <c r="B1664" t="s">
        <v>163</v>
      </c>
      <c r="C1664" t="s">
        <v>4874</v>
      </c>
      <c r="D1664" t="s">
        <v>309</v>
      </c>
      <c r="F1664" t="s">
        <v>7503</v>
      </c>
      <c r="G1664" t="s">
        <v>8661</v>
      </c>
      <c r="H1664" t="s">
        <v>9824</v>
      </c>
      <c r="I1664" t="s">
        <v>11144</v>
      </c>
      <c r="J1664" t="s">
        <v>1644</v>
      </c>
      <c r="K1664">
        <v>11233</v>
      </c>
      <c r="L1664" t="s">
        <v>1670</v>
      </c>
      <c r="M1664" t="s">
        <v>1670</v>
      </c>
      <c r="N1664" t="s">
        <v>12094</v>
      </c>
      <c r="O1664" t="s">
        <v>1940</v>
      </c>
      <c r="P1664" t="s">
        <v>1960</v>
      </c>
      <c r="R1664" t="s">
        <v>50</v>
      </c>
      <c r="S1664" t="s">
        <v>1671</v>
      </c>
      <c r="U1664" t="s">
        <v>1972</v>
      </c>
      <c r="V1664" t="s">
        <v>1987</v>
      </c>
      <c r="W1664" t="s">
        <v>342</v>
      </c>
      <c r="X1664">
        <v>220</v>
      </c>
      <c r="Y1664" t="s">
        <v>2009</v>
      </c>
      <c r="Z1664" t="s">
        <v>2014</v>
      </c>
      <c r="AB1664" t="s">
        <v>14231</v>
      </c>
      <c r="AD1664" t="s">
        <v>16651</v>
      </c>
      <c r="AE1664">
        <v>2</v>
      </c>
      <c r="AF1664" t="s">
        <v>2903</v>
      </c>
      <c r="AG1664" t="s">
        <v>18016</v>
      </c>
      <c r="AH1664">
        <v>1</v>
      </c>
      <c r="AI1664">
        <v>1</v>
      </c>
      <c r="AJ1664">
        <v>0</v>
      </c>
      <c r="AK1664">
        <v>74.14</v>
      </c>
      <c r="AN1664" t="s">
        <v>2926</v>
      </c>
      <c r="AO1664">
        <v>9000</v>
      </c>
      <c r="AU1664">
        <v>1.5</v>
      </c>
      <c r="AV1664" t="s">
        <v>395</v>
      </c>
      <c r="AW1664" t="s">
        <v>3060</v>
      </c>
    </row>
    <row r="1665" spans="1:50">
      <c r="A1665" s="1" t="s">
        <v>59</v>
      </c>
      <c r="B1665" t="s">
        <v>163</v>
      </c>
      <c r="C1665" t="s">
        <v>4875</v>
      </c>
      <c r="D1665" t="s">
        <v>223</v>
      </c>
      <c r="F1665" t="s">
        <v>649</v>
      </c>
      <c r="G1665" t="s">
        <v>8662</v>
      </c>
      <c r="H1665" t="s">
        <v>10140</v>
      </c>
      <c r="I1665" t="s">
        <v>11264</v>
      </c>
      <c r="J1665" t="s">
        <v>1641</v>
      </c>
      <c r="K1665">
        <v>10472</v>
      </c>
      <c r="L1665" t="s">
        <v>1670</v>
      </c>
      <c r="M1665" t="s">
        <v>1670</v>
      </c>
      <c r="N1665" t="s">
        <v>12324</v>
      </c>
      <c r="O1665" t="s">
        <v>1940</v>
      </c>
      <c r="P1665" t="s">
        <v>1960</v>
      </c>
      <c r="R1665" t="s">
        <v>50</v>
      </c>
      <c r="S1665" t="s">
        <v>1671</v>
      </c>
      <c r="U1665" t="s">
        <v>1972</v>
      </c>
      <c r="V1665" t="s">
        <v>1986</v>
      </c>
      <c r="W1665" t="s">
        <v>223</v>
      </c>
      <c r="X1665">
        <v>854.9</v>
      </c>
      <c r="Y1665" t="s">
        <v>2006</v>
      </c>
      <c r="Z1665" t="s">
        <v>2011</v>
      </c>
      <c r="AB1665" t="s">
        <v>14232</v>
      </c>
      <c r="AC1665" t="s">
        <v>15202</v>
      </c>
      <c r="AD1665" t="s">
        <v>16652</v>
      </c>
      <c r="AE1665">
        <v>46</v>
      </c>
      <c r="AF1665" t="s">
        <v>2912</v>
      </c>
      <c r="AG1665" t="s">
        <v>2915</v>
      </c>
      <c r="AH1665">
        <v>2</v>
      </c>
      <c r="AI1665">
        <v>1</v>
      </c>
      <c r="AJ1665">
        <v>0</v>
      </c>
      <c r="AK1665">
        <v>74.14</v>
      </c>
      <c r="AN1665" t="s">
        <v>2926</v>
      </c>
      <c r="AO1665">
        <v>9000</v>
      </c>
      <c r="AU1665">
        <v>37.85</v>
      </c>
      <c r="AV1665" t="s">
        <v>202</v>
      </c>
      <c r="AW1665" t="s">
        <v>3041</v>
      </c>
    </row>
    <row r="1666" spans="1:50">
      <c r="A1666" s="1" t="s">
        <v>74</v>
      </c>
      <c r="B1666" t="s">
        <v>163</v>
      </c>
      <c r="C1666" t="s">
        <v>4876</v>
      </c>
      <c r="D1666" t="s">
        <v>341</v>
      </c>
      <c r="F1666" t="s">
        <v>7488</v>
      </c>
      <c r="G1666" t="s">
        <v>848</v>
      </c>
      <c r="H1666" t="s">
        <v>1131</v>
      </c>
      <c r="I1666" t="s">
        <v>1475</v>
      </c>
      <c r="J1666" t="s">
        <v>1641</v>
      </c>
      <c r="K1666">
        <v>10460</v>
      </c>
      <c r="L1666" t="s">
        <v>1670</v>
      </c>
      <c r="M1666" t="s">
        <v>1670</v>
      </c>
      <c r="N1666" t="s">
        <v>1692</v>
      </c>
      <c r="O1666" t="s">
        <v>1939</v>
      </c>
      <c r="P1666" t="s">
        <v>1960</v>
      </c>
      <c r="R1666" t="s">
        <v>50</v>
      </c>
      <c r="S1666" t="s">
        <v>1670</v>
      </c>
      <c r="U1666" t="s">
        <v>1972</v>
      </c>
      <c r="W1666" t="s">
        <v>283</v>
      </c>
      <c r="X1666">
        <v>241</v>
      </c>
      <c r="Y1666" t="s">
        <v>2006</v>
      </c>
      <c r="Z1666" t="s">
        <v>2015</v>
      </c>
      <c r="AB1666" t="s">
        <v>14205</v>
      </c>
      <c r="AD1666" t="s">
        <v>16624</v>
      </c>
      <c r="AE1666">
        <v>168</v>
      </c>
      <c r="AF1666" t="s">
        <v>2902</v>
      </c>
      <c r="AG1666" t="s">
        <v>2017</v>
      </c>
      <c r="AH1666">
        <v>2</v>
      </c>
      <c r="AI1666">
        <v>1</v>
      </c>
      <c r="AJ1666">
        <v>0</v>
      </c>
      <c r="AK1666">
        <v>74.14</v>
      </c>
      <c r="AN1666" t="s">
        <v>2926</v>
      </c>
      <c r="AO1666">
        <v>9000</v>
      </c>
      <c r="AU1666" t="s">
        <v>13051</v>
      </c>
      <c r="AW1666" t="s">
        <v>3046</v>
      </c>
    </row>
    <row r="1667" spans="1:50">
      <c r="A1667" s="1" t="s">
        <v>74</v>
      </c>
      <c r="B1667" t="s">
        <v>163</v>
      </c>
      <c r="C1667" t="s">
        <v>4877</v>
      </c>
      <c r="D1667" t="s">
        <v>341</v>
      </c>
      <c r="F1667" t="s">
        <v>526</v>
      </c>
      <c r="G1667" t="s">
        <v>8623</v>
      </c>
      <c r="H1667" t="s">
        <v>1131</v>
      </c>
      <c r="I1667" t="s">
        <v>1506</v>
      </c>
      <c r="J1667" t="s">
        <v>1641</v>
      </c>
      <c r="K1667">
        <v>10460</v>
      </c>
      <c r="L1667" t="s">
        <v>1670</v>
      </c>
      <c r="M1667" t="s">
        <v>1670</v>
      </c>
      <c r="N1667" t="s">
        <v>1692</v>
      </c>
      <c r="O1667" t="s">
        <v>1939</v>
      </c>
      <c r="P1667" t="s">
        <v>1960</v>
      </c>
      <c r="R1667" t="s">
        <v>50</v>
      </c>
      <c r="S1667" t="s">
        <v>1670</v>
      </c>
      <c r="U1667" t="s">
        <v>1972</v>
      </c>
      <c r="W1667" t="s">
        <v>283</v>
      </c>
      <c r="X1667">
        <v>326</v>
      </c>
      <c r="Y1667" t="s">
        <v>2006</v>
      </c>
      <c r="Z1667" t="s">
        <v>2015</v>
      </c>
      <c r="AB1667" t="s">
        <v>14166</v>
      </c>
      <c r="AD1667" t="s">
        <v>16587</v>
      </c>
      <c r="AE1667">
        <v>168</v>
      </c>
      <c r="AF1667" t="s">
        <v>2903</v>
      </c>
      <c r="AG1667" t="s">
        <v>2921</v>
      </c>
      <c r="AH1667">
        <v>5</v>
      </c>
      <c r="AI1667">
        <v>1</v>
      </c>
      <c r="AJ1667">
        <v>0</v>
      </c>
      <c r="AK1667">
        <v>74.14</v>
      </c>
      <c r="AN1667" t="s">
        <v>2927</v>
      </c>
      <c r="AO1667">
        <v>9000</v>
      </c>
      <c r="AU1667" t="s">
        <v>13051</v>
      </c>
      <c r="AW1667" t="s">
        <v>3046</v>
      </c>
    </row>
    <row r="1668" spans="1:50">
      <c r="A1668" s="1" t="s">
        <v>74</v>
      </c>
      <c r="B1668" t="s">
        <v>163</v>
      </c>
      <c r="C1668" t="s">
        <v>4878</v>
      </c>
      <c r="D1668" t="s">
        <v>375</v>
      </c>
      <c r="F1668" t="s">
        <v>7480</v>
      </c>
      <c r="G1668" t="s">
        <v>1016</v>
      </c>
      <c r="H1668" t="s">
        <v>1131</v>
      </c>
      <c r="I1668" t="s">
        <v>10955</v>
      </c>
      <c r="J1668" t="s">
        <v>1641</v>
      </c>
      <c r="K1668">
        <v>10460</v>
      </c>
      <c r="L1668" t="s">
        <v>1670</v>
      </c>
      <c r="M1668" t="s">
        <v>1670</v>
      </c>
      <c r="N1668" t="s">
        <v>1692</v>
      </c>
      <c r="O1668" t="s">
        <v>1939</v>
      </c>
      <c r="P1668" t="s">
        <v>1960</v>
      </c>
      <c r="R1668" t="s">
        <v>50</v>
      </c>
      <c r="S1668" t="s">
        <v>1670</v>
      </c>
      <c r="U1668" t="s">
        <v>1972</v>
      </c>
      <c r="W1668" t="s">
        <v>283</v>
      </c>
      <c r="X1668">
        <v>260.5</v>
      </c>
      <c r="Y1668" t="s">
        <v>2006</v>
      </c>
      <c r="Z1668" t="s">
        <v>2015</v>
      </c>
      <c r="AB1668" t="s">
        <v>14233</v>
      </c>
      <c r="AD1668" t="s">
        <v>16653</v>
      </c>
      <c r="AE1668">
        <v>168</v>
      </c>
      <c r="AF1668" t="s">
        <v>2902</v>
      </c>
      <c r="AG1668" t="s">
        <v>2915</v>
      </c>
      <c r="AH1668">
        <v>10</v>
      </c>
      <c r="AI1668">
        <v>1</v>
      </c>
      <c r="AJ1668">
        <v>0</v>
      </c>
      <c r="AK1668">
        <v>74.14</v>
      </c>
      <c r="AN1668" t="s">
        <v>2926</v>
      </c>
      <c r="AO1668">
        <v>9000</v>
      </c>
      <c r="AU1668" t="s">
        <v>13051</v>
      </c>
      <c r="AW1668" t="s">
        <v>3047</v>
      </c>
    </row>
    <row r="1669" spans="1:50">
      <c r="A1669" s="1" t="s">
        <v>59</v>
      </c>
      <c r="B1669" t="s">
        <v>163</v>
      </c>
      <c r="C1669" t="s">
        <v>4879</v>
      </c>
      <c r="D1669" t="s">
        <v>382</v>
      </c>
      <c r="F1669" t="s">
        <v>7042</v>
      </c>
      <c r="G1669" t="s">
        <v>8140</v>
      </c>
      <c r="H1669" t="s">
        <v>10141</v>
      </c>
      <c r="I1669" t="s">
        <v>11265</v>
      </c>
      <c r="J1669" t="s">
        <v>1641</v>
      </c>
      <c r="K1669">
        <v>10459</v>
      </c>
      <c r="L1669" t="s">
        <v>1670</v>
      </c>
      <c r="M1669" t="s">
        <v>1670</v>
      </c>
      <c r="N1669" t="s">
        <v>12325</v>
      </c>
      <c r="O1669" t="s">
        <v>1936</v>
      </c>
      <c r="P1669" t="s">
        <v>1960</v>
      </c>
      <c r="R1669" t="s">
        <v>50</v>
      </c>
      <c r="S1669" t="s">
        <v>1671</v>
      </c>
      <c r="U1669" t="s">
        <v>1972</v>
      </c>
      <c r="V1669" t="s">
        <v>13035</v>
      </c>
      <c r="W1669" t="s">
        <v>1993</v>
      </c>
      <c r="X1669">
        <v>850</v>
      </c>
      <c r="Y1669" t="s">
        <v>2006</v>
      </c>
      <c r="Z1669" t="s">
        <v>2014</v>
      </c>
      <c r="AB1669" t="s">
        <v>14234</v>
      </c>
      <c r="AD1669" t="s">
        <v>16654</v>
      </c>
      <c r="AE1669">
        <v>56</v>
      </c>
      <c r="AF1669" t="s">
        <v>2902</v>
      </c>
      <c r="AG1669" t="s">
        <v>1754</v>
      </c>
      <c r="AH1669">
        <v>14</v>
      </c>
      <c r="AI1669">
        <v>1</v>
      </c>
      <c r="AJ1669">
        <v>0</v>
      </c>
      <c r="AK1669">
        <v>74.14</v>
      </c>
      <c r="AN1669" t="s">
        <v>2927</v>
      </c>
      <c r="AO1669">
        <v>9000</v>
      </c>
      <c r="AU1669">
        <v>47.45</v>
      </c>
      <c r="AV1669" t="s">
        <v>268</v>
      </c>
      <c r="AW1669" t="s">
        <v>118</v>
      </c>
    </row>
    <row r="1670" spans="1:50">
      <c r="A1670" s="1" t="s">
        <v>126</v>
      </c>
      <c r="B1670" t="s">
        <v>163</v>
      </c>
      <c r="C1670" t="s">
        <v>4880</v>
      </c>
      <c r="D1670" t="s">
        <v>200</v>
      </c>
      <c r="F1670" t="s">
        <v>670</v>
      </c>
      <c r="G1670" t="s">
        <v>780</v>
      </c>
      <c r="H1670" t="s">
        <v>9627</v>
      </c>
      <c r="I1670" t="s">
        <v>11266</v>
      </c>
      <c r="J1670" t="s">
        <v>1641</v>
      </c>
      <c r="K1670">
        <v>10451</v>
      </c>
      <c r="L1670" t="s">
        <v>1670</v>
      </c>
      <c r="M1670" t="s">
        <v>1670</v>
      </c>
      <c r="N1670" t="s">
        <v>11981</v>
      </c>
      <c r="O1670" t="s">
        <v>1939</v>
      </c>
      <c r="P1670" t="s">
        <v>1960</v>
      </c>
      <c r="R1670" t="s">
        <v>50</v>
      </c>
      <c r="S1670" t="s">
        <v>1670</v>
      </c>
      <c r="U1670" t="s">
        <v>1972</v>
      </c>
      <c r="W1670" t="s">
        <v>359</v>
      </c>
      <c r="X1670">
        <v>1490</v>
      </c>
      <c r="Y1670" t="s">
        <v>2006</v>
      </c>
      <c r="Z1670" t="s">
        <v>2015</v>
      </c>
      <c r="AB1670" t="s">
        <v>14235</v>
      </c>
      <c r="AD1670" t="s">
        <v>16655</v>
      </c>
      <c r="AE1670">
        <v>100</v>
      </c>
      <c r="AF1670" t="s">
        <v>2902</v>
      </c>
      <c r="AG1670" t="s">
        <v>2915</v>
      </c>
      <c r="AH1670">
        <v>32</v>
      </c>
      <c r="AI1670">
        <v>1</v>
      </c>
      <c r="AJ1670">
        <v>0</v>
      </c>
      <c r="AK1670">
        <v>74.14</v>
      </c>
      <c r="AN1670" t="s">
        <v>2927</v>
      </c>
      <c r="AO1670">
        <v>9000</v>
      </c>
      <c r="AU1670" t="s">
        <v>13051</v>
      </c>
      <c r="AW1670" t="s">
        <v>3047</v>
      </c>
    </row>
    <row r="1671" spans="1:50">
      <c r="A1671" s="1" t="s">
        <v>71</v>
      </c>
      <c r="B1671" t="s">
        <v>164</v>
      </c>
      <c r="C1671" t="s">
        <v>4881</v>
      </c>
      <c r="D1671" t="s">
        <v>363</v>
      </c>
      <c r="E1671" t="s">
        <v>326</v>
      </c>
      <c r="F1671" t="s">
        <v>7504</v>
      </c>
      <c r="G1671" t="s">
        <v>8663</v>
      </c>
      <c r="H1671" t="s">
        <v>10142</v>
      </c>
      <c r="I1671">
        <v>1</v>
      </c>
      <c r="J1671" t="s">
        <v>1646</v>
      </c>
      <c r="K1671">
        <v>10304</v>
      </c>
      <c r="L1671" t="s">
        <v>1670</v>
      </c>
      <c r="M1671" t="s">
        <v>1670</v>
      </c>
      <c r="N1671" t="s">
        <v>12326</v>
      </c>
      <c r="O1671" t="s">
        <v>1940</v>
      </c>
      <c r="P1671" t="s">
        <v>1960</v>
      </c>
      <c r="Q1671" t="s">
        <v>1969</v>
      </c>
      <c r="R1671" t="s">
        <v>50</v>
      </c>
      <c r="S1671" t="s">
        <v>1671</v>
      </c>
      <c r="U1671" t="s">
        <v>1972</v>
      </c>
      <c r="V1671" t="s">
        <v>1984</v>
      </c>
      <c r="W1671" t="s">
        <v>363</v>
      </c>
      <c r="X1671">
        <v>1213</v>
      </c>
      <c r="Y1671" t="s">
        <v>2010</v>
      </c>
      <c r="Z1671" t="s">
        <v>2017</v>
      </c>
      <c r="AA1671" t="s">
        <v>2033</v>
      </c>
      <c r="AB1671" t="s">
        <v>14236</v>
      </c>
      <c r="AD1671" t="s">
        <v>16656</v>
      </c>
      <c r="AE1671">
        <v>2</v>
      </c>
      <c r="AF1671" t="s">
        <v>2903</v>
      </c>
      <c r="AG1671" t="s">
        <v>2920</v>
      </c>
      <c r="AH1671">
        <v>1</v>
      </c>
      <c r="AI1671">
        <v>1</v>
      </c>
      <c r="AJ1671">
        <v>0</v>
      </c>
      <c r="AK1671">
        <v>74.23</v>
      </c>
      <c r="AN1671" t="s">
        <v>2926</v>
      </c>
      <c r="AO1671">
        <v>9012</v>
      </c>
      <c r="AQ1671" t="s">
        <v>2978</v>
      </c>
      <c r="AR1671" t="s">
        <v>2984</v>
      </c>
      <c r="AS1671" t="s">
        <v>2993</v>
      </c>
      <c r="AT1671" t="s">
        <v>18528</v>
      </c>
      <c r="AU1671">
        <v>22.5</v>
      </c>
      <c r="AV1671" t="s">
        <v>326</v>
      </c>
      <c r="AW1671" t="s">
        <v>3062</v>
      </c>
    </row>
    <row r="1672" spans="1:50">
      <c r="A1672" s="1" t="s">
        <v>114</v>
      </c>
      <c r="B1672" t="s">
        <v>164</v>
      </c>
      <c r="C1672" t="s">
        <v>4882</v>
      </c>
      <c r="D1672" t="s">
        <v>230</v>
      </c>
      <c r="E1672" t="s">
        <v>289</v>
      </c>
      <c r="F1672" t="s">
        <v>574</v>
      </c>
      <c r="G1672" t="s">
        <v>953</v>
      </c>
      <c r="H1672" t="s">
        <v>10143</v>
      </c>
      <c r="I1672" t="s">
        <v>1560</v>
      </c>
      <c r="J1672" t="s">
        <v>1641</v>
      </c>
      <c r="K1672">
        <v>10452</v>
      </c>
      <c r="L1672" t="s">
        <v>1670</v>
      </c>
      <c r="M1672" t="s">
        <v>1672</v>
      </c>
      <c r="N1672" t="s">
        <v>12327</v>
      </c>
      <c r="O1672" t="s">
        <v>1939</v>
      </c>
      <c r="P1672" t="s">
        <v>1958</v>
      </c>
      <c r="Q1672" t="s">
        <v>1965</v>
      </c>
      <c r="R1672" t="s">
        <v>50</v>
      </c>
      <c r="S1672" t="s">
        <v>1671</v>
      </c>
      <c r="U1672" t="s">
        <v>1972</v>
      </c>
      <c r="W1672" t="s">
        <v>1994</v>
      </c>
      <c r="X1672">
        <v>1200</v>
      </c>
      <c r="Y1672" t="s">
        <v>2006</v>
      </c>
      <c r="Z1672" t="s">
        <v>2013</v>
      </c>
      <c r="AA1672" t="s">
        <v>2029</v>
      </c>
      <c r="AB1672" t="s">
        <v>14237</v>
      </c>
      <c r="AD1672" t="s">
        <v>16657</v>
      </c>
      <c r="AE1672">
        <v>30</v>
      </c>
      <c r="AF1672" t="s">
        <v>2902</v>
      </c>
      <c r="AG1672" t="s">
        <v>2915</v>
      </c>
      <c r="AH1672">
        <v>28</v>
      </c>
      <c r="AI1672">
        <v>1</v>
      </c>
      <c r="AJ1672">
        <v>0</v>
      </c>
      <c r="AK1672">
        <v>74.27</v>
      </c>
      <c r="AN1672" t="s">
        <v>2926</v>
      </c>
      <c r="AO1672">
        <v>9276</v>
      </c>
      <c r="AU1672">
        <v>0.8</v>
      </c>
      <c r="AV1672" t="s">
        <v>230</v>
      </c>
      <c r="AW1672" t="s">
        <v>114</v>
      </c>
      <c r="AX1672" t="s">
        <v>18685</v>
      </c>
    </row>
    <row r="1673" spans="1:50">
      <c r="A1673" s="1" t="s">
        <v>115</v>
      </c>
      <c r="B1673" t="s">
        <v>163</v>
      </c>
      <c r="C1673" t="s">
        <v>4883</v>
      </c>
      <c r="D1673" t="s">
        <v>384</v>
      </c>
      <c r="F1673" t="s">
        <v>7269</v>
      </c>
      <c r="G1673" t="s">
        <v>1085</v>
      </c>
      <c r="H1673" t="s">
        <v>10144</v>
      </c>
      <c r="I1673" t="s">
        <v>11267</v>
      </c>
      <c r="J1673" t="s">
        <v>1641</v>
      </c>
      <c r="K1673">
        <v>10457</v>
      </c>
      <c r="L1673" t="s">
        <v>1670</v>
      </c>
      <c r="M1673" t="s">
        <v>1670</v>
      </c>
      <c r="O1673" t="s">
        <v>1675</v>
      </c>
      <c r="P1673" t="s">
        <v>1958</v>
      </c>
      <c r="R1673" t="s">
        <v>50</v>
      </c>
      <c r="S1673" t="s">
        <v>1671</v>
      </c>
      <c r="U1673" t="s">
        <v>1972</v>
      </c>
      <c r="W1673" t="s">
        <v>274</v>
      </c>
      <c r="X1673">
        <v>237</v>
      </c>
      <c r="Y1673" t="s">
        <v>2006</v>
      </c>
      <c r="Z1673" t="s">
        <v>2015</v>
      </c>
      <c r="AB1673" t="s">
        <v>14238</v>
      </c>
      <c r="AD1673" t="s">
        <v>16658</v>
      </c>
      <c r="AE1673">
        <v>25</v>
      </c>
      <c r="AF1673" t="s">
        <v>2902</v>
      </c>
      <c r="AG1673" t="s">
        <v>2916</v>
      </c>
      <c r="AH1673">
        <v>2</v>
      </c>
      <c r="AI1673">
        <v>1</v>
      </c>
      <c r="AJ1673">
        <v>0</v>
      </c>
      <c r="AK1673">
        <v>74.27</v>
      </c>
      <c r="AN1673" t="s">
        <v>2927</v>
      </c>
      <c r="AO1673">
        <v>9276</v>
      </c>
      <c r="AU1673">
        <v>1.7</v>
      </c>
      <c r="AV1673" t="s">
        <v>195</v>
      </c>
      <c r="AW1673" t="s">
        <v>3068</v>
      </c>
    </row>
    <row r="1674" spans="1:50">
      <c r="A1674" s="1" t="s">
        <v>127</v>
      </c>
      <c r="B1674" t="s">
        <v>163</v>
      </c>
      <c r="C1674" t="s">
        <v>4884</v>
      </c>
      <c r="D1674" t="s">
        <v>235</v>
      </c>
      <c r="F1674" t="s">
        <v>7505</v>
      </c>
      <c r="G1674" t="s">
        <v>8664</v>
      </c>
      <c r="H1674" t="s">
        <v>10145</v>
      </c>
      <c r="I1674">
        <v>7</v>
      </c>
      <c r="J1674" t="s">
        <v>11755</v>
      </c>
      <c r="K1674">
        <v>11233</v>
      </c>
      <c r="L1674" t="s">
        <v>1670</v>
      </c>
      <c r="M1674" t="s">
        <v>1670</v>
      </c>
      <c r="O1674" t="s">
        <v>1939</v>
      </c>
      <c r="P1674" t="s">
        <v>1962</v>
      </c>
      <c r="R1674" t="s">
        <v>50</v>
      </c>
      <c r="U1674" t="s">
        <v>1972</v>
      </c>
      <c r="W1674" t="s">
        <v>269</v>
      </c>
      <c r="X1674">
        <v>859</v>
      </c>
      <c r="Y1674" t="s">
        <v>2009</v>
      </c>
      <c r="AB1674" t="s">
        <v>2395</v>
      </c>
      <c r="AD1674" t="s">
        <v>16659</v>
      </c>
      <c r="AE1674">
        <v>12</v>
      </c>
      <c r="AF1674" t="s">
        <v>2902</v>
      </c>
      <c r="AG1674" t="s">
        <v>2915</v>
      </c>
      <c r="AH1674" t="s">
        <v>13051</v>
      </c>
      <c r="AI1674">
        <v>1</v>
      </c>
      <c r="AJ1674">
        <v>0</v>
      </c>
      <c r="AK1674">
        <v>74.36</v>
      </c>
      <c r="AN1674" t="s">
        <v>2926</v>
      </c>
      <c r="AO1674">
        <v>9288</v>
      </c>
      <c r="AU1674">
        <v>36.7</v>
      </c>
      <c r="AV1674" t="s">
        <v>3030</v>
      </c>
      <c r="AW1674" t="s">
        <v>127</v>
      </c>
    </row>
    <row r="1675" spans="1:50">
      <c r="A1675" s="1" t="s">
        <v>88</v>
      </c>
      <c r="B1675" t="s">
        <v>164</v>
      </c>
      <c r="C1675" t="s">
        <v>4885</v>
      </c>
      <c r="D1675" t="s">
        <v>301</v>
      </c>
      <c r="E1675" t="s">
        <v>268</v>
      </c>
      <c r="F1675" t="s">
        <v>510</v>
      </c>
      <c r="G1675" t="s">
        <v>8665</v>
      </c>
      <c r="H1675" t="s">
        <v>10146</v>
      </c>
      <c r="I1675" t="s">
        <v>1571</v>
      </c>
      <c r="J1675" t="s">
        <v>1644</v>
      </c>
      <c r="K1675">
        <v>11212</v>
      </c>
      <c r="L1675" t="s">
        <v>1670</v>
      </c>
      <c r="M1675" t="s">
        <v>1671</v>
      </c>
      <c r="N1675" t="s">
        <v>12328</v>
      </c>
      <c r="O1675" t="s">
        <v>1936</v>
      </c>
      <c r="P1675" t="s">
        <v>1960</v>
      </c>
      <c r="Q1675" t="s">
        <v>1969</v>
      </c>
      <c r="R1675" t="s">
        <v>50</v>
      </c>
      <c r="S1675" t="s">
        <v>1671</v>
      </c>
      <c r="U1675" t="s">
        <v>1972</v>
      </c>
      <c r="V1675" t="s">
        <v>1984</v>
      </c>
      <c r="W1675" t="s">
        <v>310</v>
      </c>
      <c r="X1675">
        <v>181</v>
      </c>
      <c r="Y1675" t="s">
        <v>2009</v>
      </c>
      <c r="Z1675" t="s">
        <v>2020</v>
      </c>
      <c r="AA1675" t="s">
        <v>2032</v>
      </c>
      <c r="AB1675" t="s">
        <v>14239</v>
      </c>
      <c r="AC1675">
        <v>35075127</v>
      </c>
      <c r="AD1675" t="s">
        <v>16660</v>
      </c>
      <c r="AE1675">
        <v>260</v>
      </c>
      <c r="AF1675" t="s">
        <v>2902</v>
      </c>
      <c r="AG1675" t="s">
        <v>2915</v>
      </c>
      <c r="AH1675">
        <v>39</v>
      </c>
      <c r="AI1675">
        <v>1</v>
      </c>
      <c r="AJ1675">
        <v>0</v>
      </c>
      <c r="AK1675">
        <v>74.36</v>
      </c>
      <c r="AN1675" t="s">
        <v>2926</v>
      </c>
      <c r="AO1675">
        <v>9288</v>
      </c>
      <c r="AU1675">
        <v>6.8</v>
      </c>
      <c r="AV1675" t="s">
        <v>193</v>
      </c>
      <c r="AW1675" t="s">
        <v>3059</v>
      </c>
      <c r="AX1675" t="s">
        <v>18685</v>
      </c>
    </row>
    <row r="1676" spans="1:50">
      <c r="A1676" s="1" t="s">
        <v>111</v>
      </c>
      <c r="B1676" t="s">
        <v>164</v>
      </c>
      <c r="C1676" t="s">
        <v>4886</v>
      </c>
      <c r="D1676" t="s">
        <v>294</v>
      </c>
      <c r="E1676" t="s">
        <v>3038</v>
      </c>
      <c r="F1676" t="s">
        <v>544</v>
      </c>
      <c r="G1676" t="s">
        <v>8666</v>
      </c>
      <c r="H1676" t="s">
        <v>10147</v>
      </c>
      <c r="I1676" t="s">
        <v>11268</v>
      </c>
      <c r="J1676" t="s">
        <v>1641</v>
      </c>
      <c r="K1676">
        <v>10467</v>
      </c>
      <c r="L1676" t="s">
        <v>1670</v>
      </c>
      <c r="M1676" t="s">
        <v>1672</v>
      </c>
      <c r="O1676" t="s">
        <v>1941</v>
      </c>
      <c r="P1676" t="s">
        <v>1958</v>
      </c>
      <c r="Q1676" t="s">
        <v>1965</v>
      </c>
      <c r="R1676" t="s">
        <v>50</v>
      </c>
      <c r="S1676" t="s">
        <v>1671</v>
      </c>
      <c r="U1676" t="s">
        <v>1972</v>
      </c>
      <c r="W1676" t="s">
        <v>1991</v>
      </c>
      <c r="X1676">
        <v>433</v>
      </c>
      <c r="Y1676" t="s">
        <v>2006</v>
      </c>
      <c r="Z1676" t="s">
        <v>2020</v>
      </c>
      <c r="AA1676" t="s">
        <v>2029</v>
      </c>
      <c r="AB1676" t="s">
        <v>13910</v>
      </c>
      <c r="AD1676" t="s">
        <v>16661</v>
      </c>
      <c r="AE1676" t="s">
        <v>13051</v>
      </c>
      <c r="AF1676" t="s">
        <v>2903</v>
      </c>
      <c r="AH1676" t="s">
        <v>13051</v>
      </c>
      <c r="AI1676">
        <v>1</v>
      </c>
      <c r="AJ1676">
        <v>0</v>
      </c>
      <c r="AK1676">
        <v>74.45999999999999</v>
      </c>
      <c r="AN1676" t="s">
        <v>2926</v>
      </c>
      <c r="AO1676">
        <v>9300</v>
      </c>
      <c r="AU1676">
        <v>0.5</v>
      </c>
      <c r="AV1676" t="s">
        <v>406</v>
      </c>
      <c r="AW1676" t="s">
        <v>111</v>
      </c>
      <c r="AX1676" t="s">
        <v>18685</v>
      </c>
    </row>
    <row r="1677" spans="1:50">
      <c r="A1677" s="1" t="s">
        <v>74</v>
      </c>
      <c r="B1677" t="s">
        <v>163</v>
      </c>
      <c r="C1677" t="s">
        <v>4887</v>
      </c>
      <c r="D1677" t="s">
        <v>230</v>
      </c>
      <c r="F1677" t="s">
        <v>7506</v>
      </c>
      <c r="G1677" t="s">
        <v>8667</v>
      </c>
      <c r="H1677" t="s">
        <v>1131</v>
      </c>
      <c r="I1677" t="s">
        <v>11269</v>
      </c>
      <c r="J1677" t="s">
        <v>1641</v>
      </c>
      <c r="K1677">
        <v>10460</v>
      </c>
      <c r="L1677" t="s">
        <v>1670</v>
      </c>
      <c r="M1677" t="s">
        <v>1672</v>
      </c>
      <c r="O1677" t="s">
        <v>1675</v>
      </c>
      <c r="P1677" t="s">
        <v>1959</v>
      </c>
      <c r="R1677" t="s">
        <v>50</v>
      </c>
      <c r="S1677" t="s">
        <v>1670</v>
      </c>
      <c r="U1677" t="s">
        <v>1972</v>
      </c>
      <c r="W1677" t="s">
        <v>1991</v>
      </c>
      <c r="X1677">
        <v>241</v>
      </c>
      <c r="Y1677" t="s">
        <v>2006</v>
      </c>
      <c r="Z1677" t="s">
        <v>2015</v>
      </c>
      <c r="AB1677" t="s">
        <v>2430</v>
      </c>
      <c r="AD1677" t="s">
        <v>16662</v>
      </c>
      <c r="AE1677">
        <v>168</v>
      </c>
      <c r="AF1677" t="s">
        <v>2902</v>
      </c>
      <c r="AG1677" t="s">
        <v>2915</v>
      </c>
      <c r="AH1677">
        <v>12</v>
      </c>
      <c r="AI1677">
        <v>1</v>
      </c>
      <c r="AJ1677">
        <v>0</v>
      </c>
      <c r="AK1677">
        <v>74.45999999999999</v>
      </c>
      <c r="AN1677" t="s">
        <v>2926</v>
      </c>
      <c r="AO1677">
        <v>9300</v>
      </c>
      <c r="AU1677">
        <v>11</v>
      </c>
      <c r="AV1677" t="s">
        <v>333</v>
      </c>
      <c r="AW1677" t="s">
        <v>3045</v>
      </c>
      <c r="AX1677" t="s">
        <v>18685</v>
      </c>
    </row>
    <row r="1678" spans="1:50">
      <c r="A1678" s="1" t="s">
        <v>101</v>
      </c>
      <c r="B1678" t="s">
        <v>163</v>
      </c>
      <c r="C1678" t="s">
        <v>4888</v>
      </c>
      <c r="D1678" t="s">
        <v>354</v>
      </c>
      <c r="F1678" t="s">
        <v>457</v>
      </c>
      <c r="G1678" t="s">
        <v>8668</v>
      </c>
      <c r="H1678" t="s">
        <v>9486</v>
      </c>
      <c r="I1678" t="s">
        <v>11270</v>
      </c>
      <c r="J1678" t="s">
        <v>1643</v>
      </c>
      <c r="K1678">
        <v>10034</v>
      </c>
      <c r="L1678" t="s">
        <v>1670</v>
      </c>
      <c r="M1678" t="s">
        <v>1672</v>
      </c>
      <c r="O1678" t="s">
        <v>1675</v>
      </c>
      <c r="P1678" t="s">
        <v>1962</v>
      </c>
      <c r="R1678" t="s">
        <v>50</v>
      </c>
      <c r="S1678" t="s">
        <v>1671</v>
      </c>
      <c r="U1678" t="s">
        <v>1972</v>
      </c>
      <c r="V1678" t="s">
        <v>1984</v>
      </c>
      <c r="W1678" t="s">
        <v>354</v>
      </c>
      <c r="X1678">
        <v>544.6799999999999</v>
      </c>
      <c r="Y1678" t="s">
        <v>2008</v>
      </c>
      <c r="Z1678" t="s">
        <v>2020</v>
      </c>
      <c r="AB1678" t="s">
        <v>14240</v>
      </c>
      <c r="AD1678" t="s">
        <v>16663</v>
      </c>
      <c r="AE1678">
        <v>200</v>
      </c>
      <c r="AF1678" t="s">
        <v>2908</v>
      </c>
      <c r="AG1678" t="s">
        <v>1754</v>
      </c>
      <c r="AH1678">
        <v>24</v>
      </c>
      <c r="AI1678">
        <v>1</v>
      </c>
      <c r="AJ1678">
        <v>0</v>
      </c>
      <c r="AK1678">
        <v>74.47</v>
      </c>
      <c r="AN1678" t="s">
        <v>2926</v>
      </c>
      <c r="AO1678">
        <v>9301.32</v>
      </c>
      <c r="AU1678" t="s">
        <v>13051</v>
      </c>
      <c r="AW1678" t="s">
        <v>3051</v>
      </c>
      <c r="AX1678" t="s">
        <v>18685</v>
      </c>
    </row>
    <row r="1679" spans="1:50">
      <c r="A1679" s="1" t="s">
        <v>3166</v>
      </c>
      <c r="B1679" t="s">
        <v>164</v>
      </c>
      <c r="C1679" t="s">
        <v>4889</v>
      </c>
      <c r="D1679" t="s">
        <v>247</v>
      </c>
      <c r="E1679" t="s">
        <v>320</v>
      </c>
      <c r="F1679" t="s">
        <v>7507</v>
      </c>
      <c r="G1679" t="s">
        <v>8669</v>
      </c>
      <c r="H1679" t="s">
        <v>10148</v>
      </c>
      <c r="I1679" t="s">
        <v>11271</v>
      </c>
      <c r="J1679" t="s">
        <v>1641</v>
      </c>
      <c r="K1679">
        <v>10467</v>
      </c>
      <c r="L1679" t="s">
        <v>1670</v>
      </c>
      <c r="M1679" t="s">
        <v>1670</v>
      </c>
      <c r="N1679" t="s">
        <v>1691</v>
      </c>
      <c r="O1679" t="s">
        <v>1945</v>
      </c>
      <c r="P1679" t="s">
        <v>1959</v>
      </c>
      <c r="Q1679" t="s">
        <v>1970</v>
      </c>
      <c r="R1679" t="s">
        <v>50</v>
      </c>
      <c r="S1679" t="s">
        <v>1671</v>
      </c>
      <c r="U1679" t="s">
        <v>1980</v>
      </c>
      <c r="W1679" t="s">
        <v>252</v>
      </c>
      <c r="X1679">
        <v>997.65</v>
      </c>
      <c r="Y1679" t="s">
        <v>2006</v>
      </c>
      <c r="Z1679" t="s">
        <v>2021</v>
      </c>
      <c r="AA1679" t="s">
        <v>2032</v>
      </c>
      <c r="AB1679" t="s">
        <v>14234</v>
      </c>
      <c r="AD1679" t="s">
        <v>16664</v>
      </c>
      <c r="AE1679">
        <v>51</v>
      </c>
      <c r="AF1679" t="s">
        <v>2902</v>
      </c>
      <c r="AG1679" t="s">
        <v>2919</v>
      </c>
      <c r="AH1679">
        <v>30</v>
      </c>
      <c r="AI1679">
        <v>1</v>
      </c>
      <c r="AJ1679">
        <v>0</v>
      </c>
      <c r="AK1679">
        <v>74.54000000000001</v>
      </c>
      <c r="AN1679" t="s">
        <v>18044</v>
      </c>
      <c r="AO1679">
        <v>9049.200000000001</v>
      </c>
      <c r="AP1679" t="s">
        <v>18298</v>
      </c>
      <c r="AU1679">
        <v>4</v>
      </c>
      <c r="AV1679" t="s">
        <v>320</v>
      </c>
      <c r="AW1679" t="s">
        <v>3166</v>
      </c>
    </row>
    <row r="1680" spans="1:50">
      <c r="A1680" s="1" t="s">
        <v>126</v>
      </c>
      <c r="B1680" t="s">
        <v>163</v>
      </c>
      <c r="C1680" t="s">
        <v>4890</v>
      </c>
      <c r="D1680" t="s">
        <v>200</v>
      </c>
      <c r="F1680" t="s">
        <v>1085</v>
      </c>
      <c r="G1680" t="s">
        <v>1039</v>
      </c>
      <c r="H1680" t="s">
        <v>9627</v>
      </c>
      <c r="I1680" t="s">
        <v>11272</v>
      </c>
      <c r="J1680" t="s">
        <v>1641</v>
      </c>
      <c r="K1680">
        <v>10451</v>
      </c>
      <c r="L1680" t="s">
        <v>1670</v>
      </c>
      <c r="M1680" t="s">
        <v>1670</v>
      </c>
      <c r="N1680" t="s">
        <v>11981</v>
      </c>
      <c r="O1680" t="s">
        <v>1939</v>
      </c>
      <c r="P1680" t="s">
        <v>1960</v>
      </c>
      <c r="R1680" t="s">
        <v>50</v>
      </c>
      <c r="S1680" t="s">
        <v>1670</v>
      </c>
      <c r="U1680" t="s">
        <v>1972</v>
      </c>
      <c r="W1680" t="s">
        <v>359</v>
      </c>
      <c r="X1680">
        <v>1020</v>
      </c>
      <c r="Y1680" t="s">
        <v>2006</v>
      </c>
      <c r="Z1680" t="s">
        <v>2015</v>
      </c>
      <c r="AB1680" t="s">
        <v>2095</v>
      </c>
      <c r="AD1680" t="s">
        <v>16665</v>
      </c>
      <c r="AE1680">
        <v>100</v>
      </c>
      <c r="AF1680" t="s">
        <v>2902</v>
      </c>
      <c r="AG1680" t="s">
        <v>2919</v>
      </c>
      <c r="AH1680" t="s">
        <v>13051</v>
      </c>
      <c r="AI1680">
        <v>1</v>
      </c>
      <c r="AJ1680">
        <v>0</v>
      </c>
      <c r="AK1680">
        <v>74.63</v>
      </c>
      <c r="AN1680" t="s">
        <v>2927</v>
      </c>
      <c r="AO1680">
        <v>9060</v>
      </c>
      <c r="AU1680" t="s">
        <v>13051</v>
      </c>
      <c r="AW1680" t="s">
        <v>3047</v>
      </c>
    </row>
    <row r="1681" spans="1:50">
      <c r="A1681" s="1" t="s">
        <v>91</v>
      </c>
      <c r="B1681" t="s">
        <v>164</v>
      </c>
      <c r="C1681" t="s">
        <v>4891</v>
      </c>
      <c r="D1681" t="s">
        <v>212</v>
      </c>
      <c r="E1681" t="s">
        <v>369</v>
      </c>
      <c r="F1681" t="s">
        <v>427</v>
      </c>
      <c r="G1681" t="s">
        <v>822</v>
      </c>
      <c r="H1681" t="s">
        <v>9684</v>
      </c>
      <c r="I1681" t="s">
        <v>1601</v>
      </c>
      <c r="J1681" t="s">
        <v>1643</v>
      </c>
      <c r="K1681">
        <v>10040</v>
      </c>
      <c r="L1681" t="s">
        <v>1670</v>
      </c>
      <c r="M1681" t="s">
        <v>1670</v>
      </c>
      <c r="N1681" t="s">
        <v>12329</v>
      </c>
      <c r="O1681" t="s">
        <v>1936</v>
      </c>
      <c r="P1681" t="s">
        <v>1958</v>
      </c>
      <c r="Q1681" t="s">
        <v>1965</v>
      </c>
      <c r="R1681" t="s">
        <v>50</v>
      </c>
      <c r="S1681" t="s">
        <v>1671</v>
      </c>
      <c r="U1681" t="s">
        <v>1972</v>
      </c>
      <c r="W1681" t="s">
        <v>212</v>
      </c>
      <c r="X1681">
        <v>1287</v>
      </c>
      <c r="Y1681" t="s">
        <v>2008</v>
      </c>
      <c r="Z1681" t="s">
        <v>2020</v>
      </c>
      <c r="AA1681" t="s">
        <v>2029</v>
      </c>
      <c r="AB1681" t="s">
        <v>14216</v>
      </c>
      <c r="AE1681">
        <v>47</v>
      </c>
      <c r="AF1681" t="s">
        <v>2902</v>
      </c>
      <c r="AG1681" t="s">
        <v>1754</v>
      </c>
      <c r="AH1681">
        <v>31</v>
      </c>
      <c r="AI1681">
        <v>1</v>
      </c>
      <c r="AJ1681">
        <v>0</v>
      </c>
      <c r="AK1681">
        <v>74.65000000000001</v>
      </c>
      <c r="AN1681" t="s">
        <v>2927</v>
      </c>
      <c r="AO1681">
        <v>9324</v>
      </c>
      <c r="AU1681">
        <v>1.4</v>
      </c>
      <c r="AV1681" t="s">
        <v>3031</v>
      </c>
      <c r="AW1681" t="s">
        <v>3042</v>
      </c>
      <c r="AX1681" t="s">
        <v>18685</v>
      </c>
    </row>
    <row r="1682" spans="1:50">
      <c r="A1682" s="1" t="s">
        <v>95</v>
      </c>
      <c r="B1682" t="s">
        <v>164</v>
      </c>
      <c r="C1682" t="s">
        <v>4892</v>
      </c>
      <c r="D1682" t="s">
        <v>255</v>
      </c>
      <c r="E1682" t="s">
        <v>220</v>
      </c>
      <c r="F1682" t="s">
        <v>7508</v>
      </c>
      <c r="G1682" t="s">
        <v>8670</v>
      </c>
      <c r="H1682" t="s">
        <v>10149</v>
      </c>
      <c r="I1682" t="s">
        <v>1525</v>
      </c>
      <c r="J1682" t="s">
        <v>1641</v>
      </c>
      <c r="K1682">
        <v>10456</v>
      </c>
      <c r="L1682" t="s">
        <v>1670</v>
      </c>
      <c r="M1682" t="s">
        <v>1670</v>
      </c>
      <c r="O1682" t="s">
        <v>1675</v>
      </c>
      <c r="P1682" t="s">
        <v>1958</v>
      </c>
      <c r="Q1682" t="s">
        <v>1965</v>
      </c>
      <c r="R1682" t="s">
        <v>50</v>
      </c>
      <c r="S1682" t="s">
        <v>1671</v>
      </c>
      <c r="U1682" t="s">
        <v>1972</v>
      </c>
      <c r="W1682" t="s">
        <v>255</v>
      </c>
      <c r="X1682">
        <v>593</v>
      </c>
      <c r="Y1682" t="s">
        <v>2006</v>
      </c>
      <c r="Z1682" t="s">
        <v>2015</v>
      </c>
      <c r="AA1682" t="s">
        <v>2029</v>
      </c>
      <c r="AB1682" t="s">
        <v>14241</v>
      </c>
      <c r="AD1682" t="s">
        <v>16666</v>
      </c>
      <c r="AE1682" t="s">
        <v>13051</v>
      </c>
      <c r="AF1682" t="s">
        <v>2902</v>
      </c>
      <c r="AG1682" t="s">
        <v>2919</v>
      </c>
      <c r="AH1682">
        <v>31</v>
      </c>
      <c r="AI1682">
        <v>1</v>
      </c>
      <c r="AJ1682">
        <v>0</v>
      </c>
      <c r="AK1682">
        <v>74.75</v>
      </c>
      <c r="AN1682" t="s">
        <v>2926</v>
      </c>
      <c r="AO1682">
        <v>9336</v>
      </c>
      <c r="AU1682">
        <v>0.5</v>
      </c>
      <c r="AV1682" t="s">
        <v>283</v>
      </c>
      <c r="AW1682" t="s">
        <v>95</v>
      </c>
    </row>
    <row r="1683" spans="1:50">
      <c r="A1683" s="1" t="s">
        <v>75</v>
      </c>
      <c r="B1683" t="s">
        <v>164</v>
      </c>
      <c r="C1683" t="s">
        <v>4893</v>
      </c>
      <c r="D1683" t="s">
        <v>314</v>
      </c>
      <c r="E1683" t="s">
        <v>231</v>
      </c>
      <c r="F1683" t="s">
        <v>7509</v>
      </c>
      <c r="G1683" t="s">
        <v>8671</v>
      </c>
      <c r="H1683" t="s">
        <v>9845</v>
      </c>
      <c r="I1683" t="s">
        <v>11273</v>
      </c>
      <c r="J1683" t="s">
        <v>1643</v>
      </c>
      <c r="K1683">
        <v>10029</v>
      </c>
      <c r="L1683" t="s">
        <v>1670</v>
      </c>
      <c r="M1683" t="s">
        <v>1670</v>
      </c>
      <c r="N1683" t="s">
        <v>12330</v>
      </c>
      <c r="O1683" t="s">
        <v>1954</v>
      </c>
      <c r="P1683" t="s">
        <v>1958</v>
      </c>
      <c r="Q1683" t="s">
        <v>1965</v>
      </c>
      <c r="R1683" t="s">
        <v>50</v>
      </c>
      <c r="S1683" t="s">
        <v>1671</v>
      </c>
      <c r="U1683" t="s">
        <v>1972</v>
      </c>
      <c r="V1683" t="s">
        <v>1986</v>
      </c>
      <c r="W1683" t="s">
        <v>2005</v>
      </c>
      <c r="X1683">
        <v>1320</v>
      </c>
      <c r="Y1683" t="s">
        <v>2008</v>
      </c>
      <c r="Z1683" t="s">
        <v>2017</v>
      </c>
      <c r="AA1683" t="s">
        <v>2029</v>
      </c>
      <c r="AB1683" t="s">
        <v>14242</v>
      </c>
      <c r="AD1683" t="s">
        <v>16667</v>
      </c>
      <c r="AE1683">
        <v>144</v>
      </c>
      <c r="AF1683" t="s">
        <v>2906</v>
      </c>
      <c r="AG1683" t="s">
        <v>2915</v>
      </c>
      <c r="AH1683">
        <v>13</v>
      </c>
      <c r="AI1683">
        <v>1</v>
      </c>
      <c r="AJ1683">
        <v>0</v>
      </c>
      <c r="AK1683">
        <v>74.95999999999999</v>
      </c>
      <c r="AN1683" t="s">
        <v>2926</v>
      </c>
      <c r="AO1683">
        <v>9100</v>
      </c>
      <c r="AU1683">
        <v>1.6</v>
      </c>
      <c r="AV1683" t="s">
        <v>231</v>
      </c>
      <c r="AW1683" t="s">
        <v>18654</v>
      </c>
    </row>
    <row r="1684" spans="1:50">
      <c r="A1684" s="1" t="s">
        <v>132</v>
      </c>
      <c r="B1684" t="s">
        <v>164</v>
      </c>
      <c r="C1684" t="s">
        <v>4894</v>
      </c>
      <c r="D1684" t="s">
        <v>343</v>
      </c>
      <c r="E1684" t="s">
        <v>394</v>
      </c>
      <c r="F1684" t="s">
        <v>7478</v>
      </c>
      <c r="G1684" t="s">
        <v>8434</v>
      </c>
      <c r="H1684" t="s">
        <v>1290</v>
      </c>
      <c r="I1684" t="s">
        <v>1522</v>
      </c>
      <c r="J1684" t="s">
        <v>1644</v>
      </c>
      <c r="K1684">
        <v>11221</v>
      </c>
      <c r="L1684" t="s">
        <v>1670</v>
      </c>
      <c r="M1684" t="s">
        <v>1670</v>
      </c>
      <c r="O1684" t="s">
        <v>1937</v>
      </c>
      <c r="P1684" t="s">
        <v>1962</v>
      </c>
      <c r="Q1684" t="s">
        <v>1968</v>
      </c>
      <c r="R1684" t="s">
        <v>50</v>
      </c>
      <c r="S1684" t="s">
        <v>1670</v>
      </c>
      <c r="U1684" t="s">
        <v>1972</v>
      </c>
      <c r="W1684" t="s">
        <v>408</v>
      </c>
      <c r="X1684">
        <v>793</v>
      </c>
      <c r="Y1684" t="s">
        <v>2009</v>
      </c>
      <c r="Z1684" t="s">
        <v>2015</v>
      </c>
      <c r="AA1684" t="s">
        <v>2031</v>
      </c>
      <c r="AB1684" t="s">
        <v>14185</v>
      </c>
      <c r="AC1684" t="s">
        <v>1754</v>
      </c>
      <c r="AD1684" t="s">
        <v>16605</v>
      </c>
      <c r="AE1684">
        <v>12</v>
      </c>
      <c r="AF1684" t="s">
        <v>2902</v>
      </c>
      <c r="AG1684" t="s">
        <v>1754</v>
      </c>
      <c r="AH1684">
        <v>15</v>
      </c>
      <c r="AI1684">
        <v>1</v>
      </c>
      <c r="AJ1684">
        <v>0</v>
      </c>
      <c r="AK1684">
        <v>74.95999999999999</v>
      </c>
      <c r="AN1684" t="s">
        <v>2926</v>
      </c>
      <c r="AO1684">
        <v>9100</v>
      </c>
      <c r="AP1684" t="s">
        <v>2963</v>
      </c>
      <c r="AU1684">
        <v>0.08</v>
      </c>
      <c r="AV1684" t="s">
        <v>367</v>
      </c>
      <c r="AW1684" t="s">
        <v>3060</v>
      </c>
    </row>
    <row r="1685" spans="1:50">
      <c r="A1685" s="1" t="s">
        <v>132</v>
      </c>
      <c r="B1685" t="s">
        <v>163</v>
      </c>
      <c r="C1685" t="s">
        <v>4895</v>
      </c>
      <c r="D1685" t="s">
        <v>343</v>
      </c>
      <c r="F1685" t="s">
        <v>7478</v>
      </c>
      <c r="G1685" t="s">
        <v>8434</v>
      </c>
      <c r="H1685" t="s">
        <v>1290</v>
      </c>
      <c r="I1685" t="s">
        <v>1522</v>
      </c>
      <c r="J1685" t="s">
        <v>1644</v>
      </c>
      <c r="K1685">
        <v>11221</v>
      </c>
      <c r="L1685" t="s">
        <v>1670</v>
      </c>
      <c r="M1685" t="s">
        <v>1670</v>
      </c>
      <c r="O1685" t="s">
        <v>1938</v>
      </c>
      <c r="P1685" t="s">
        <v>1961</v>
      </c>
      <c r="R1685" t="s">
        <v>50</v>
      </c>
      <c r="S1685" t="s">
        <v>1670</v>
      </c>
      <c r="U1685" t="s">
        <v>1972</v>
      </c>
      <c r="W1685" t="s">
        <v>408</v>
      </c>
      <c r="X1685">
        <v>793</v>
      </c>
      <c r="Y1685" t="s">
        <v>2009</v>
      </c>
      <c r="Z1685" t="s">
        <v>2015</v>
      </c>
      <c r="AB1685" t="s">
        <v>14185</v>
      </c>
      <c r="AD1685" t="s">
        <v>16605</v>
      </c>
      <c r="AE1685">
        <v>12</v>
      </c>
      <c r="AF1685" t="s">
        <v>2902</v>
      </c>
      <c r="AG1685" t="s">
        <v>1754</v>
      </c>
      <c r="AH1685">
        <v>15</v>
      </c>
      <c r="AI1685">
        <v>1</v>
      </c>
      <c r="AJ1685">
        <v>0</v>
      </c>
      <c r="AK1685">
        <v>74.95999999999999</v>
      </c>
      <c r="AN1685" t="s">
        <v>2926</v>
      </c>
      <c r="AO1685">
        <v>9100</v>
      </c>
      <c r="AP1685" t="s">
        <v>18299</v>
      </c>
      <c r="AU1685" t="s">
        <v>13051</v>
      </c>
      <c r="AW1685" t="s">
        <v>3060</v>
      </c>
    </row>
    <row r="1686" spans="1:50">
      <c r="A1686" s="1" t="s">
        <v>132</v>
      </c>
      <c r="B1686" t="s">
        <v>163</v>
      </c>
      <c r="C1686" t="s">
        <v>4896</v>
      </c>
      <c r="D1686" t="s">
        <v>343</v>
      </c>
      <c r="F1686" t="s">
        <v>7478</v>
      </c>
      <c r="G1686" t="s">
        <v>8434</v>
      </c>
      <c r="H1686" t="s">
        <v>1290</v>
      </c>
      <c r="I1686" t="s">
        <v>1522</v>
      </c>
      <c r="J1686" t="s">
        <v>1644</v>
      </c>
      <c r="K1686">
        <v>11221</v>
      </c>
      <c r="L1686" t="s">
        <v>1670</v>
      </c>
      <c r="M1686" t="s">
        <v>1670</v>
      </c>
      <c r="O1686" t="s">
        <v>1939</v>
      </c>
      <c r="P1686" t="s">
        <v>1960</v>
      </c>
      <c r="R1686" t="s">
        <v>50</v>
      </c>
      <c r="S1686" t="s">
        <v>1670</v>
      </c>
      <c r="U1686" t="s">
        <v>1972</v>
      </c>
      <c r="W1686" t="s">
        <v>264</v>
      </c>
      <c r="X1686">
        <v>793</v>
      </c>
      <c r="Y1686" t="s">
        <v>2009</v>
      </c>
      <c r="Z1686" t="s">
        <v>2015</v>
      </c>
      <c r="AB1686" t="s">
        <v>14185</v>
      </c>
      <c r="AD1686" t="s">
        <v>16605</v>
      </c>
      <c r="AE1686">
        <v>12</v>
      </c>
      <c r="AF1686" t="s">
        <v>2902</v>
      </c>
      <c r="AG1686" t="s">
        <v>1754</v>
      </c>
      <c r="AH1686">
        <v>15</v>
      </c>
      <c r="AI1686">
        <v>1</v>
      </c>
      <c r="AJ1686">
        <v>0</v>
      </c>
      <c r="AK1686">
        <v>74.95999999999999</v>
      </c>
      <c r="AN1686" t="s">
        <v>2926</v>
      </c>
      <c r="AO1686">
        <v>9100</v>
      </c>
      <c r="AP1686" t="s">
        <v>18299</v>
      </c>
      <c r="AU1686" t="s">
        <v>13051</v>
      </c>
      <c r="AW1686" t="s">
        <v>3060</v>
      </c>
    </row>
    <row r="1687" spans="1:50">
      <c r="A1687" s="1" t="s">
        <v>127</v>
      </c>
      <c r="B1687" t="s">
        <v>163</v>
      </c>
      <c r="C1687" t="s">
        <v>4897</v>
      </c>
      <c r="D1687" t="s">
        <v>173</v>
      </c>
      <c r="F1687" t="s">
        <v>7479</v>
      </c>
      <c r="G1687" t="s">
        <v>8636</v>
      </c>
      <c r="H1687" t="s">
        <v>9623</v>
      </c>
      <c r="I1687" t="s">
        <v>1570</v>
      </c>
      <c r="J1687" t="s">
        <v>1644</v>
      </c>
      <c r="K1687">
        <v>11212</v>
      </c>
      <c r="L1687" t="s">
        <v>1670</v>
      </c>
      <c r="M1687" t="s">
        <v>1670</v>
      </c>
      <c r="O1687" t="s">
        <v>1946</v>
      </c>
      <c r="P1687" t="s">
        <v>1960</v>
      </c>
      <c r="R1687" t="s">
        <v>50</v>
      </c>
      <c r="S1687" t="s">
        <v>1670</v>
      </c>
      <c r="U1687" t="s">
        <v>1972</v>
      </c>
      <c r="V1687" t="s">
        <v>1984</v>
      </c>
      <c r="W1687" t="s">
        <v>173</v>
      </c>
      <c r="X1687">
        <v>389.17</v>
      </c>
      <c r="Y1687" t="s">
        <v>2009</v>
      </c>
      <c r="Z1687" t="s">
        <v>2016</v>
      </c>
      <c r="AB1687" t="s">
        <v>14186</v>
      </c>
      <c r="AD1687" t="s">
        <v>16606</v>
      </c>
      <c r="AE1687">
        <v>10</v>
      </c>
      <c r="AF1687" t="s">
        <v>2902</v>
      </c>
      <c r="AG1687" t="s">
        <v>1754</v>
      </c>
      <c r="AH1687">
        <v>6</v>
      </c>
      <c r="AI1687">
        <v>1</v>
      </c>
      <c r="AJ1687">
        <v>0</v>
      </c>
      <c r="AK1687">
        <v>74.95999999999999</v>
      </c>
      <c r="AN1687" t="s">
        <v>2926</v>
      </c>
      <c r="AO1687">
        <v>9100</v>
      </c>
      <c r="AU1687">
        <v>4.7</v>
      </c>
      <c r="AV1687" t="s">
        <v>403</v>
      </c>
      <c r="AW1687" t="s">
        <v>127</v>
      </c>
    </row>
    <row r="1688" spans="1:50">
      <c r="A1688" s="1" t="s">
        <v>57</v>
      </c>
      <c r="B1688" t="s">
        <v>163</v>
      </c>
      <c r="C1688" t="s">
        <v>4898</v>
      </c>
      <c r="D1688" t="s">
        <v>266</v>
      </c>
      <c r="F1688" t="s">
        <v>6876</v>
      </c>
      <c r="G1688" t="s">
        <v>8672</v>
      </c>
      <c r="H1688" t="s">
        <v>9500</v>
      </c>
      <c r="I1688" t="s">
        <v>11274</v>
      </c>
      <c r="J1688" t="s">
        <v>1641</v>
      </c>
      <c r="K1688">
        <v>10453</v>
      </c>
      <c r="L1688" t="s">
        <v>1670</v>
      </c>
      <c r="M1688" t="s">
        <v>1670</v>
      </c>
      <c r="O1688" t="s">
        <v>1938</v>
      </c>
      <c r="P1688" t="s">
        <v>1961</v>
      </c>
      <c r="R1688" t="s">
        <v>50</v>
      </c>
      <c r="S1688" t="s">
        <v>1670</v>
      </c>
      <c r="U1688" t="s">
        <v>1972</v>
      </c>
      <c r="W1688" t="s">
        <v>283</v>
      </c>
      <c r="X1688">
        <v>1474</v>
      </c>
      <c r="Y1688" t="s">
        <v>2006</v>
      </c>
      <c r="Z1688" t="s">
        <v>2016</v>
      </c>
      <c r="AB1688" t="s">
        <v>14243</v>
      </c>
      <c r="AE1688">
        <v>170</v>
      </c>
      <c r="AF1688" t="s">
        <v>2902</v>
      </c>
      <c r="AG1688" t="s">
        <v>1754</v>
      </c>
      <c r="AH1688">
        <v>14</v>
      </c>
      <c r="AI1688">
        <v>2</v>
      </c>
      <c r="AJ1688">
        <v>0</v>
      </c>
      <c r="AK1688">
        <v>74.98999999999999</v>
      </c>
      <c r="AN1688" t="s">
        <v>2926</v>
      </c>
      <c r="AO1688">
        <v>12680</v>
      </c>
      <c r="AU1688" t="s">
        <v>13051</v>
      </c>
      <c r="AW1688" t="s">
        <v>3045</v>
      </c>
    </row>
    <row r="1689" spans="1:50">
      <c r="A1689" s="1" t="s">
        <v>57</v>
      </c>
      <c r="B1689" t="s">
        <v>163</v>
      </c>
      <c r="C1689" t="s">
        <v>4899</v>
      </c>
      <c r="D1689" t="s">
        <v>190</v>
      </c>
      <c r="F1689" t="s">
        <v>6876</v>
      </c>
      <c r="G1689" t="s">
        <v>8672</v>
      </c>
      <c r="H1689" t="s">
        <v>9500</v>
      </c>
      <c r="I1689" t="s">
        <v>11274</v>
      </c>
      <c r="J1689" t="s">
        <v>1641</v>
      </c>
      <c r="K1689">
        <v>10453</v>
      </c>
      <c r="L1689" t="s">
        <v>1670</v>
      </c>
      <c r="M1689" t="s">
        <v>1670</v>
      </c>
      <c r="N1689" t="s">
        <v>1677</v>
      </c>
      <c r="O1689" t="s">
        <v>1939</v>
      </c>
      <c r="P1689" t="s">
        <v>1960</v>
      </c>
      <c r="R1689" t="s">
        <v>50</v>
      </c>
      <c r="S1689" t="s">
        <v>1670</v>
      </c>
      <c r="U1689" t="s">
        <v>1972</v>
      </c>
      <c r="W1689" t="s">
        <v>283</v>
      </c>
      <c r="X1689">
        <v>1474</v>
      </c>
      <c r="Y1689" t="s">
        <v>2006</v>
      </c>
      <c r="Z1689" t="s">
        <v>2015</v>
      </c>
      <c r="AB1689" t="s">
        <v>14243</v>
      </c>
      <c r="AC1689" t="s">
        <v>15203</v>
      </c>
      <c r="AE1689">
        <v>170</v>
      </c>
      <c r="AF1689" t="s">
        <v>2902</v>
      </c>
      <c r="AG1689" t="s">
        <v>1754</v>
      </c>
      <c r="AH1689">
        <v>1</v>
      </c>
      <c r="AI1689">
        <v>2</v>
      </c>
      <c r="AJ1689">
        <v>0</v>
      </c>
      <c r="AK1689">
        <v>74.98999999999999</v>
      </c>
      <c r="AN1689" t="s">
        <v>2926</v>
      </c>
      <c r="AO1689">
        <v>12680</v>
      </c>
      <c r="AU1689" t="s">
        <v>13051</v>
      </c>
      <c r="AW1689" t="s">
        <v>3045</v>
      </c>
    </row>
    <row r="1690" spans="1:50">
      <c r="A1690" s="1" t="s">
        <v>3193</v>
      </c>
      <c r="B1690" t="s">
        <v>163</v>
      </c>
      <c r="C1690" t="s">
        <v>4900</v>
      </c>
      <c r="D1690" t="s">
        <v>257</v>
      </c>
      <c r="F1690" t="s">
        <v>7167</v>
      </c>
      <c r="G1690" t="s">
        <v>956</v>
      </c>
      <c r="H1690" t="s">
        <v>10150</v>
      </c>
      <c r="I1690" t="s">
        <v>11275</v>
      </c>
      <c r="J1690" t="s">
        <v>1645</v>
      </c>
      <c r="K1690">
        <v>11691</v>
      </c>
      <c r="L1690" t="s">
        <v>1670</v>
      </c>
      <c r="M1690" t="s">
        <v>1670</v>
      </c>
      <c r="N1690" t="s">
        <v>12331</v>
      </c>
      <c r="O1690" t="s">
        <v>1940</v>
      </c>
      <c r="P1690" t="s">
        <v>1958</v>
      </c>
      <c r="R1690" t="s">
        <v>50</v>
      </c>
      <c r="S1690" t="s">
        <v>1671</v>
      </c>
      <c r="U1690" t="s">
        <v>1972</v>
      </c>
      <c r="V1690" t="s">
        <v>1984</v>
      </c>
      <c r="W1690" t="s">
        <v>257</v>
      </c>
      <c r="X1690">
        <v>171</v>
      </c>
      <c r="Y1690" t="s">
        <v>2007</v>
      </c>
      <c r="Z1690" t="s">
        <v>2014</v>
      </c>
      <c r="AB1690" t="s">
        <v>14244</v>
      </c>
      <c r="AC1690" t="s">
        <v>15204</v>
      </c>
      <c r="AD1690" t="s">
        <v>16668</v>
      </c>
      <c r="AE1690">
        <v>96</v>
      </c>
      <c r="AF1690" t="s">
        <v>2909</v>
      </c>
      <c r="AG1690" t="s">
        <v>1754</v>
      </c>
      <c r="AH1690">
        <v>3</v>
      </c>
      <c r="AI1690">
        <v>1</v>
      </c>
      <c r="AJ1690">
        <v>0</v>
      </c>
      <c r="AK1690">
        <v>75.12</v>
      </c>
      <c r="AN1690" t="s">
        <v>2926</v>
      </c>
      <c r="AO1690">
        <v>9120</v>
      </c>
      <c r="AU1690" t="s">
        <v>13051</v>
      </c>
      <c r="AW1690" t="s">
        <v>85</v>
      </c>
    </row>
    <row r="1691" spans="1:50">
      <c r="A1691" s="1" t="s">
        <v>100</v>
      </c>
      <c r="B1691" t="s">
        <v>163</v>
      </c>
      <c r="C1691" t="s">
        <v>4901</v>
      </c>
      <c r="D1691" t="s">
        <v>342</v>
      </c>
      <c r="F1691" t="s">
        <v>427</v>
      </c>
      <c r="G1691" t="s">
        <v>7965</v>
      </c>
      <c r="H1691" t="s">
        <v>10151</v>
      </c>
      <c r="I1691" t="s">
        <v>11276</v>
      </c>
      <c r="J1691" t="s">
        <v>1643</v>
      </c>
      <c r="K1691">
        <v>10034</v>
      </c>
      <c r="L1691" t="s">
        <v>1670</v>
      </c>
      <c r="M1691" t="s">
        <v>1670</v>
      </c>
      <c r="O1691" t="s">
        <v>1936</v>
      </c>
      <c r="P1691" t="s">
        <v>1958</v>
      </c>
      <c r="R1691" t="s">
        <v>50</v>
      </c>
      <c r="U1691" t="s">
        <v>1972</v>
      </c>
      <c r="W1691" t="s">
        <v>192</v>
      </c>
      <c r="X1691">
        <v>822.3200000000001</v>
      </c>
      <c r="Y1691" t="s">
        <v>2008</v>
      </c>
      <c r="Z1691" t="s">
        <v>2013</v>
      </c>
      <c r="AB1691" t="s">
        <v>14245</v>
      </c>
      <c r="AD1691" t="s">
        <v>16669</v>
      </c>
      <c r="AE1691">
        <v>35</v>
      </c>
      <c r="AG1691" t="s">
        <v>2915</v>
      </c>
      <c r="AH1691">
        <v>38</v>
      </c>
      <c r="AI1691">
        <v>1</v>
      </c>
      <c r="AJ1691">
        <v>0</v>
      </c>
      <c r="AK1691">
        <v>75.12</v>
      </c>
      <c r="AN1691" t="s">
        <v>2927</v>
      </c>
      <c r="AO1691">
        <v>9120</v>
      </c>
      <c r="AU1691">
        <v>0.65</v>
      </c>
      <c r="AV1691" t="s">
        <v>383</v>
      </c>
      <c r="AW1691" t="s">
        <v>3052</v>
      </c>
    </row>
    <row r="1692" spans="1:50">
      <c r="A1692" s="1" t="s">
        <v>3151</v>
      </c>
      <c r="B1692" t="s">
        <v>164</v>
      </c>
      <c r="C1692" t="s">
        <v>4902</v>
      </c>
      <c r="D1692" t="s">
        <v>242</v>
      </c>
      <c r="E1692" t="s">
        <v>306</v>
      </c>
      <c r="F1692" t="s">
        <v>7236</v>
      </c>
      <c r="G1692" t="s">
        <v>892</v>
      </c>
      <c r="H1692" t="s">
        <v>10092</v>
      </c>
      <c r="I1692" t="s">
        <v>1539</v>
      </c>
      <c r="J1692" t="s">
        <v>1644</v>
      </c>
      <c r="K1692">
        <v>11207</v>
      </c>
      <c r="L1692" t="s">
        <v>1670</v>
      </c>
      <c r="M1692" t="s">
        <v>1670</v>
      </c>
      <c r="N1692" t="s">
        <v>12332</v>
      </c>
      <c r="O1692" t="s">
        <v>1936</v>
      </c>
      <c r="P1692" t="s">
        <v>1960</v>
      </c>
      <c r="Q1692" t="s">
        <v>1967</v>
      </c>
      <c r="R1692" t="s">
        <v>50</v>
      </c>
      <c r="U1692" t="s">
        <v>1972</v>
      </c>
      <c r="W1692" t="s">
        <v>242</v>
      </c>
      <c r="X1692">
        <v>1250</v>
      </c>
      <c r="Y1692" t="s">
        <v>2009</v>
      </c>
      <c r="Z1692" t="s">
        <v>2020</v>
      </c>
      <c r="AA1692" t="s">
        <v>2032</v>
      </c>
      <c r="AB1692" t="s">
        <v>14168</v>
      </c>
      <c r="AC1692" t="s">
        <v>15155</v>
      </c>
      <c r="AD1692" t="s">
        <v>16590</v>
      </c>
      <c r="AE1692">
        <v>6</v>
      </c>
      <c r="AF1692" t="s">
        <v>2902</v>
      </c>
      <c r="AG1692" t="s">
        <v>2915</v>
      </c>
      <c r="AH1692">
        <v>4</v>
      </c>
      <c r="AI1692">
        <v>1</v>
      </c>
      <c r="AJ1692">
        <v>0</v>
      </c>
      <c r="AK1692">
        <v>75.12</v>
      </c>
      <c r="AN1692" t="s">
        <v>2926</v>
      </c>
      <c r="AO1692">
        <v>9120</v>
      </c>
      <c r="AP1692" t="s">
        <v>18069</v>
      </c>
      <c r="AU1692">
        <v>12.25</v>
      </c>
      <c r="AV1692" t="s">
        <v>377</v>
      </c>
      <c r="AW1692" t="s">
        <v>3060</v>
      </c>
    </row>
    <row r="1693" spans="1:50">
      <c r="A1693" s="1" t="s">
        <v>61</v>
      </c>
      <c r="B1693" t="s">
        <v>164</v>
      </c>
      <c r="C1693" t="s">
        <v>4903</v>
      </c>
      <c r="D1693" t="s">
        <v>278</v>
      </c>
      <c r="E1693" t="s">
        <v>317</v>
      </c>
      <c r="F1693" t="s">
        <v>687</v>
      </c>
      <c r="G1693" t="s">
        <v>8673</v>
      </c>
      <c r="H1693" t="s">
        <v>10152</v>
      </c>
      <c r="I1693" t="s">
        <v>11277</v>
      </c>
      <c r="J1693" t="s">
        <v>1644</v>
      </c>
      <c r="K1693">
        <v>11218</v>
      </c>
      <c r="L1693" t="s">
        <v>1670</v>
      </c>
      <c r="M1693" t="s">
        <v>1670</v>
      </c>
      <c r="N1693" t="s">
        <v>12333</v>
      </c>
      <c r="O1693" t="s">
        <v>1940</v>
      </c>
      <c r="P1693" t="s">
        <v>1960</v>
      </c>
      <c r="Q1693" t="s">
        <v>1969</v>
      </c>
      <c r="R1693" t="s">
        <v>50</v>
      </c>
      <c r="S1693" t="s">
        <v>1671</v>
      </c>
      <c r="U1693" t="s">
        <v>1972</v>
      </c>
      <c r="V1693" t="s">
        <v>1984</v>
      </c>
      <c r="W1693" t="s">
        <v>278</v>
      </c>
      <c r="X1693">
        <v>990</v>
      </c>
      <c r="Y1693" t="s">
        <v>2009</v>
      </c>
      <c r="AA1693" t="s">
        <v>2032</v>
      </c>
      <c r="AB1693" t="s">
        <v>14246</v>
      </c>
      <c r="AD1693" t="s">
        <v>16670</v>
      </c>
      <c r="AE1693">
        <v>138</v>
      </c>
      <c r="AF1693" t="s">
        <v>2902</v>
      </c>
      <c r="AG1693" t="s">
        <v>1754</v>
      </c>
      <c r="AH1693">
        <v>15</v>
      </c>
      <c r="AI1693">
        <v>1</v>
      </c>
      <c r="AJ1693">
        <v>0</v>
      </c>
      <c r="AK1693">
        <v>75.12</v>
      </c>
      <c r="AN1693" t="s">
        <v>2926</v>
      </c>
      <c r="AO1693">
        <v>9120</v>
      </c>
      <c r="AR1693" t="s">
        <v>18473</v>
      </c>
      <c r="AS1693" t="s">
        <v>2992</v>
      </c>
      <c r="AT1693" t="s">
        <v>3025</v>
      </c>
      <c r="AU1693">
        <v>23.6</v>
      </c>
      <c r="AV1693" t="s">
        <v>317</v>
      </c>
      <c r="AW1693" t="s">
        <v>61</v>
      </c>
    </row>
    <row r="1694" spans="1:50">
      <c r="A1694" s="1" t="s">
        <v>98</v>
      </c>
      <c r="B1694" t="s">
        <v>163</v>
      </c>
      <c r="C1694" t="s">
        <v>4904</v>
      </c>
      <c r="D1694" t="s">
        <v>193</v>
      </c>
      <c r="F1694" t="s">
        <v>7313</v>
      </c>
      <c r="G1694" t="s">
        <v>8674</v>
      </c>
      <c r="H1694" t="s">
        <v>10153</v>
      </c>
      <c r="I1694" t="s">
        <v>1525</v>
      </c>
      <c r="J1694" t="s">
        <v>1641</v>
      </c>
      <c r="K1694">
        <v>10452</v>
      </c>
      <c r="L1694" t="s">
        <v>1670</v>
      </c>
      <c r="M1694" t="s">
        <v>1670</v>
      </c>
      <c r="O1694" t="s">
        <v>1940</v>
      </c>
      <c r="P1694" t="s">
        <v>1958</v>
      </c>
      <c r="R1694" t="s">
        <v>50</v>
      </c>
      <c r="S1694" t="s">
        <v>1671</v>
      </c>
      <c r="U1694" t="s">
        <v>1972</v>
      </c>
      <c r="W1694" t="s">
        <v>193</v>
      </c>
      <c r="X1694">
        <v>550</v>
      </c>
      <c r="Y1694" t="s">
        <v>2006</v>
      </c>
      <c r="Z1694" t="s">
        <v>2015</v>
      </c>
      <c r="AB1694" t="s">
        <v>13702</v>
      </c>
      <c r="AE1694">
        <v>21</v>
      </c>
      <c r="AF1694" t="s">
        <v>2902</v>
      </c>
      <c r="AG1694" t="s">
        <v>2919</v>
      </c>
      <c r="AH1694">
        <v>13</v>
      </c>
      <c r="AI1694">
        <v>1</v>
      </c>
      <c r="AJ1694">
        <v>0</v>
      </c>
      <c r="AK1694">
        <v>75.23</v>
      </c>
      <c r="AN1694" t="s">
        <v>2926</v>
      </c>
      <c r="AO1694">
        <v>9396</v>
      </c>
      <c r="AU1694">
        <v>2.7</v>
      </c>
      <c r="AV1694" t="s">
        <v>3031</v>
      </c>
      <c r="AW1694" t="s">
        <v>98</v>
      </c>
      <c r="AX1694" t="s">
        <v>18685</v>
      </c>
    </row>
    <row r="1695" spans="1:50">
      <c r="A1695" s="1" t="s">
        <v>151</v>
      </c>
      <c r="B1695" t="s">
        <v>163</v>
      </c>
      <c r="C1695" t="s">
        <v>4905</v>
      </c>
      <c r="D1695" t="s">
        <v>269</v>
      </c>
      <c r="F1695" t="s">
        <v>533</v>
      </c>
      <c r="G1695" t="s">
        <v>8675</v>
      </c>
      <c r="H1695" t="s">
        <v>10154</v>
      </c>
      <c r="I1695" t="s">
        <v>1562</v>
      </c>
      <c r="J1695" t="s">
        <v>1654</v>
      </c>
      <c r="K1695">
        <v>11102</v>
      </c>
      <c r="L1695" t="s">
        <v>1670</v>
      </c>
      <c r="M1695" t="s">
        <v>1670</v>
      </c>
      <c r="N1695" t="s">
        <v>1693</v>
      </c>
      <c r="O1695" t="s">
        <v>1937</v>
      </c>
      <c r="P1695" t="s">
        <v>1962</v>
      </c>
      <c r="R1695" t="s">
        <v>50</v>
      </c>
      <c r="S1695" t="s">
        <v>1671</v>
      </c>
      <c r="U1695" t="s">
        <v>1972</v>
      </c>
      <c r="W1695" t="s">
        <v>269</v>
      </c>
      <c r="X1695">
        <v>1048.94</v>
      </c>
      <c r="Y1695" t="s">
        <v>2007</v>
      </c>
      <c r="Z1695" t="s">
        <v>2015</v>
      </c>
      <c r="AB1695" t="s">
        <v>14247</v>
      </c>
      <c r="AD1695" t="s">
        <v>16671</v>
      </c>
      <c r="AE1695">
        <v>6</v>
      </c>
      <c r="AF1695" t="s">
        <v>2902</v>
      </c>
      <c r="AG1695" t="s">
        <v>2919</v>
      </c>
      <c r="AH1695">
        <v>30</v>
      </c>
      <c r="AI1695">
        <v>1</v>
      </c>
      <c r="AJ1695">
        <v>0</v>
      </c>
      <c r="AK1695">
        <v>75.31999999999999</v>
      </c>
      <c r="AN1695" t="s">
        <v>2926</v>
      </c>
      <c r="AO1695">
        <v>9408</v>
      </c>
      <c r="AU1695">
        <v>1.5</v>
      </c>
      <c r="AV1695" t="s">
        <v>379</v>
      </c>
      <c r="AW1695" t="s">
        <v>3172</v>
      </c>
      <c r="AX1695" t="s">
        <v>18685</v>
      </c>
    </row>
    <row r="1696" spans="1:50">
      <c r="A1696" s="1" t="s">
        <v>100</v>
      </c>
      <c r="B1696" t="s">
        <v>164</v>
      </c>
      <c r="C1696" t="s">
        <v>4906</v>
      </c>
      <c r="D1696" t="s">
        <v>6181</v>
      </c>
      <c r="E1696" t="s">
        <v>376</v>
      </c>
      <c r="F1696" t="s">
        <v>7419</v>
      </c>
      <c r="G1696" t="s">
        <v>784</v>
      </c>
      <c r="H1696" t="s">
        <v>10155</v>
      </c>
      <c r="I1696">
        <v>41</v>
      </c>
      <c r="J1696" t="s">
        <v>1643</v>
      </c>
      <c r="K1696">
        <v>10033</v>
      </c>
      <c r="L1696" t="s">
        <v>1670</v>
      </c>
      <c r="M1696" t="s">
        <v>1670</v>
      </c>
      <c r="N1696" t="s">
        <v>12334</v>
      </c>
      <c r="O1696" t="s">
        <v>1952</v>
      </c>
      <c r="P1696" t="s">
        <v>1960</v>
      </c>
      <c r="Q1696" t="s">
        <v>1969</v>
      </c>
      <c r="R1696" t="s">
        <v>50</v>
      </c>
      <c r="S1696" t="s">
        <v>1670</v>
      </c>
      <c r="U1696" t="s">
        <v>1972</v>
      </c>
      <c r="W1696" t="s">
        <v>1989</v>
      </c>
      <c r="X1696">
        <v>817.79</v>
      </c>
      <c r="Y1696" t="s">
        <v>2008</v>
      </c>
      <c r="Z1696" t="s">
        <v>2013</v>
      </c>
      <c r="AA1696" t="s">
        <v>2034</v>
      </c>
      <c r="AB1696" t="s">
        <v>14248</v>
      </c>
      <c r="AD1696" t="s">
        <v>16672</v>
      </c>
      <c r="AE1696">
        <v>33</v>
      </c>
      <c r="AF1696" t="s">
        <v>2902</v>
      </c>
      <c r="AG1696" t="s">
        <v>2915</v>
      </c>
      <c r="AH1696">
        <v>41</v>
      </c>
      <c r="AI1696">
        <v>1</v>
      </c>
      <c r="AJ1696">
        <v>0</v>
      </c>
      <c r="AK1696">
        <v>75.42</v>
      </c>
      <c r="AN1696" t="s">
        <v>2926</v>
      </c>
      <c r="AO1696">
        <v>9096</v>
      </c>
      <c r="AU1696">
        <v>0.65</v>
      </c>
      <c r="AV1696" t="s">
        <v>376</v>
      </c>
      <c r="AW1696" t="s">
        <v>3042</v>
      </c>
    </row>
    <row r="1697" spans="1:50">
      <c r="A1697" s="1" t="s">
        <v>74</v>
      </c>
      <c r="B1697" t="s">
        <v>163</v>
      </c>
      <c r="C1697" t="s">
        <v>4907</v>
      </c>
      <c r="D1697" t="s">
        <v>367</v>
      </c>
      <c r="F1697" t="s">
        <v>6955</v>
      </c>
      <c r="G1697" t="s">
        <v>8644</v>
      </c>
      <c r="H1697" t="s">
        <v>1131</v>
      </c>
      <c r="I1697" t="s">
        <v>1612</v>
      </c>
      <c r="J1697" t="s">
        <v>1641</v>
      </c>
      <c r="K1697">
        <v>10460</v>
      </c>
      <c r="L1697" t="s">
        <v>1670</v>
      </c>
      <c r="M1697" t="s">
        <v>1670</v>
      </c>
      <c r="N1697" t="s">
        <v>1692</v>
      </c>
      <c r="O1697" t="s">
        <v>1939</v>
      </c>
      <c r="P1697" t="s">
        <v>1960</v>
      </c>
      <c r="R1697" t="s">
        <v>50</v>
      </c>
      <c r="S1697" t="s">
        <v>1670</v>
      </c>
      <c r="U1697" t="s">
        <v>1972</v>
      </c>
      <c r="W1697" t="s">
        <v>283</v>
      </c>
      <c r="X1697">
        <v>1694</v>
      </c>
      <c r="Y1697" t="s">
        <v>2006</v>
      </c>
      <c r="Z1697" t="s">
        <v>2015</v>
      </c>
      <c r="AB1697" t="s">
        <v>14194</v>
      </c>
      <c r="AD1697" t="s">
        <v>16613</v>
      </c>
      <c r="AE1697">
        <v>168</v>
      </c>
      <c r="AF1697" t="s">
        <v>18015</v>
      </c>
      <c r="AG1697" t="s">
        <v>2915</v>
      </c>
      <c r="AH1697">
        <v>35</v>
      </c>
      <c r="AI1697">
        <v>1</v>
      </c>
      <c r="AJ1697">
        <v>0</v>
      </c>
      <c r="AK1697">
        <v>75.42</v>
      </c>
      <c r="AN1697" t="s">
        <v>2926</v>
      </c>
      <c r="AO1697">
        <v>9156</v>
      </c>
      <c r="AU1697" t="s">
        <v>13051</v>
      </c>
      <c r="AW1697" t="s">
        <v>3054</v>
      </c>
    </row>
    <row r="1698" spans="1:50">
      <c r="A1698" s="1" t="s">
        <v>71</v>
      </c>
      <c r="B1698" t="s">
        <v>163</v>
      </c>
      <c r="C1698" t="s">
        <v>4908</v>
      </c>
      <c r="D1698" t="s">
        <v>217</v>
      </c>
      <c r="F1698" t="s">
        <v>563</v>
      </c>
      <c r="G1698" t="s">
        <v>925</v>
      </c>
      <c r="H1698" t="s">
        <v>1263</v>
      </c>
      <c r="I1698" t="s">
        <v>11139</v>
      </c>
      <c r="J1698" t="s">
        <v>1646</v>
      </c>
      <c r="K1698">
        <v>10301</v>
      </c>
      <c r="L1698" t="s">
        <v>1670</v>
      </c>
      <c r="M1698" t="s">
        <v>1670</v>
      </c>
      <c r="N1698" t="s">
        <v>12335</v>
      </c>
      <c r="O1698" t="s">
        <v>1940</v>
      </c>
      <c r="P1698" t="s">
        <v>1960</v>
      </c>
      <c r="R1698" t="s">
        <v>50</v>
      </c>
      <c r="S1698" t="s">
        <v>1671</v>
      </c>
      <c r="U1698" t="s">
        <v>1972</v>
      </c>
      <c r="V1698" t="s">
        <v>1983</v>
      </c>
      <c r="W1698" t="s">
        <v>217</v>
      </c>
      <c r="X1698">
        <v>1500</v>
      </c>
      <c r="Y1698" t="s">
        <v>2010</v>
      </c>
      <c r="Z1698" t="s">
        <v>2011</v>
      </c>
      <c r="AB1698" t="s">
        <v>2219</v>
      </c>
      <c r="AD1698" t="s">
        <v>16673</v>
      </c>
      <c r="AE1698">
        <v>2</v>
      </c>
      <c r="AF1698" t="s">
        <v>2903</v>
      </c>
      <c r="AG1698" t="s">
        <v>2917</v>
      </c>
      <c r="AH1698">
        <v>4</v>
      </c>
      <c r="AI1698">
        <v>4</v>
      </c>
      <c r="AJ1698">
        <v>0</v>
      </c>
      <c r="AK1698">
        <v>75.7</v>
      </c>
      <c r="AN1698" t="s">
        <v>2926</v>
      </c>
      <c r="AO1698">
        <v>19492</v>
      </c>
      <c r="AU1698">
        <v>11.3</v>
      </c>
      <c r="AV1698" t="s">
        <v>401</v>
      </c>
      <c r="AW1698" t="s">
        <v>3050</v>
      </c>
      <c r="AX1698" t="s">
        <v>18685</v>
      </c>
    </row>
    <row r="1699" spans="1:50">
      <c r="A1699" s="1" t="s">
        <v>3147</v>
      </c>
      <c r="B1699" t="s">
        <v>164</v>
      </c>
      <c r="C1699" t="s">
        <v>4909</v>
      </c>
      <c r="D1699" t="s">
        <v>6156</v>
      </c>
      <c r="E1699" t="s">
        <v>206</v>
      </c>
      <c r="F1699" t="s">
        <v>6860</v>
      </c>
      <c r="G1699" t="s">
        <v>8676</v>
      </c>
      <c r="H1699" t="s">
        <v>10156</v>
      </c>
      <c r="I1699" t="s">
        <v>1562</v>
      </c>
      <c r="J1699" t="s">
        <v>1647</v>
      </c>
      <c r="K1699">
        <v>11432</v>
      </c>
      <c r="L1699" t="s">
        <v>1670</v>
      </c>
      <c r="M1699" t="s">
        <v>1670</v>
      </c>
      <c r="N1699" t="s">
        <v>12235</v>
      </c>
      <c r="O1699" t="s">
        <v>1949</v>
      </c>
      <c r="P1699" t="s">
        <v>1962</v>
      </c>
      <c r="Q1699" t="s">
        <v>1968</v>
      </c>
      <c r="R1699" t="s">
        <v>50</v>
      </c>
      <c r="S1699" t="s">
        <v>1671</v>
      </c>
      <c r="U1699" t="s">
        <v>1972</v>
      </c>
      <c r="V1699" t="s">
        <v>1984</v>
      </c>
      <c r="W1699" t="s">
        <v>6156</v>
      </c>
      <c r="X1699">
        <v>1150</v>
      </c>
      <c r="Y1699" t="s">
        <v>2007</v>
      </c>
      <c r="Z1699" t="s">
        <v>2015</v>
      </c>
      <c r="AA1699" t="s">
        <v>2034</v>
      </c>
      <c r="AB1699" t="s">
        <v>14249</v>
      </c>
      <c r="AC1699" t="s">
        <v>15205</v>
      </c>
      <c r="AD1699" t="s">
        <v>16674</v>
      </c>
      <c r="AE1699">
        <v>6</v>
      </c>
      <c r="AF1699" t="s">
        <v>2902</v>
      </c>
      <c r="AG1699" t="s">
        <v>1754</v>
      </c>
      <c r="AH1699">
        <v>10</v>
      </c>
      <c r="AI1699">
        <v>1</v>
      </c>
      <c r="AJ1699">
        <v>0</v>
      </c>
      <c r="AK1699">
        <v>75.72</v>
      </c>
      <c r="AN1699" t="s">
        <v>2927</v>
      </c>
      <c r="AO1699">
        <v>9192</v>
      </c>
      <c r="AR1699" t="s">
        <v>18450</v>
      </c>
      <c r="AT1699" t="s">
        <v>18562</v>
      </c>
      <c r="AU1699">
        <v>2.95</v>
      </c>
      <c r="AV1699" t="s">
        <v>328</v>
      </c>
      <c r="AW1699" t="s">
        <v>3044</v>
      </c>
    </row>
    <row r="1700" spans="1:50">
      <c r="A1700" s="1" t="s">
        <v>3176</v>
      </c>
      <c r="B1700" t="s">
        <v>164</v>
      </c>
      <c r="C1700" t="s">
        <v>4910</v>
      </c>
      <c r="D1700" t="s">
        <v>167</v>
      </c>
      <c r="E1700" t="s">
        <v>340</v>
      </c>
      <c r="F1700" t="s">
        <v>7510</v>
      </c>
      <c r="G1700" t="s">
        <v>8677</v>
      </c>
      <c r="H1700" t="s">
        <v>10157</v>
      </c>
      <c r="I1700" t="s">
        <v>1509</v>
      </c>
      <c r="J1700" t="s">
        <v>1654</v>
      </c>
      <c r="K1700">
        <v>11101</v>
      </c>
      <c r="L1700" t="s">
        <v>1670</v>
      </c>
      <c r="M1700" t="s">
        <v>1670</v>
      </c>
      <c r="N1700" t="s">
        <v>1693</v>
      </c>
      <c r="O1700" t="s">
        <v>1675</v>
      </c>
      <c r="P1700" t="s">
        <v>1958</v>
      </c>
      <c r="Q1700" t="s">
        <v>1965</v>
      </c>
      <c r="R1700" t="s">
        <v>51</v>
      </c>
      <c r="S1700" t="s">
        <v>1671</v>
      </c>
      <c r="U1700" t="s">
        <v>1972</v>
      </c>
      <c r="V1700" t="s">
        <v>1984</v>
      </c>
      <c r="W1700" t="s">
        <v>340</v>
      </c>
      <c r="X1700" t="s">
        <v>13051</v>
      </c>
      <c r="Y1700" t="s">
        <v>2007</v>
      </c>
      <c r="Z1700" t="s">
        <v>2012</v>
      </c>
      <c r="AA1700" t="s">
        <v>2029</v>
      </c>
      <c r="AB1700" t="s">
        <v>14250</v>
      </c>
      <c r="AD1700" t="s">
        <v>16675</v>
      </c>
      <c r="AE1700">
        <v>7</v>
      </c>
      <c r="AF1700" t="s">
        <v>2904</v>
      </c>
      <c r="AG1700" t="s">
        <v>1754</v>
      </c>
      <c r="AH1700">
        <v>2</v>
      </c>
      <c r="AI1700">
        <v>1</v>
      </c>
      <c r="AJ1700">
        <v>0</v>
      </c>
      <c r="AK1700">
        <v>75.81999999999999</v>
      </c>
      <c r="AL1700" t="s">
        <v>2923</v>
      </c>
      <c r="AM1700" t="s">
        <v>2924</v>
      </c>
      <c r="AN1700" t="s">
        <v>2926</v>
      </c>
      <c r="AO1700">
        <v>9204</v>
      </c>
      <c r="AU1700">
        <v>4.07</v>
      </c>
      <c r="AV1700" t="s">
        <v>243</v>
      </c>
      <c r="AW1700" t="s">
        <v>3044</v>
      </c>
    </row>
    <row r="1701" spans="1:50">
      <c r="A1701" s="1" t="s">
        <v>52</v>
      </c>
      <c r="B1701" t="s">
        <v>163</v>
      </c>
      <c r="C1701" t="s">
        <v>4911</v>
      </c>
      <c r="D1701" t="s">
        <v>192</v>
      </c>
      <c r="F1701" t="s">
        <v>7484</v>
      </c>
      <c r="G1701" t="s">
        <v>780</v>
      </c>
      <c r="H1701" t="s">
        <v>1136</v>
      </c>
      <c r="I1701" t="s">
        <v>11256</v>
      </c>
      <c r="J1701" t="s">
        <v>1641</v>
      </c>
      <c r="K1701">
        <v>10457</v>
      </c>
      <c r="L1701" t="s">
        <v>1670</v>
      </c>
      <c r="M1701" t="s">
        <v>1670</v>
      </c>
      <c r="O1701" t="s">
        <v>1943</v>
      </c>
      <c r="P1701" t="s">
        <v>1962</v>
      </c>
      <c r="R1701" t="s">
        <v>50</v>
      </c>
      <c r="S1701" t="s">
        <v>1671</v>
      </c>
      <c r="U1701" t="s">
        <v>1973</v>
      </c>
      <c r="W1701" t="s">
        <v>192</v>
      </c>
      <c r="X1701">
        <v>227</v>
      </c>
      <c r="Y1701" t="s">
        <v>2006</v>
      </c>
      <c r="Z1701" t="s">
        <v>2020</v>
      </c>
      <c r="AB1701" t="s">
        <v>14196</v>
      </c>
      <c r="AD1701" t="s">
        <v>16615</v>
      </c>
      <c r="AE1701">
        <v>47</v>
      </c>
      <c r="AF1701" t="s">
        <v>2902</v>
      </c>
      <c r="AG1701" t="s">
        <v>2915</v>
      </c>
      <c r="AH1701">
        <v>25</v>
      </c>
      <c r="AI1701">
        <v>1</v>
      </c>
      <c r="AJ1701">
        <v>0</v>
      </c>
      <c r="AK1701">
        <v>75.81999999999999</v>
      </c>
      <c r="AN1701" t="s">
        <v>2927</v>
      </c>
      <c r="AO1701">
        <v>9204</v>
      </c>
      <c r="AP1701" t="s">
        <v>18300</v>
      </c>
      <c r="AU1701">
        <v>1</v>
      </c>
      <c r="AV1701" t="s">
        <v>193</v>
      </c>
      <c r="AW1701" t="s">
        <v>3046</v>
      </c>
    </row>
    <row r="1702" spans="1:50">
      <c r="A1702" s="1" t="s">
        <v>52</v>
      </c>
      <c r="B1702" t="s">
        <v>163</v>
      </c>
      <c r="C1702" t="s">
        <v>4912</v>
      </c>
      <c r="D1702" t="s">
        <v>192</v>
      </c>
      <c r="F1702" t="s">
        <v>7484</v>
      </c>
      <c r="G1702" t="s">
        <v>780</v>
      </c>
      <c r="H1702" t="s">
        <v>1136</v>
      </c>
      <c r="I1702" t="s">
        <v>11256</v>
      </c>
      <c r="J1702" t="s">
        <v>1641</v>
      </c>
      <c r="K1702">
        <v>10457</v>
      </c>
      <c r="L1702" t="s">
        <v>1670</v>
      </c>
      <c r="M1702" t="s">
        <v>1670</v>
      </c>
      <c r="N1702" t="s">
        <v>1696</v>
      </c>
      <c r="O1702" t="s">
        <v>1939</v>
      </c>
      <c r="P1702" t="s">
        <v>1960</v>
      </c>
      <c r="R1702" t="s">
        <v>50</v>
      </c>
      <c r="S1702" t="s">
        <v>1670</v>
      </c>
      <c r="U1702" t="s">
        <v>1972</v>
      </c>
      <c r="W1702" t="s">
        <v>359</v>
      </c>
      <c r="X1702">
        <v>385</v>
      </c>
      <c r="Y1702" t="s">
        <v>2006</v>
      </c>
      <c r="Z1702" t="s">
        <v>2015</v>
      </c>
      <c r="AB1702" t="s">
        <v>14196</v>
      </c>
      <c r="AD1702" t="s">
        <v>16615</v>
      </c>
      <c r="AE1702">
        <v>47</v>
      </c>
      <c r="AF1702" t="s">
        <v>2902</v>
      </c>
      <c r="AG1702" t="s">
        <v>2915</v>
      </c>
      <c r="AH1702">
        <v>5</v>
      </c>
      <c r="AI1702">
        <v>1</v>
      </c>
      <c r="AJ1702">
        <v>0</v>
      </c>
      <c r="AK1702">
        <v>75.81999999999999</v>
      </c>
      <c r="AN1702" t="s">
        <v>2927</v>
      </c>
      <c r="AO1702">
        <v>9204</v>
      </c>
      <c r="AU1702">
        <v>2.2</v>
      </c>
      <c r="AV1702" t="s">
        <v>171</v>
      </c>
      <c r="AW1702" t="s">
        <v>3046</v>
      </c>
    </row>
    <row r="1703" spans="1:50">
      <c r="A1703" s="1" t="s">
        <v>57</v>
      </c>
      <c r="B1703" t="s">
        <v>163</v>
      </c>
      <c r="C1703" t="s">
        <v>4913</v>
      </c>
      <c r="D1703" t="s">
        <v>313</v>
      </c>
      <c r="F1703" t="s">
        <v>7496</v>
      </c>
      <c r="G1703" t="s">
        <v>8678</v>
      </c>
      <c r="H1703" t="s">
        <v>1193</v>
      </c>
      <c r="I1703" t="s">
        <v>1584</v>
      </c>
      <c r="J1703" t="s">
        <v>1641</v>
      </c>
      <c r="K1703">
        <v>10456</v>
      </c>
      <c r="L1703" t="s">
        <v>1670</v>
      </c>
      <c r="M1703" t="s">
        <v>1670</v>
      </c>
      <c r="N1703" t="s">
        <v>1789</v>
      </c>
      <c r="O1703" t="s">
        <v>1938</v>
      </c>
      <c r="P1703" t="s">
        <v>1961</v>
      </c>
      <c r="R1703" t="s">
        <v>50</v>
      </c>
      <c r="S1703" t="s">
        <v>1670</v>
      </c>
      <c r="U1703" t="s">
        <v>1972</v>
      </c>
      <c r="W1703" t="s">
        <v>219</v>
      </c>
      <c r="X1703">
        <v>1119.98</v>
      </c>
      <c r="Y1703" t="s">
        <v>2006</v>
      </c>
      <c r="Z1703" t="s">
        <v>2015</v>
      </c>
      <c r="AB1703" t="s">
        <v>14251</v>
      </c>
      <c r="AD1703" t="s">
        <v>16676</v>
      </c>
      <c r="AE1703">
        <v>61</v>
      </c>
      <c r="AF1703" t="s">
        <v>2902</v>
      </c>
      <c r="AG1703" t="s">
        <v>1754</v>
      </c>
      <c r="AH1703">
        <v>43</v>
      </c>
      <c r="AI1703">
        <v>2</v>
      </c>
      <c r="AJ1703">
        <v>0</v>
      </c>
      <c r="AK1703">
        <v>75.86</v>
      </c>
      <c r="AN1703" t="s">
        <v>2927</v>
      </c>
      <c r="AO1703">
        <v>12828</v>
      </c>
      <c r="AU1703" t="s">
        <v>13051</v>
      </c>
      <c r="AW1703" t="s">
        <v>3047</v>
      </c>
    </row>
    <row r="1704" spans="1:50">
      <c r="A1704" s="1" t="s">
        <v>142</v>
      </c>
      <c r="B1704" t="s">
        <v>163</v>
      </c>
      <c r="C1704" t="s">
        <v>4914</v>
      </c>
      <c r="D1704" t="s">
        <v>324</v>
      </c>
      <c r="F1704" t="s">
        <v>427</v>
      </c>
      <c r="G1704" t="s">
        <v>8679</v>
      </c>
      <c r="H1704" t="s">
        <v>1260</v>
      </c>
      <c r="I1704" t="s">
        <v>1575</v>
      </c>
      <c r="J1704" t="s">
        <v>1641</v>
      </c>
      <c r="K1704">
        <v>10453</v>
      </c>
      <c r="L1704" t="s">
        <v>1670</v>
      </c>
      <c r="M1704" t="s">
        <v>1670</v>
      </c>
      <c r="O1704" t="s">
        <v>1938</v>
      </c>
      <c r="P1704" t="s">
        <v>1961</v>
      </c>
      <c r="R1704" t="s">
        <v>50</v>
      </c>
      <c r="S1704" t="s">
        <v>1670</v>
      </c>
      <c r="U1704" t="s">
        <v>1972</v>
      </c>
      <c r="W1704" t="s">
        <v>283</v>
      </c>
      <c r="X1704">
        <v>1060</v>
      </c>
      <c r="Y1704" t="s">
        <v>2006</v>
      </c>
      <c r="Z1704" t="s">
        <v>2015</v>
      </c>
      <c r="AB1704" t="s">
        <v>14252</v>
      </c>
      <c r="AD1704" t="s">
        <v>16677</v>
      </c>
      <c r="AE1704">
        <v>49</v>
      </c>
      <c r="AF1704" t="s">
        <v>2902</v>
      </c>
      <c r="AG1704" t="s">
        <v>1754</v>
      </c>
      <c r="AH1704">
        <v>16</v>
      </c>
      <c r="AI1704">
        <v>1</v>
      </c>
      <c r="AJ1704">
        <v>0</v>
      </c>
      <c r="AK1704">
        <v>75.90000000000001</v>
      </c>
      <c r="AN1704" t="s">
        <v>2926</v>
      </c>
      <c r="AO1704">
        <v>9480</v>
      </c>
      <c r="AU1704">
        <v>1.9</v>
      </c>
      <c r="AV1704" t="s">
        <v>384</v>
      </c>
      <c r="AW1704" t="s">
        <v>3054</v>
      </c>
    </row>
    <row r="1705" spans="1:50">
      <c r="A1705" s="1" t="s">
        <v>53</v>
      </c>
      <c r="B1705" t="s">
        <v>163</v>
      </c>
      <c r="C1705" t="s">
        <v>4915</v>
      </c>
      <c r="D1705" t="s">
        <v>220</v>
      </c>
      <c r="F1705" t="s">
        <v>473</v>
      </c>
      <c r="G1705" t="s">
        <v>8680</v>
      </c>
      <c r="H1705" t="s">
        <v>10158</v>
      </c>
      <c r="I1705">
        <v>404</v>
      </c>
      <c r="J1705" t="s">
        <v>1668</v>
      </c>
      <c r="K1705">
        <v>11354</v>
      </c>
      <c r="L1705" t="s">
        <v>1670</v>
      </c>
      <c r="M1705" t="s">
        <v>1670</v>
      </c>
      <c r="N1705" t="s">
        <v>12336</v>
      </c>
      <c r="O1705" t="s">
        <v>1936</v>
      </c>
      <c r="P1705" t="s">
        <v>1960</v>
      </c>
      <c r="R1705" t="s">
        <v>50</v>
      </c>
      <c r="S1705" t="s">
        <v>1671</v>
      </c>
      <c r="U1705" t="s">
        <v>1972</v>
      </c>
      <c r="V1705" t="s">
        <v>1984</v>
      </c>
      <c r="W1705" t="s">
        <v>220</v>
      </c>
      <c r="X1705">
        <v>1355.8</v>
      </c>
      <c r="Y1705" t="s">
        <v>2007</v>
      </c>
      <c r="Z1705" t="s">
        <v>2017</v>
      </c>
      <c r="AB1705" t="s">
        <v>14253</v>
      </c>
      <c r="AD1705" t="s">
        <v>16678</v>
      </c>
      <c r="AE1705">
        <v>130</v>
      </c>
      <c r="AF1705" t="s">
        <v>2902</v>
      </c>
      <c r="AG1705" t="s">
        <v>2919</v>
      </c>
      <c r="AH1705">
        <v>20</v>
      </c>
      <c r="AI1705">
        <v>1</v>
      </c>
      <c r="AJ1705">
        <v>0</v>
      </c>
      <c r="AK1705">
        <v>75.90000000000001</v>
      </c>
      <c r="AN1705" t="s">
        <v>2926</v>
      </c>
      <c r="AO1705">
        <v>9480</v>
      </c>
      <c r="AQ1705" t="s">
        <v>2979</v>
      </c>
      <c r="AR1705" t="s">
        <v>2982</v>
      </c>
      <c r="AS1705" t="s">
        <v>2992</v>
      </c>
      <c r="AT1705" t="s">
        <v>18563</v>
      </c>
      <c r="AU1705">
        <v>2.8</v>
      </c>
      <c r="AV1705" t="s">
        <v>328</v>
      </c>
      <c r="AW1705" t="s">
        <v>53</v>
      </c>
      <c r="AX1705" t="s">
        <v>18685</v>
      </c>
    </row>
    <row r="1706" spans="1:50">
      <c r="A1706" s="1" t="s">
        <v>142</v>
      </c>
      <c r="B1706" t="s">
        <v>163</v>
      </c>
      <c r="C1706" t="s">
        <v>4916</v>
      </c>
      <c r="D1706" t="s">
        <v>324</v>
      </c>
      <c r="F1706" t="s">
        <v>427</v>
      </c>
      <c r="G1706" t="s">
        <v>8679</v>
      </c>
      <c r="H1706" t="s">
        <v>1260</v>
      </c>
      <c r="I1706" t="s">
        <v>1575</v>
      </c>
      <c r="J1706" t="s">
        <v>1641</v>
      </c>
      <c r="K1706">
        <v>10453</v>
      </c>
      <c r="L1706" t="s">
        <v>1670</v>
      </c>
      <c r="M1706" t="s">
        <v>1670</v>
      </c>
      <c r="N1706" t="s">
        <v>1778</v>
      </c>
      <c r="O1706" t="s">
        <v>1939</v>
      </c>
      <c r="P1706" t="s">
        <v>1960</v>
      </c>
      <c r="R1706" t="s">
        <v>50</v>
      </c>
      <c r="S1706" t="s">
        <v>1670</v>
      </c>
      <c r="U1706" t="s">
        <v>1972</v>
      </c>
      <c r="W1706" t="s">
        <v>283</v>
      </c>
      <c r="X1706">
        <v>1060</v>
      </c>
      <c r="Y1706" t="s">
        <v>2006</v>
      </c>
      <c r="Z1706" t="s">
        <v>2015</v>
      </c>
      <c r="AB1706" t="s">
        <v>14252</v>
      </c>
      <c r="AD1706" t="s">
        <v>16677</v>
      </c>
      <c r="AE1706">
        <v>49</v>
      </c>
      <c r="AF1706" t="s">
        <v>2902</v>
      </c>
      <c r="AG1706" t="s">
        <v>1754</v>
      </c>
      <c r="AH1706">
        <v>16</v>
      </c>
      <c r="AI1706">
        <v>1</v>
      </c>
      <c r="AJ1706">
        <v>0</v>
      </c>
      <c r="AK1706">
        <v>75.90000000000001</v>
      </c>
      <c r="AN1706" t="s">
        <v>2926</v>
      </c>
      <c r="AO1706">
        <v>9480</v>
      </c>
      <c r="AU1706" t="s">
        <v>13051</v>
      </c>
      <c r="AW1706" t="s">
        <v>3054</v>
      </c>
    </row>
    <row r="1707" spans="1:50">
      <c r="A1707" s="1" t="s">
        <v>57</v>
      </c>
      <c r="B1707" t="s">
        <v>164</v>
      </c>
      <c r="C1707" t="s">
        <v>4917</v>
      </c>
      <c r="D1707" t="s">
        <v>261</v>
      </c>
      <c r="E1707" t="s">
        <v>1994</v>
      </c>
      <c r="F1707" t="s">
        <v>7511</v>
      </c>
      <c r="G1707" t="s">
        <v>8681</v>
      </c>
      <c r="H1707" t="s">
        <v>9523</v>
      </c>
      <c r="I1707">
        <v>2</v>
      </c>
      <c r="J1707" t="s">
        <v>1641</v>
      </c>
      <c r="K1707">
        <v>10453</v>
      </c>
      <c r="L1707" t="s">
        <v>1670</v>
      </c>
      <c r="M1707" t="s">
        <v>1670</v>
      </c>
      <c r="O1707" t="s">
        <v>1939</v>
      </c>
      <c r="P1707" t="s">
        <v>1962</v>
      </c>
      <c r="Q1707" t="s">
        <v>1965</v>
      </c>
      <c r="R1707" t="s">
        <v>50</v>
      </c>
      <c r="S1707" t="s">
        <v>1670</v>
      </c>
      <c r="U1707" t="s">
        <v>1972</v>
      </c>
      <c r="W1707" t="s">
        <v>1991</v>
      </c>
      <c r="X1707">
        <v>800</v>
      </c>
      <c r="Y1707" t="s">
        <v>2006</v>
      </c>
      <c r="Z1707" t="s">
        <v>2021</v>
      </c>
      <c r="AA1707" t="s">
        <v>2029</v>
      </c>
      <c r="AB1707" t="s">
        <v>14254</v>
      </c>
      <c r="AC1707" t="s">
        <v>15206</v>
      </c>
      <c r="AD1707" t="s">
        <v>16679</v>
      </c>
      <c r="AE1707" t="s">
        <v>13051</v>
      </c>
      <c r="AF1707" t="s">
        <v>2902</v>
      </c>
      <c r="AG1707" t="s">
        <v>2916</v>
      </c>
      <c r="AH1707">
        <v>4</v>
      </c>
      <c r="AI1707">
        <v>1</v>
      </c>
      <c r="AJ1707">
        <v>0</v>
      </c>
      <c r="AK1707">
        <v>75.91</v>
      </c>
      <c r="AN1707" t="s">
        <v>2926</v>
      </c>
      <c r="AO1707">
        <v>9216</v>
      </c>
      <c r="AU1707">
        <v>1</v>
      </c>
      <c r="AV1707" t="s">
        <v>1994</v>
      </c>
      <c r="AW1707" t="s">
        <v>3046</v>
      </c>
      <c r="AX1707" t="s">
        <v>18685</v>
      </c>
    </row>
    <row r="1708" spans="1:50">
      <c r="A1708" s="1" t="s">
        <v>52</v>
      </c>
      <c r="B1708" t="s">
        <v>164</v>
      </c>
      <c r="C1708" t="s">
        <v>4918</v>
      </c>
      <c r="D1708" t="s">
        <v>273</v>
      </c>
      <c r="E1708" t="s">
        <v>330</v>
      </c>
      <c r="F1708" t="s">
        <v>6875</v>
      </c>
      <c r="G1708" t="s">
        <v>8682</v>
      </c>
      <c r="H1708" t="s">
        <v>10159</v>
      </c>
      <c r="I1708" t="s">
        <v>1570</v>
      </c>
      <c r="J1708" t="s">
        <v>1641</v>
      </c>
      <c r="K1708">
        <v>10453</v>
      </c>
      <c r="L1708" t="s">
        <v>1670</v>
      </c>
      <c r="M1708" t="s">
        <v>1670</v>
      </c>
      <c r="N1708" t="s">
        <v>12337</v>
      </c>
      <c r="O1708" t="s">
        <v>1936</v>
      </c>
      <c r="P1708" t="s">
        <v>1962</v>
      </c>
      <c r="Q1708" t="s">
        <v>1965</v>
      </c>
      <c r="R1708" t="s">
        <v>50</v>
      </c>
      <c r="S1708" t="s">
        <v>1671</v>
      </c>
      <c r="U1708" t="s">
        <v>1972</v>
      </c>
      <c r="V1708" t="s">
        <v>1987</v>
      </c>
      <c r="W1708" t="s">
        <v>376</v>
      </c>
      <c r="X1708">
        <v>744</v>
      </c>
      <c r="Y1708" t="s">
        <v>2006</v>
      </c>
      <c r="AA1708" t="s">
        <v>2029</v>
      </c>
      <c r="AB1708" t="s">
        <v>14255</v>
      </c>
      <c r="AD1708" t="s">
        <v>16680</v>
      </c>
      <c r="AE1708" t="s">
        <v>13051</v>
      </c>
      <c r="AF1708" t="s">
        <v>2902</v>
      </c>
      <c r="AG1708" t="s">
        <v>2919</v>
      </c>
      <c r="AH1708">
        <v>25</v>
      </c>
      <c r="AI1708">
        <v>1</v>
      </c>
      <c r="AJ1708">
        <v>0</v>
      </c>
      <c r="AK1708">
        <v>75.91</v>
      </c>
      <c r="AN1708" t="s">
        <v>2926</v>
      </c>
      <c r="AO1708">
        <v>9216</v>
      </c>
      <c r="AU1708">
        <v>1.9</v>
      </c>
      <c r="AV1708" t="s">
        <v>376</v>
      </c>
      <c r="AW1708" t="s">
        <v>3052</v>
      </c>
    </row>
    <row r="1709" spans="1:50">
      <c r="A1709" s="1" t="s">
        <v>91</v>
      </c>
      <c r="B1709" t="s">
        <v>163</v>
      </c>
      <c r="C1709" t="s">
        <v>4919</v>
      </c>
      <c r="D1709" t="s">
        <v>318</v>
      </c>
      <c r="F1709" t="s">
        <v>7452</v>
      </c>
      <c r="G1709" t="s">
        <v>8683</v>
      </c>
      <c r="H1709" t="s">
        <v>10160</v>
      </c>
      <c r="I1709">
        <v>27</v>
      </c>
      <c r="J1709" t="s">
        <v>1643</v>
      </c>
      <c r="K1709">
        <v>10034</v>
      </c>
      <c r="L1709" t="s">
        <v>1670</v>
      </c>
      <c r="M1709" t="s">
        <v>1670</v>
      </c>
      <c r="P1709" t="s">
        <v>1960</v>
      </c>
      <c r="R1709" t="s">
        <v>50</v>
      </c>
      <c r="S1709" t="s">
        <v>1671</v>
      </c>
      <c r="U1709" t="s">
        <v>1972</v>
      </c>
      <c r="W1709" t="s">
        <v>318</v>
      </c>
      <c r="X1709">
        <v>1200.41</v>
      </c>
      <c r="Y1709" t="s">
        <v>2008</v>
      </c>
      <c r="Z1709" t="s">
        <v>2013</v>
      </c>
      <c r="AB1709" t="s">
        <v>14256</v>
      </c>
      <c r="AD1709" t="s">
        <v>16681</v>
      </c>
      <c r="AE1709">
        <v>41</v>
      </c>
      <c r="AF1709" t="s">
        <v>2902</v>
      </c>
      <c r="AG1709" t="s">
        <v>2919</v>
      </c>
      <c r="AH1709">
        <v>9</v>
      </c>
      <c r="AI1709">
        <v>1</v>
      </c>
      <c r="AJ1709">
        <v>0</v>
      </c>
      <c r="AK1709">
        <v>75.91</v>
      </c>
      <c r="AN1709" t="s">
        <v>2927</v>
      </c>
      <c r="AO1709">
        <v>9216</v>
      </c>
      <c r="AU1709">
        <v>54.35</v>
      </c>
      <c r="AV1709" t="s">
        <v>357</v>
      </c>
      <c r="AW1709" t="s">
        <v>3042</v>
      </c>
    </row>
    <row r="1710" spans="1:50">
      <c r="A1710" s="1" t="s">
        <v>62</v>
      </c>
      <c r="B1710" t="s">
        <v>163</v>
      </c>
      <c r="C1710" t="s">
        <v>4920</v>
      </c>
      <c r="D1710" t="s">
        <v>6182</v>
      </c>
      <c r="F1710" t="s">
        <v>651</v>
      </c>
      <c r="G1710" t="s">
        <v>6881</v>
      </c>
      <c r="H1710" t="s">
        <v>10161</v>
      </c>
      <c r="I1710" t="s">
        <v>11278</v>
      </c>
      <c r="J1710" t="s">
        <v>1644</v>
      </c>
      <c r="K1710">
        <v>11226</v>
      </c>
      <c r="L1710" t="s">
        <v>1670</v>
      </c>
      <c r="M1710" t="s">
        <v>1670</v>
      </c>
      <c r="O1710" t="s">
        <v>1941</v>
      </c>
      <c r="P1710" t="s">
        <v>1959</v>
      </c>
      <c r="R1710" t="s">
        <v>50</v>
      </c>
      <c r="S1710" t="s">
        <v>1670</v>
      </c>
      <c r="T1710" t="s">
        <v>13026</v>
      </c>
      <c r="U1710" t="s">
        <v>1972</v>
      </c>
      <c r="W1710" t="s">
        <v>356</v>
      </c>
      <c r="X1710">
        <v>915</v>
      </c>
      <c r="Y1710" t="s">
        <v>2009</v>
      </c>
      <c r="Z1710" t="s">
        <v>2015</v>
      </c>
      <c r="AB1710" t="s">
        <v>14257</v>
      </c>
      <c r="AD1710" t="s">
        <v>16682</v>
      </c>
      <c r="AE1710">
        <v>6</v>
      </c>
      <c r="AF1710" t="s">
        <v>2902</v>
      </c>
      <c r="AG1710" t="s">
        <v>1754</v>
      </c>
      <c r="AH1710">
        <v>9</v>
      </c>
      <c r="AI1710">
        <v>2</v>
      </c>
      <c r="AJ1710">
        <v>0</v>
      </c>
      <c r="AK1710">
        <v>75.94</v>
      </c>
      <c r="AN1710" t="s">
        <v>2926</v>
      </c>
      <c r="AO1710">
        <v>12500</v>
      </c>
      <c r="AU1710">
        <v>2.75</v>
      </c>
      <c r="AV1710" t="s">
        <v>2001</v>
      </c>
      <c r="AW1710" t="s">
        <v>3079</v>
      </c>
    </row>
    <row r="1711" spans="1:50">
      <c r="A1711" s="1" t="s">
        <v>115</v>
      </c>
      <c r="B1711" t="s">
        <v>163</v>
      </c>
      <c r="C1711" t="s">
        <v>4921</v>
      </c>
      <c r="D1711" t="s">
        <v>328</v>
      </c>
      <c r="F1711" t="s">
        <v>6999</v>
      </c>
      <c r="G1711" t="s">
        <v>843</v>
      </c>
      <c r="H1711" t="s">
        <v>1260</v>
      </c>
      <c r="I1711" t="s">
        <v>1508</v>
      </c>
      <c r="J1711" t="s">
        <v>1641</v>
      </c>
      <c r="K1711">
        <v>10453</v>
      </c>
      <c r="L1711" t="s">
        <v>1670</v>
      </c>
      <c r="M1711" t="s">
        <v>1672</v>
      </c>
      <c r="N1711" t="s">
        <v>1691</v>
      </c>
      <c r="O1711" t="s">
        <v>1675</v>
      </c>
      <c r="P1711" t="s">
        <v>1958</v>
      </c>
      <c r="R1711" t="s">
        <v>50</v>
      </c>
      <c r="S1711" t="s">
        <v>1671</v>
      </c>
      <c r="U1711" t="s">
        <v>1972</v>
      </c>
      <c r="W1711" t="s">
        <v>328</v>
      </c>
      <c r="X1711">
        <v>1495.91</v>
      </c>
      <c r="Y1711" t="s">
        <v>2006</v>
      </c>
      <c r="Z1711" t="s">
        <v>2015</v>
      </c>
      <c r="AB1711" t="s">
        <v>14258</v>
      </c>
      <c r="AE1711">
        <v>49</v>
      </c>
      <c r="AF1711" t="s">
        <v>2902</v>
      </c>
      <c r="AG1711" t="s">
        <v>2915</v>
      </c>
      <c r="AH1711">
        <v>16</v>
      </c>
      <c r="AI1711">
        <v>1</v>
      </c>
      <c r="AJ1711">
        <v>0</v>
      </c>
      <c r="AK1711">
        <v>76</v>
      </c>
      <c r="AN1711" t="s">
        <v>2927</v>
      </c>
      <c r="AO1711">
        <v>9492</v>
      </c>
      <c r="AU1711">
        <v>1</v>
      </c>
      <c r="AV1711" t="s">
        <v>328</v>
      </c>
      <c r="AW1711" t="s">
        <v>115</v>
      </c>
      <c r="AX1711" t="s">
        <v>18685</v>
      </c>
    </row>
    <row r="1712" spans="1:50">
      <c r="A1712" s="1" t="s">
        <v>118</v>
      </c>
      <c r="B1712" t="s">
        <v>163</v>
      </c>
      <c r="C1712" t="s">
        <v>4922</v>
      </c>
      <c r="D1712" t="s">
        <v>203</v>
      </c>
      <c r="F1712" t="s">
        <v>6999</v>
      </c>
      <c r="G1712" t="s">
        <v>843</v>
      </c>
      <c r="H1712" t="s">
        <v>1260</v>
      </c>
      <c r="I1712" t="s">
        <v>1508</v>
      </c>
      <c r="J1712" t="s">
        <v>1641</v>
      </c>
      <c r="K1712">
        <v>10453</v>
      </c>
      <c r="L1712" t="s">
        <v>1670</v>
      </c>
      <c r="M1712" t="s">
        <v>1670</v>
      </c>
      <c r="O1712" t="s">
        <v>1941</v>
      </c>
      <c r="P1712" t="s">
        <v>1958</v>
      </c>
      <c r="R1712" t="s">
        <v>50</v>
      </c>
      <c r="S1712" t="s">
        <v>1671</v>
      </c>
      <c r="U1712" t="s">
        <v>1972</v>
      </c>
      <c r="W1712" t="s">
        <v>203</v>
      </c>
      <c r="X1712">
        <v>1525.83</v>
      </c>
      <c r="Y1712" t="s">
        <v>2006</v>
      </c>
      <c r="Z1712" t="s">
        <v>2013</v>
      </c>
      <c r="AB1712" t="s">
        <v>14258</v>
      </c>
      <c r="AE1712" t="s">
        <v>13051</v>
      </c>
      <c r="AF1712" t="s">
        <v>2902</v>
      </c>
      <c r="AG1712" t="s">
        <v>2915</v>
      </c>
      <c r="AH1712">
        <v>16</v>
      </c>
      <c r="AI1712">
        <v>1</v>
      </c>
      <c r="AJ1712">
        <v>0</v>
      </c>
      <c r="AK1712">
        <v>76</v>
      </c>
      <c r="AN1712" t="s">
        <v>2927</v>
      </c>
      <c r="AO1712">
        <v>9492</v>
      </c>
      <c r="AU1712">
        <v>1</v>
      </c>
      <c r="AV1712" t="s">
        <v>203</v>
      </c>
      <c r="AW1712" t="s">
        <v>118</v>
      </c>
      <c r="AX1712" t="s">
        <v>18685</v>
      </c>
    </row>
    <row r="1713" spans="1:50">
      <c r="A1713" s="1" t="s">
        <v>68</v>
      </c>
      <c r="B1713" t="s">
        <v>163</v>
      </c>
      <c r="C1713" t="s">
        <v>4923</v>
      </c>
      <c r="D1713" t="s">
        <v>286</v>
      </c>
      <c r="F1713" t="s">
        <v>7011</v>
      </c>
      <c r="G1713" t="s">
        <v>8684</v>
      </c>
      <c r="H1713" t="s">
        <v>9507</v>
      </c>
      <c r="I1713">
        <v>52</v>
      </c>
      <c r="J1713" t="s">
        <v>1643</v>
      </c>
      <c r="K1713">
        <v>10034</v>
      </c>
      <c r="L1713" t="s">
        <v>1670</v>
      </c>
      <c r="M1713" t="s">
        <v>1670</v>
      </c>
      <c r="P1713" t="s">
        <v>1958</v>
      </c>
      <c r="R1713" t="s">
        <v>50</v>
      </c>
      <c r="S1713" t="s">
        <v>1670</v>
      </c>
      <c r="U1713" t="s">
        <v>1972</v>
      </c>
      <c r="W1713" t="s">
        <v>286</v>
      </c>
      <c r="X1713">
        <v>900</v>
      </c>
      <c r="Y1713" t="s">
        <v>2008</v>
      </c>
      <c r="Z1713" t="s">
        <v>2013</v>
      </c>
      <c r="AB1713" t="s">
        <v>14259</v>
      </c>
      <c r="AC1713" t="s">
        <v>15207</v>
      </c>
      <c r="AD1713" t="s">
        <v>16683</v>
      </c>
      <c r="AE1713">
        <v>25</v>
      </c>
      <c r="AF1713" t="s">
        <v>2902</v>
      </c>
      <c r="AG1713" t="s">
        <v>1754</v>
      </c>
      <c r="AH1713">
        <v>35</v>
      </c>
      <c r="AI1713">
        <v>1</v>
      </c>
      <c r="AJ1713">
        <v>0</v>
      </c>
      <c r="AK1713">
        <v>76</v>
      </c>
      <c r="AN1713" t="s">
        <v>2927</v>
      </c>
      <c r="AO1713">
        <v>9492</v>
      </c>
      <c r="AU1713" t="s">
        <v>13051</v>
      </c>
      <c r="AW1713" t="s">
        <v>3042</v>
      </c>
    </row>
    <row r="1714" spans="1:50">
      <c r="A1714" s="1" t="s">
        <v>127</v>
      </c>
      <c r="B1714" t="s">
        <v>164</v>
      </c>
      <c r="C1714" t="s">
        <v>4924</v>
      </c>
      <c r="D1714" t="s">
        <v>235</v>
      </c>
      <c r="E1714" t="s">
        <v>385</v>
      </c>
      <c r="F1714" t="s">
        <v>7136</v>
      </c>
      <c r="G1714" t="s">
        <v>8180</v>
      </c>
      <c r="H1714" t="s">
        <v>10162</v>
      </c>
      <c r="I1714">
        <v>2</v>
      </c>
      <c r="J1714" t="s">
        <v>1644</v>
      </c>
      <c r="K1714">
        <v>11213</v>
      </c>
      <c r="L1714" t="s">
        <v>1670</v>
      </c>
      <c r="M1714" t="s">
        <v>1670</v>
      </c>
      <c r="N1714" t="s">
        <v>12338</v>
      </c>
      <c r="O1714" t="s">
        <v>1940</v>
      </c>
      <c r="P1714" t="s">
        <v>1962</v>
      </c>
      <c r="Q1714" t="s">
        <v>1968</v>
      </c>
      <c r="R1714" t="s">
        <v>50</v>
      </c>
      <c r="S1714" t="s">
        <v>1671</v>
      </c>
      <c r="U1714" t="s">
        <v>1972</v>
      </c>
      <c r="V1714" t="s">
        <v>1984</v>
      </c>
      <c r="W1714" t="s">
        <v>217</v>
      </c>
      <c r="X1714" t="s">
        <v>13051</v>
      </c>
      <c r="Y1714" t="s">
        <v>2009</v>
      </c>
      <c r="Z1714" t="s">
        <v>2015</v>
      </c>
      <c r="AA1714" t="s">
        <v>2034</v>
      </c>
      <c r="AB1714" t="s">
        <v>13984</v>
      </c>
      <c r="AD1714" t="s">
        <v>16684</v>
      </c>
      <c r="AE1714">
        <v>2</v>
      </c>
      <c r="AF1714" t="s">
        <v>2903</v>
      </c>
      <c r="AH1714">
        <v>2</v>
      </c>
      <c r="AI1714">
        <v>1</v>
      </c>
      <c r="AJ1714">
        <v>0</v>
      </c>
      <c r="AK1714">
        <v>76</v>
      </c>
      <c r="AN1714" t="s">
        <v>2926</v>
      </c>
      <c r="AO1714">
        <v>9492</v>
      </c>
      <c r="AU1714">
        <v>0.5</v>
      </c>
      <c r="AV1714" t="s">
        <v>235</v>
      </c>
      <c r="AW1714" t="s">
        <v>127</v>
      </c>
    </row>
    <row r="1715" spans="1:50">
      <c r="A1715" s="1" t="s">
        <v>63</v>
      </c>
      <c r="B1715" t="s">
        <v>164</v>
      </c>
      <c r="C1715" t="s">
        <v>4925</v>
      </c>
      <c r="D1715" t="s">
        <v>260</v>
      </c>
      <c r="E1715" t="s">
        <v>359</v>
      </c>
      <c r="F1715" t="s">
        <v>6828</v>
      </c>
      <c r="G1715" t="s">
        <v>855</v>
      </c>
      <c r="H1715" t="s">
        <v>10163</v>
      </c>
      <c r="I1715" t="s">
        <v>1569</v>
      </c>
      <c r="J1715" t="s">
        <v>1641</v>
      </c>
      <c r="K1715">
        <v>10457</v>
      </c>
      <c r="L1715" t="s">
        <v>1670</v>
      </c>
      <c r="M1715" t="s">
        <v>1671</v>
      </c>
      <c r="O1715" t="s">
        <v>1675</v>
      </c>
      <c r="P1715" t="s">
        <v>1958</v>
      </c>
      <c r="Q1715" t="s">
        <v>1965</v>
      </c>
      <c r="R1715" t="s">
        <v>50</v>
      </c>
      <c r="S1715" t="s">
        <v>1671</v>
      </c>
      <c r="U1715" t="s">
        <v>1972</v>
      </c>
      <c r="W1715" t="s">
        <v>370</v>
      </c>
      <c r="X1715">
        <v>850</v>
      </c>
      <c r="Y1715" t="s">
        <v>2006</v>
      </c>
      <c r="Z1715" t="s">
        <v>2015</v>
      </c>
      <c r="AA1715" t="s">
        <v>2029</v>
      </c>
      <c r="AB1715" t="s">
        <v>14260</v>
      </c>
      <c r="AD1715" t="s">
        <v>16685</v>
      </c>
      <c r="AE1715">
        <v>36</v>
      </c>
      <c r="AF1715" t="s">
        <v>2904</v>
      </c>
      <c r="AG1715" t="s">
        <v>2919</v>
      </c>
      <c r="AH1715">
        <v>20</v>
      </c>
      <c r="AI1715">
        <v>1</v>
      </c>
      <c r="AJ1715">
        <v>0</v>
      </c>
      <c r="AK1715">
        <v>76.11</v>
      </c>
      <c r="AN1715" t="s">
        <v>2927</v>
      </c>
      <c r="AO1715">
        <v>9240</v>
      </c>
      <c r="AU1715">
        <v>1.5</v>
      </c>
      <c r="AV1715" t="s">
        <v>370</v>
      </c>
      <c r="AW1715" t="s">
        <v>3046</v>
      </c>
    </row>
    <row r="1716" spans="1:50">
      <c r="A1716" s="1" t="s">
        <v>59</v>
      </c>
      <c r="B1716" t="s">
        <v>164</v>
      </c>
      <c r="C1716" t="s">
        <v>4926</v>
      </c>
      <c r="D1716" t="s">
        <v>264</v>
      </c>
      <c r="E1716" t="s">
        <v>391</v>
      </c>
      <c r="F1716" t="s">
        <v>7512</v>
      </c>
      <c r="G1716" t="s">
        <v>835</v>
      </c>
      <c r="H1716" t="s">
        <v>9627</v>
      </c>
      <c r="I1716" t="s">
        <v>11279</v>
      </c>
      <c r="J1716" t="s">
        <v>1641</v>
      </c>
      <c r="K1716">
        <v>10451</v>
      </c>
      <c r="L1716" t="s">
        <v>1670</v>
      </c>
      <c r="M1716" t="s">
        <v>1670</v>
      </c>
      <c r="O1716" t="s">
        <v>1675</v>
      </c>
      <c r="P1716" t="s">
        <v>1958</v>
      </c>
      <c r="Q1716" t="s">
        <v>1965</v>
      </c>
      <c r="R1716" t="s">
        <v>50</v>
      </c>
      <c r="S1716" t="s">
        <v>1671</v>
      </c>
      <c r="U1716" t="s">
        <v>1972</v>
      </c>
      <c r="W1716" t="s">
        <v>1992</v>
      </c>
      <c r="X1716">
        <v>1212.06</v>
      </c>
      <c r="Y1716" t="s">
        <v>2006</v>
      </c>
      <c r="Z1716" t="s">
        <v>2015</v>
      </c>
      <c r="AA1716" t="s">
        <v>2029</v>
      </c>
      <c r="AB1716" t="s">
        <v>14261</v>
      </c>
      <c r="AD1716" t="s">
        <v>16686</v>
      </c>
      <c r="AE1716">
        <v>107</v>
      </c>
      <c r="AF1716" t="s">
        <v>2904</v>
      </c>
      <c r="AG1716" t="s">
        <v>1754</v>
      </c>
      <c r="AH1716">
        <v>11</v>
      </c>
      <c r="AI1716">
        <v>1</v>
      </c>
      <c r="AJ1716">
        <v>0</v>
      </c>
      <c r="AK1716">
        <v>76.11</v>
      </c>
      <c r="AN1716" t="s">
        <v>2927</v>
      </c>
      <c r="AO1716">
        <v>9240</v>
      </c>
      <c r="AU1716">
        <v>0.1</v>
      </c>
      <c r="AV1716" t="s">
        <v>391</v>
      </c>
      <c r="AW1716" t="s">
        <v>3047</v>
      </c>
    </row>
    <row r="1717" spans="1:50">
      <c r="A1717" s="1" t="s">
        <v>64</v>
      </c>
      <c r="B1717" t="s">
        <v>164</v>
      </c>
      <c r="C1717" t="s">
        <v>4927</v>
      </c>
      <c r="D1717" t="s">
        <v>243</v>
      </c>
      <c r="E1717" t="s">
        <v>258</v>
      </c>
      <c r="F1717" t="s">
        <v>650</v>
      </c>
      <c r="G1717" t="s">
        <v>1020</v>
      </c>
      <c r="H1717" t="s">
        <v>9996</v>
      </c>
      <c r="I1717" t="s">
        <v>1506</v>
      </c>
      <c r="J1717" t="s">
        <v>1643</v>
      </c>
      <c r="K1717">
        <v>10034</v>
      </c>
      <c r="L1717" t="s">
        <v>1670</v>
      </c>
      <c r="M1717" t="s">
        <v>1670</v>
      </c>
      <c r="N1717" t="s">
        <v>12339</v>
      </c>
      <c r="O1717" t="s">
        <v>1940</v>
      </c>
      <c r="P1717" t="s">
        <v>1958</v>
      </c>
      <c r="Q1717" t="s">
        <v>1965</v>
      </c>
      <c r="R1717" t="s">
        <v>50</v>
      </c>
      <c r="S1717" t="s">
        <v>1671</v>
      </c>
      <c r="U1717" t="s">
        <v>1972</v>
      </c>
      <c r="W1717" t="s">
        <v>243</v>
      </c>
      <c r="X1717">
        <v>1200</v>
      </c>
      <c r="Y1717" t="s">
        <v>2008</v>
      </c>
      <c r="Z1717" t="s">
        <v>2017</v>
      </c>
      <c r="AA1717" t="s">
        <v>2029</v>
      </c>
      <c r="AB1717" t="s">
        <v>14031</v>
      </c>
      <c r="AD1717" t="s">
        <v>16465</v>
      </c>
      <c r="AE1717">
        <v>15</v>
      </c>
      <c r="AF1717" t="s">
        <v>2908</v>
      </c>
      <c r="AG1717" t="s">
        <v>2915</v>
      </c>
      <c r="AH1717">
        <v>8</v>
      </c>
      <c r="AI1717">
        <v>1</v>
      </c>
      <c r="AJ1717">
        <v>0</v>
      </c>
      <c r="AK1717">
        <v>76.11</v>
      </c>
      <c r="AN1717" t="s">
        <v>2927</v>
      </c>
      <c r="AO1717">
        <v>9240</v>
      </c>
      <c r="AU1717">
        <v>2.55</v>
      </c>
      <c r="AV1717" t="s">
        <v>384</v>
      </c>
      <c r="AW1717" t="s">
        <v>3068</v>
      </c>
    </row>
    <row r="1718" spans="1:50">
      <c r="A1718" s="1" t="s">
        <v>3150</v>
      </c>
      <c r="B1718" t="s">
        <v>163</v>
      </c>
      <c r="C1718" t="s">
        <v>4928</v>
      </c>
      <c r="D1718" t="s">
        <v>6128</v>
      </c>
      <c r="F1718" t="s">
        <v>724</v>
      </c>
      <c r="G1718" t="s">
        <v>8575</v>
      </c>
      <c r="H1718" t="s">
        <v>10164</v>
      </c>
      <c r="I1718">
        <v>20</v>
      </c>
      <c r="J1718" t="s">
        <v>1643</v>
      </c>
      <c r="K1718">
        <v>10010</v>
      </c>
      <c r="L1718" t="s">
        <v>1670</v>
      </c>
      <c r="M1718" t="s">
        <v>1670</v>
      </c>
      <c r="O1718" t="s">
        <v>1675</v>
      </c>
      <c r="P1718" t="s">
        <v>1958</v>
      </c>
      <c r="R1718" t="s">
        <v>50</v>
      </c>
      <c r="S1718" t="s">
        <v>1671</v>
      </c>
      <c r="U1718" t="s">
        <v>1972</v>
      </c>
      <c r="W1718" t="s">
        <v>1989</v>
      </c>
      <c r="X1718">
        <v>643.36</v>
      </c>
      <c r="Y1718" t="s">
        <v>2008</v>
      </c>
      <c r="Z1718" t="s">
        <v>2016</v>
      </c>
      <c r="AB1718" t="s">
        <v>14262</v>
      </c>
      <c r="AD1718" t="s">
        <v>16687</v>
      </c>
      <c r="AE1718" t="s">
        <v>13051</v>
      </c>
      <c r="AF1718" t="s">
        <v>2902</v>
      </c>
      <c r="AG1718" t="s">
        <v>2919</v>
      </c>
      <c r="AH1718">
        <v>41</v>
      </c>
      <c r="AI1718">
        <v>1</v>
      </c>
      <c r="AJ1718">
        <v>0</v>
      </c>
      <c r="AK1718">
        <v>76.11</v>
      </c>
      <c r="AN1718" t="s">
        <v>2927</v>
      </c>
      <c r="AO1718">
        <v>9240</v>
      </c>
      <c r="AU1718">
        <v>0.4</v>
      </c>
      <c r="AV1718" t="s">
        <v>6207</v>
      </c>
      <c r="AW1718" t="s">
        <v>3048</v>
      </c>
    </row>
    <row r="1719" spans="1:50">
      <c r="A1719" s="1" t="s">
        <v>95</v>
      </c>
      <c r="B1719" t="s">
        <v>164</v>
      </c>
      <c r="C1719" t="s">
        <v>4929</v>
      </c>
      <c r="D1719" t="s">
        <v>382</v>
      </c>
      <c r="E1719" t="s">
        <v>376</v>
      </c>
      <c r="F1719" t="s">
        <v>7078</v>
      </c>
      <c r="G1719" t="s">
        <v>8685</v>
      </c>
      <c r="H1719" t="s">
        <v>1473</v>
      </c>
      <c r="J1719" t="s">
        <v>1641</v>
      </c>
      <c r="K1719">
        <v>10452</v>
      </c>
      <c r="L1719" t="s">
        <v>1670</v>
      </c>
      <c r="M1719" t="s">
        <v>1670</v>
      </c>
      <c r="O1719" t="s">
        <v>1675</v>
      </c>
      <c r="P1719" t="s">
        <v>1962</v>
      </c>
      <c r="Q1719" t="s">
        <v>1965</v>
      </c>
      <c r="R1719" t="s">
        <v>50</v>
      </c>
      <c r="S1719" t="s">
        <v>1671</v>
      </c>
      <c r="U1719" t="s">
        <v>1972</v>
      </c>
      <c r="W1719" t="s">
        <v>329</v>
      </c>
      <c r="X1719">
        <v>1300</v>
      </c>
      <c r="Y1719" t="s">
        <v>2006</v>
      </c>
      <c r="Z1719" t="s">
        <v>2017</v>
      </c>
      <c r="AA1719" t="s">
        <v>2029</v>
      </c>
      <c r="AB1719" t="s">
        <v>14263</v>
      </c>
      <c r="AD1719" t="s">
        <v>16688</v>
      </c>
      <c r="AE1719">
        <v>109</v>
      </c>
      <c r="AF1719" t="s">
        <v>2902</v>
      </c>
      <c r="AH1719">
        <v>7</v>
      </c>
      <c r="AI1719">
        <v>2</v>
      </c>
      <c r="AJ1719">
        <v>0</v>
      </c>
      <c r="AK1719">
        <v>76.11</v>
      </c>
      <c r="AN1719" t="s">
        <v>2927</v>
      </c>
      <c r="AO1719">
        <v>12528</v>
      </c>
      <c r="AU1719">
        <v>1.25</v>
      </c>
      <c r="AV1719" t="s">
        <v>376</v>
      </c>
      <c r="AW1719" t="s">
        <v>95</v>
      </c>
    </row>
    <row r="1720" spans="1:50">
      <c r="A1720" s="1" t="s">
        <v>119</v>
      </c>
      <c r="B1720" t="s">
        <v>163</v>
      </c>
      <c r="C1720" t="s">
        <v>4930</v>
      </c>
      <c r="D1720" t="s">
        <v>229</v>
      </c>
      <c r="F1720" t="s">
        <v>7074</v>
      </c>
      <c r="G1720" t="s">
        <v>8686</v>
      </c>
      <c r="H1720" t="s">
        <v>10165</v>
      </c>
      <c r="I1720">
        <v>21</v>
      </c>
      <c r="J1720" t="s">
        <v>1644</v>
      </c>
      <c r="K1720">
        <v>11206</v>
      </c>
      <c r="L1720" t="s">
        <v>1670</v>
      </c>
      <c r="M1720" t="s">
        <v>1670</v>
      </c>
      <c r="N1720" t="s">
        <v>12340</v>
      </c>
      <c r="O1720" t="s">
        <v>1936</v>
      </c>
      <c r="P1720" t="s">
        <v>1960</v>
      </c>
      <c r="R1720" t="s">
        <v>50</v>
      </c>
      <c r="U1720" t="s">
        <v>1972</v>
      </c>
      <c r="W1720" t="s">
        <v>266</v>
      </c>
      <c r="X1720" t="s">
        <v>13051</v>
      </c>
      <c r="Y1720" t="s">
        <v>2009</v>
      </c>
      <c r="Z1720" t="s">
        <v>2014</v>
      </c>
      <c r="AB1720" t="s">
        <v>14264</v>
      </c>
      <c r="AD1720" t="s">
        <v>16689</v>
      </c>
      <c r="AE1720" t="s">
        <v>13051</v>
      </c>
      <c r="AG1720" t="s">
        <v>2915</v>
      </c>
      <c r="AH1720">
        <v>15</v>
      </c>
      <c r="AI1720">
        <v>1</v>
      </c>
      <c r="AJ1720">
        <v>0</v>
      </c>
      <c r="AK1720">
        <v>76.11</v>
      </c>
      <c r="AN1720" t="s">
        <v>2926</v>
      </c>
      <c r="AO1720">
        <v>9240</v>
      </c>
      <c r="AU1720">
        <v>10.3</v>
      </c>
      <c r="AV1720" t="s">
        <v>240</v>
      </c>
      <c r="AW1720" t="s">
        <v>3074</v>
      </c>
    </row>
    <row r="1721" spans="1:50">
      <c r="A1721" s="1" t="s">
        <v>72</v>
      </c>
      <c r="B1721" t="s">
        <v>163</v>
      </c>
      <c r="C1721" t="s">
        <v>4931</v>
      </c>
      <c r="D1721" t="s">
        <v>300</v>
      </c>
      <c r="F1721" t="s">
        <v>510</v>
      </c>
      <c r="G1721" t="s">
        <v>8687</v>
      </c>
      <c r="H1721" t="s">
        <v>9595</v>
      </c>
      <c r="I1721">
        <v>504</v>
      </c>
      <c r="J1721" t="s">
        <v>1643</v>
      </c>
      <c r="K1721">
        <v>10029</v>
      </c>
      <c r="L1721" t="s">
        <v>1670</v>
      </c>
      <c r="M1721" t="s">
        <v>1670</v>
      </c>
      <c r="N1721" t="s">
        <v>12341</v>
      </c>
      <c r="O1721" t="s">
        <v>1940</v>
      </c>
      <c r="P1721" t="s">
        <v>1960</v>
      </c>
      <c r="R1721" t="s">
        <v>50</v>
      </c>
      <c r="S1721" t="s">
        <v>1671</v>
      </c>
      <c r="U1721" t="s">
        <v>1972</v>
      </c>
      <c r="V1721" t="s">
        <v>1984</v>
      </c>
      <c r="W1721" t="s">
        <v>300</v>
      </c>
      <c r="X1721">
        <v>1000</v>
      </c>
      <c r="Y1721" t="s">
        <v>2008</v>
      </c>
      <c r="Z1721" t="s">
        <v>2013</v>
      </c>
      <c r="AB1721" t="s">
        <v>14265</v>
      </c>
      <c r="AD1721" t="s">
        <v>16690</v>
      </c>
      <c r="AE1721">
        <v>78</v>
      </c>
      <c r="AF1721" t="s">
        <v>2902</v>
      </c>
      <c r="AG1721" t="s">
        <v>2915</v>
      </c>
      <c r="AH1721">
        <v>9</v>
      </c>
      <c r="AI1721">
        <v>1</v>
      </c>
      <c r="AJ1721">
        <v>0</v>
      </c>
      <c r="AK1721">
        <v>76.11</v>
      </c>
      <c r="AN1721" t="s">
        <v>2927</v>
      </c>
      <c r="AO1721">
        <v>9240</v>
      </c>
      <c r="AU1721">
        <v>90.2</v>
      </c>
      <c r="AV1721" t="s">
        <v>333</v>
      </c>
      <c r="AW1721" t="s">
        <v>3051</v>
      </c>
      <c r="AX1721" t="s">
        <v>18685</v>
      </c>
    </row>
    <row r="1722" spans="1:50">
      <c r="A1722" s="1" t="s">
        <v>3194</v>
      </c>
      <c r="B1722" t="s">
        <v>164</v>
      </c>
      <c r="C1722" t="s">
        <v>4932</v>
      </c>
      <c r="D1722" t="s">
        <v>332</v>
      </c>
      <c r="E1722" t="s">
        <v>396</v>
      </c>
      <c r="F1722" t="s">
        <v>508</v>
      </c>
      <c r="G1722" t="s">
        <v>8592</v>
      </c>
      <c r="H1722" t="s">
        <v>10166</v>
      </c>
      <c r="I1722">
        <v>5</v>
      </c>
      <c r="J1722" t="s">
        <v>1641</v>
      </c>
      <c r="K1722">
        <v>10457</v>
      </c>
      <c r="L1722" t="s">
        <v>1670</v>
      </c>
      <c r="M1722" t="s">
        <v>1670</v>
      </c>
      <c r="O1722" t="s">
        <v>1945</v>
      </c>
      <c r="P1722" t="s">
        <v>1962</v>
      </c>
      <c r="Q1722" t="s">
        <v>1968</v>
      </c>
      <c r="R1722" t="s">
        <v>50</v>
      </c>
      <c r="S1722" t="s">
        <v>1671</v>
      </c>
      <c r="U1722" t="s">
        <v>1980</v>
      </c>
      <c r="W1722" t="s">
        <v>317</v>
      </c>
      <c r="X1722">
        <v>1321.11</v>
      </c>
      <c r="Y1722" t="s">
        <v>2006</v>
      </c>
      <c r="Z1722" t="s">
        <v>2021</v>
      </c>
      <c r="AA1722" t="s">
        <v>2029</v>
      </c>
      <c r="AB1722" t="s">
        <v>14266</v>
      </c>
      <c r="AD1722" t="s">
        <v>16691</v>
      </c>
      <c r="AE1722">
        <v>60</v>
      </c>
      <c r="AF1722" t="s">
        <v>2902</v>
      </c>
      <c r="AG1722" t="s">
        <v>1754</v>
      </c>
      <c r="AH1722">
        <v>2</v>
      </c>
      <c r="AI1722">
        <v>1</v>
      </c>
      <c r="AJ1722">
        <v>0</v>
      </c>
      <c r="AK1722">
        <v>76.20999999999999</v>
      </c>
      <c r="AN1722" t="s">
        <v>2926</v>
      </c>
      <c r="AO1722">
        <v>9252</v>
      </c>
      <c r="AP1722" t="s">
        <v>18301</v>
      </c>
      <c r="AU1722">
        <v>2.95</v>
      </c>
      <c r="AV1722" t="s">
        <v>396</v>
      </c>
      <c r="AW1722" t="s">
        <v>3194</v>
      </c>
    </row>
    <row r="1723" spans="1:50">
      <c r="A1723" s="1" t="s">
        <v>96</v>
      </c>
      <c r="B1723" t="s">
        <v>164</v>
      </c>
      <c r="C1723" t="s">
        <v>4933</v>
      </c>
      <c r="D1723" t="s">
        <v>6183</v>
      </c>
      <c r="E1723" t="s">
        <v>239</v>
      </c>
      <c r="F1723" t="s">
        <v>7266</v>
      </c>
      <c r="G1723" t="s">
        <v>8381</v>
      </c>
      <c r="H1723" t="s">
        <v>9799</v>
      </c>
      <c r="I1723" t="s">
        <v>11158</v>
      </c>
      <c r="J1723" t="s">
        <v>11747</v>
      </c>
      <c r="K1723">
        <v>11238</v>
      </c>
      <c r="L1723" t="s">
        <v>1670</v>
      </c>
      <c r="M1723" t="s">
        <v>1670</v>
      </c>
      <c r="O1723" t="s">
        <v>1945</v>
      </c>
      <c r="P1723" t="s">
        <v>1959</v>
      </c>
      <c r="Q1723" t="s">
        <v>1968</v>
      </c>
      <c r="R1723" t="s">
        <v>50</v>
      </c>
      <c r="S1723" t="s">
        <v>1671</v>
      </c>
      <c r="U1723" t="s">
        <v>1980</v>
      </c>
      <c r="W1723" t="s">
        <v>335</v>
      </c>
      <c r="X1723">
        <v>654.34</v>
      </c>
      <c r="Y1723" t="s">
        <v>2009</v>
      </c>
      <c r="Z1723" t="s">
        <v>2020</v>
      </c>
      <c r="AA1723" t="s">
        <v>13060</v>
      </c>
      <c r="AB1723" t="s">
        <v>13779</v>
      </c>
      <c r="AD1723" t="s">
        <v>16226</v>
      </c>
      <c r="AE1723">
        <v>29</v>
      </c>
      <c r="AF1723" t="s">
        <v>2902</v>
      </c>
      <c r="AG1723" t="s">
        <v>1754</v>
      </c>
      <c r="AH1723">
        <v>40</v>
      </c>
      <c r="AI1723">
        <v>1</v>
      </c>
      <c r="AJ1723">
        <v>0</v>
      </c>
      <c r="AK1723">
        <v>76.20999999999999</v>
      </c>
      <c r="AN1723" t="s">
        <v>2926</v>
      </c>
      <c r="AO1723">
        <v>9252</v>
      </c>
      <c r="AS1723" t="s">
        <v>2992</v>
      </c>
      <c r="AT1723" t="s">
        <v>18564</v>
      </c>
      <c r="AU1723">
        <v>9.050000000000001</v>
      </c>
      <c r="AV1723" t="s">
        <v>247</v>
      </c>
      <c r="AW1723" t="s">
        <v>3079</v>
      </c>
    </row>
    <row r="1724" spans="1:50">
      <c r="A1724" s="1" t="s">
        <v>122</v>
      </c>
      <c r="B1724" t="s">
        <v>164</v>
      </c>
      <c r="C1724" t="s">
        <v>4934</v>
      </c>
      <c r="D1724" t="s">
        <v>175</v>
      </c>
      <c r="E1724" t="s">
        <v>330</v>
      </c>
      <c r="F1724" t="s">
        <v>7496</v>
      </c>
      <c r="G1724" t="s">
        <v>1048</v>
      </c>
      <c r="H1724" t="s">
        <v>10167</v>
      </c>
      <c r="I1724" t="s">
        <v>11280</v>
      </c>
      <c r="J1724" t="s">
        <v>1641</v>
      </c>
      <c r="K1724">
        <v>10453</v>
      </c>
      <c r="L1724" t="s">
        <v>1670</v>
      </c>
      <c r="M1724" t="s">
        <v>1670</v>
      </c>
      <c r="O1724" t="s">
        <v>1675</v>
      </c>
      <c r="P1724" t="s">
        <v>1958</v>
      </c>
      <c r="Q1724" t="s">
        <v>1965</v>
      </c>
      <c r="R1724" t="s">
        <v>50</v>
      </c>
      <c r="U1724" t="s">
        <v>1972</v>
      </c>
      <c r="W1724" t="s">
        <v>1990</v>
      </c>
      <c r="X1724">
        <v>515.72</v>
      </c>
      <c r="Y1724" t="s">
        <v>2006</v>
      </c>
      <c r="AA1724" t="s">
        <v>2029</v>
      </c>
      <c r="AB1724" t="s">
        <v>14267</v>
      </c>
      <c r="AD1724" t="s">
        <v>16692</v>
      </c>
      <c r="AE1724">
        <v>50</v>
      </c>
      <c r="AF1724" t="s">
        <v>2902</v>
      </c>
      <c r="AG1724" t="s">
        <v>2919</v>
      </c>
      <c r="AH1724">
        <v>40</v>
      </c>
      <c r="AI1724">
        <v>1</v>
      </c>
      <c r="AJ1724">
        <v>0</v>
      </c>
      <c r="AK1724">
        <v>76.41</v>
      </c>
      <c r="AN1724" t="s">
        <v>2926</v>
      </c>
      <c r="AO1724">
        <v>9276</v>
      </c>
      <c r="AU1724">
        <v>0.75</v>
      </c>
      <c r="AV1724" t="s">
        <v>175</v>
      </c>
      <c r="AW1724" t="s">
        <v>3068</v>
      </c>
    </row>
    <row r="1725" spans="1:50">
      <c r="A1725" s="1" t="s">
        <v>99</v>
      </c>
      <c r="B1725" t="s">
        <v>164</v>
      </c>
      <c r="C1725" t="s">
        <v>4935</v>
      </c>
      <c r="D1725" t="s">
        <v>228</v>
      </c>
      <c r="E1725" t="s">
        <v>229</v>
      </c>
      <c r="F1725" t="s">
        <v>7513</v>
      </c>
      <c r="G1725" t="s">
        <v>8332</v>
      </c>
      <c r="H1725" t="s">
        <v>10168</v>
      </c>
      <c r="I1725" t="s">
        <v>11281</v>
      </c>
      <c r="J1725" t="s">
        <v>1645</v>
      </c>
      <c r="K1725">
        <v>11691</v>
      </c>
      <c r="L1725" t="s">
        <v>1670</v>
      </c>
      <c r="M1725" t="s">
        <v>1670</v>
      </c>
      <c r="N1725" t="s">
        <v>12342</v>
      </c>
      <c r="O1725" t="s">
        <v>1936</v>
      </c>
      <c r="P1725" t="s">
        <v>1960</v>
      </c>
      <c r="Q1725" t="s">
        <v>1969</v>
      </c>
      <c r="R1725" t="s">
        <v>50</v>
      </c>
      <c r="S1725" t="s">
        <v>1671</v>
      </c>
      <c r="U1725" t="s">
        <v>1972</v>
      </c>
      <c r="V1725" t="s">
        <v>1984</v>
      </c>
      <c r="W1725" t="s">
        <v>228</v>
      </c>
      <c r="X1725">
        <v>1301.06</v>
      </c>
      <c r="Y1725" t="s">
        <v>2007</v>
      </c>
      <c r="Z1725" t="s">
        <v>2014</v>
      </c>
      <c r="AA1725" t="s">
        <v>2032</v>
      </c>
      <c r="AB1725" t="s">
        <v>14268</v>
      </c>
      <c r="AC1725" t="s">
        <v>15208</v>
      </c>
      <c r="AD1725" t="s">
        <v>16693</v>
      </c>
      <c r="AE1725">
        <v>917</v>
      </c>
      <c r="AF1725" t="s">
        <v>2904</v>
      </c>
      <c r="AG1725" t="s">
        <v>2920</v>
      </c>
      <c r="AH1725">
        <v>1</v>
      </c>
      <c r="AI1725">
        <v>1</v>
      </c>
      <c r="AJ1725">
        <v>0</v>
      </c>
      <c r="AK1725">
        <v>76.41</v>
      </c>
      <c r="AN1725" t="s">
        <v>2926</v>
      </c>
      <c r="AO1725">
        <v>9276</v>
      </c>
      <c r="AQ1725" t="s">
        <v>2977</v>
      </c>
      <c r="AR1725" t="s">
        <v>2982</v>
      </c>
      <c r="AS1725" t="s">
        <v>2992</v>
      </c>
      <c r="AT1725" t="s">
        <v>2995</v>
      </c>
      <c r="AU1725">
        <v>18.48</v>
      </c>
      <c r="AV1725" t="s">
        <v>348</v>
      </c>
      <c r="AW1725" t="s">
        <v>85</v>
      </c>
    </row>
    <row r="1726" spans="1:50">
      <c r="A1726" s="1" t="s">
        <v>99</v>
      </c>
      <c r="B1726" t="s">
        <v>164</v>
      </c>
      <c r="C1726" t="s">
        <v>4936</v>
      </c>
      <c r="D1726" t="s">
        <v>358</v>
      </c>
      <c r="E1726" t="s">
        <v>167</v>
      </c>
      <c r="F1726" t="s">
        <v>7513</v>
      </c>
      <c r="G1726" t="s">
        <v>8332</v>
      </c>
      <c r="H1726" t="s">
        <v>10168</v>
      </c>
      <c r="I1726" t="s">
        <v>11281</v>
      </c>
      <c r="J1726" t="s">
        <v>1645</v>
      </c>
      <c r="K1726">
        <v>11691</v>
      </c>
      <c r="L1726" t="s">
        <v>1670</v>
      </c>
      <c r="M1726" t="s">
        <v>1670</v>
      </c>
      <c r="N1726" t="s">
        <v>12343</v>
      </c>
      <c r="O1726" t="s">
        <v>1936</v>
      </c>
      <c r="P1726" t="s">
        <v>1960</v>
      </c>
      <c r="Q1726" t="s">
        <v>1969</v>
      </c>
      <c r="R1726" t="s">
        <v>50</v>
      </c>
      <c r="S1726" t="s">
        <v>1671</v>
      </c>
      <c r="U1726" t="s">
        <v>1972</v>
      </c>
      <c r="V1726" t="s">
        <v>1984</v>
      </c>
      <c r="W1726" t="s">
        <v>358</v>
      </c>
      <c r="X1726">
        <v>1301.06</v>
      </c>
      <c r="Y1726" t="s">
        <v>2007</v>
      </c>
      <c r="Z1726" t="s">
        <v>2014</v>
      </c>
      <c r="AA1726" t="s">
        <v>2032</v>
      </c>
      <c r="AB1726" t="s">
        <v>14268</v>
      </c>
      <c r="AC1726" t="s">
        <v>15208</v>
      </c>
      <c r="AD1726" t="s">
        <v>16693</v>
      </c>
      <c r="AE1726">
        <v>917</v>
      </c>
      <c r="AF1726" t="s">
        <v>2902</v>
      </c>
      <c r="AG1726" t="s">
        <v>2920</v>
      </c>
      <c r="AH1726">
        <v>1</v>
      </c>
      <c r="AI1726">
        <v>1</v>
      </c>
      <c r="AJ1726">
        <v>0</v>
      </c>
      <c r="AK1726">
        <v>76.41</v>
      </c>
      <c r="AN1726" t="s">
        <v>2926</v>
      </c>
      <c r="AO1726">
        <v>9276</v>
      </c>
      <c r="AQ1726" t="s">
        <v>2977</v>
      </c>
      <c r="AR1726" t="s">
        <v>2983</v>
      </c>
      <c r="AS1726" t="s">
        <v>2992</v>
      </c>
      <c r="AT1726" t="s">
        <v>18565</v>
      </c>
      <c r="AU1726">
        <v>11.63</v>
      </c>
      <c r="AV1726" t="s">
        <v>167</v>
      </c>
      <c r="AW1726" t="s">
        <v>3044</v>
      </c>
    </row>
    <row r="1727" spans="1:50">
      <c r="A1727" s="1" t="s">
        <v>57</v>
      </c>
      <c r="B1727" t="s">
        <v>163</v>
      </c>
      <c r="C1727" t="s">
        <v>4937</v>
      </c>
      <c r="D1727" t="s">
        <v>1993</v>
      </c>
      <c r="F1727" t="s">
        <v>6883</v>
      </c>
      <c r="G1727" t="s">
        <v>974</v>
      </c>
      <c r="H1727" t="s">
        <v>1112</v>
      </c>
      <c r="I1727" t="s">
        <v>11243</v>
      </c>
      <c r="J1727" t="s">
        <v>1641</v>
      </c>
      <c r="K1727">
        <v>10453</v>
      </c>
      <c r="L1727" t="s">
        <v>1670</v>
      </c>
      <c r="M1727" t="s">
        <v>1671</v>
      </c>
      <c r="N1727" t="s">
        <v>1677</v>
      </c>
      <c r="O1727" t="s">
        <v>1939</v>
      </c>
      <c r="P1727" t="s">
        <v>1960</v>
      </c>
      <c r="R1727" t="s">
        <v>50</v>
      </c>
      <c r="S1727" t="s">
        <v>1670</v>
      </c>
      <c r="U1727" t="s">
        <v>1972</v>
      </c>
      <c r="W1727" t="s">
        <v>283</v>
      </c>
      <c r="X1727" t="s">
        <v>13051</v>
      </c>
      <c r="Y1727" t="s">
        <v>2006</v>
      </c>
      <c r="Z1727" t="s">
        <v>2020</v>
      </c>
      <c r="AB1727" t="s">
        <v>14146</v>
      </c>
      <c r="AD1727" t="s">
        <v>16569</v>
      </c>
      <c r="AE1727">
        <v>170</v>
      </c>
      <c r="AF1727" t="s">
        <v>2902</v>
      </c>
      <c r="AG1727" t="s">
        <v>2915</v>
      </c>
      <c r="AH1727">
        <v>28</v>
      </c>
      <c r="AI1727">
        <v>1</v>
      </c>
      <c r="AJ1727">
        <v>0</v>
      </c>
      <c r="AK1727">
        <v>76.41</v>
      </c>
      <c r="AN1727" t="s">
        <v>2927</v>
      </c>
      <c r="AO1727">
        <v>9276</v>
      </c>
      <c r="AU1727">
        <v>433</v>
      </c>
      <c r="AV1727" t="s">
        <v>397</v>
      </c>
      <c r="AW1727" t="s">
        <v>115</v>
      </c>
      <c r="AX1727" t="s">
        <v>18685</v>
      </c>
    </row>
    <row r="1728" spans="1:50">
      <c r="A1728" s="1" t="s">
        <v>126</v>
      </c>
      <c r="B1728" t="s">
        <v>163</v>
      </c>
      <c r="C1728" t="s">
        <v>4938</v>
      </c>
      <c r="D1728" t="s">
        <v>245</v>
      </c>
      <c r="F1728" t="s">
        <v>7514</v>
      </c>
      <c r="G1728" t="s">
        <v>8688</v>
      </c>
      <c r="H1728" t="s">
        <v>9627</v>
      </c>
      <c r="I1728" t="s">
        <v>11282</v>
      </c>
      <c r="J1728" t="s">
        <v>1641</v>
      </c>
      <c r="K1728">
        <v>10451</v>
      </c>
      <c r="L1728" t="s">
        <v>1670</v>
      </c>
      <c r="M1728" t="s">
        <v>1670</v>
      </c>
      <c r="N1728" t="s">
        <v>11981</v>
      </c>
      <c r="O1728" t="s">
        <v>1939</v>
      </c>
      <c r="P1728" t="s">
        <v>1960</v>
      </c>
      <c r="R1728" t="s">
        <v>50</v>
      </c>
      <c r="S1728" t="s">
        <v>1670</v>
      </c>
      <c r="U1728" t="s">
        <v>1972</v>
      </c>
      <c r="W1728" t="s">
        <v>359</v>
      </c>
      <c r="X1728">
        <v>2000</v>
      </c>
      <c r="Y1728" t="s">
        <v>2006</v>
      </c>
      <c r="Z1728" t="s">
        <v>2015</v>
      </c>
      <c r="AB1728" t="s">
        <v>14269</v>
      </c>
      <c r="AD1728" t="s">
        <v>16694</v>
      </c>
      <c r="AE1728">
        <v>100</v>
      </c>
      <c r="AF1728" t="s">
        <v>2902</v>
      </c>
      <c r="AG1728" t="s">
        <v>2915</v>
      </c>
      <c r="AH1728">
        <v>22</v>
      </c>
      <c r="AI1728">
        <v>1</v>
      </c>
      <c r="AJ1728">
        <v>0</v>
      </c>
      <c r="AK1728">
        <v>76.41</v>
      </c>
      <c r="AN1728" t="s">
        <v>2927</v>
      </c>
      <c r="AO1728">
        <v>9276</v>
      </c>
      <c r="AU1728" t="s">
        <v>13051</v>
      </c>
      <c r="AW1728" t="s">
        <v>3047</v>
      </c>
    </row>
    <row r="1729" spans="1:50">
      <c r="A1729" s="1" t="s">
        <v>57</v>
      </c>
      <c r="B1729" t="s">
        <v>163</v>
      </c>
      <c r="C1729" t="s">
        <v>4939</v>
      </c>
      <c r="D1729" t="s">
        <v>363</v>
      </c>
      <c r="F1729" t="s">
        <v>7515</v>
      </c>
      <c r="G1729" t="s">
        <v>8689</v>
      </c>
      <c r="H1729" t="s">
        <v>1379</v>
      </c>
      <c r="I1729" t="s">
        <v>11030</v>
      </c>
      <c r="J1729" t="s">
        <v>1641</v>
      </c>
      <c r="K1729">
        <v>10468</v>
      </c>
      <c r="L1729" t="s">
        <v>1670</v>
      </c>
      <c r="M1729" t="s">
        <v>1670</v>
      </c>
      <c r="O1729" t="s">
        <v>1949</v>
      </c>
      <c r="P1729" t="s">
        <v>1961</v>
      </c>
      <c r="R1729" t="s">
        <v>50</v>
      </c>
      <c r="S1729" t="s">
        <v>1670</v>
      </c>
      <c r="U1729" t="s">
        <v>1972</v>
      </c>
      <c r="W1729" t="s">
        <v>250</v>
      </c>
      <c r="X1729">
        <v>861</v>
      </c>
      <c r="Y1729" t="s">
        <v>2006</v>
      </c>
      <c r="Z1729" t="s">
        <v>2015</v>
      </c>
      <c r="AB1729" t="s">
        <v>14270</v>
      </c>
      <c r="AD1729" t="s">
        <v>16695</v>
      </c>
      <c r="AE1729">
        <v>58</v>
      </c>
      <c r="AF1729" t="s">
        <v>2908</v>
      </c>
      <c r="AG1729" t="s">
        <v>2919</v>
      </c>
      <c r="AH1729">
        <v>30</v>
      </c>
      <c r="AI1729">
        <v>4</v>
      </c>
      <c r="AJ1729">
        <v>0</v>
      </c>
      <c r="AK1729">
        <v>76.48999999999999</v>
      </c>
      <c r="AN1729" t="s">
        <v>2927</v>
      </c>
      <c r="AO1729">
        <v>19200</v>
      </c>
      <c r="AU1729">
        <v>1.8</v>
      </c>
      <c r="AV1729" t="s">
        <v>190</v>
      </c>
      <c r="AW1729" t="s">
        <v>3046</v>
      </c>
    </row>
    <row r="1730" spans="1:50">
      <c r="A1730" s="1" t="s">
        <v>57</v>
      </c>
      <c r="B1730" t="s">
        <v>163</v>
      </c>
      <c r="C1730" t="s">
        <v>4940</v>
      </c>
      <c r="D1730" t="s">
        <v>363</v>
      </c>
      <c r="F1730" t="s">
        <v>7515</v>
      </c>
      <c r="G1730" t="s">
        <v>8689</v>
      </c>
      <c r="H1730" t="s">
        <v>1379</v>
      </c>
      <c r="I1730" t="s">
        <v>11030</v>
      </c>
      <c r="J1730" t="s">
        <v>1641</v>
      </c>
      <c r="K1730">
        <v>10468</v>
      </c>
      <c r="L1730" t="s">
        <v>1670</v>
      </c>
      <c r="M1730" t="s">
        <v>1670</v>
      </c>
      <c r="N1730" t="s">
        <v>1718</v>
      </c>
      <c r="O1730" t="s">
        <v>1939</v>
      </c>
      <c r="P1730" t="s">
        <v>1960</v>
      </c>
      <c r="R1730" t="s">
        <v>50</v>
      </c>
      <c r="S1730" t="s">
        <v>1670</v>
      </c>
      <c r="U1730" t="s">
        <v>1972</v>
      </c>
      <c r="W1730" t="s">
        <v>363</v>
      </c>
      <c r="X1730">
        <v>861</v>
      </c>
      <c r="Y1730" t="s">
        <v>2006</v>
      </c>
      <c r="Z1730" t="s">
        <v>2015</v>
      </c>
      <c r="AB1730" t="s">
        <v>14270</v>
      </c>
      <c r="AD1730" t="s">
        <v>16695</v>
      </c>
      <c r="AE1730">
        <v>58</v>
      </c>
      <c r="AF1730" t="s">
        <v>2902</v>
      </c>
      <c r="AG1730" t="s">
        <v>2919</v>
      </c>
      <c r="AH1730">
        <v>30</v>
      </c>
      <c r="AI1730">
        <v>4</v>
      </c>
      <c r="AJ1730">
        <v>0</v>
      </c>
      <c r="AK1730">
        <v>76.48999999999999</v>
      </c>
      <c r="AN1730" t="s">
        <v>2927</v>
      </c>
      <c r="AO1730">
        <v>19200</v>
      </c>
      <c r="AU1730">
        <v>553.49</v>
      </c>
      <c r="AV1730" t="s">
        <v>346</v>
      </c>
      <c r="AW1730" t="s">
        <v>3046</v>
      </c>
    </row>
    <row r="1731" spans="1:50">
      <c r="A1731" s="1" t="s">
        <v>3184</v>
      </c>
      <c r="B1731" t="s">
        <v>164</v>
      </c>
      <c r="C1731" t="s">
        <v>4941</v>
      </c>
      <c r="D1731" t="s">
        <v>6152</v>
      </c>
      <c r="E1731" t="s">
        <v>361</v>
      </c>
      <c r="F1731" t="s">
        <v>7516</v>
      </c>
      <c r="G1731" t="s">
        <v>8026</v>
      </c>
      <c r="H1731" t="s">
        <v>1327</v>
      </c>
      <c r="I1731" t="s">
        <v>1548</v>
      </c>
      <c r="J1731" t="s">
        <v>1644</v>
      </c>
      <c r="K1731">
        <v>11230</v>
      </c>
      <c r="L1731" t="s">
        <v>1670</v>
      </c>
      <c r="M1731" t="s">
        <v>1670</v>
      </c>
      <c r="N1731" t="s">
        <v>1754</v>
      </c>
      <c r="O1731" t="s">
        <v>1675</v>
      </c>
      <c r="P1731" t="s">
        <v>1959</v>
      </c>
      <c r="Q1731" t="s">
        <v>1968</v>
      </c>
      <c r="R1731" t="s">
        <v>50</v>
      </c>
      <c r="S1731" t="s">
        <v>1670</v>
      </c>
      <c r="U1731" t="s">
        <v>1972</v>
      </c>
      <c r="V1731" t="s">
        <v>1984</v>
      </c>
      <c r="W1731" t="s">
        <v>318</v>
      </c>
      <c r="X1731" t="s">
        <v>13051</v>
      </c>
      <c r="Y1731" t="s">
        <v>2009</v>
      </c>
      <c r="Z1731" t="s">
        <v>2015</v>
      </c>
      <c r="AA1731" t="s">
        <v>2030</v>
      </c>
      <c r="AB1731" t="s">
        <v>2050</v>
      </c>
      <c r="AE1731">
        <v>55</v>
      </c>
      <c r="AF1731" t="s">
        <v>2902</v>
      </c>
      <c r="AH1731" t="s">
        <v>13051</v>
      </c>
      <c r="AI1731">
        <v>1</v>
      </c>
      <c r="AJ1731">
        <v>0</v>
      </c>
      <c r="AK1731">
        <v>76.51000000000001</v>
      </c>
      <c r="AN1731" t="s">
        <v>2927</v>
      </c>
      <c r="AO1731">
        <v>9288</v>
      </c>
      <c r="AU1731">
        <v>19.45</v>
      </c>
      <c r="AV1731" t="s">
        <v>202</v>
      </c>
      <c r="AW1731" t="s">
        <v>3184</v>
      </c>
    </row>
    <row r="1732" spans="1:50">
      <c r="A1732" s="1" t="s">
        <v>104</v>
      </c>
      <c r="B1732" t="s">
        <v>164</v>
      </c>
      <c r="C1732" t="s">
        <v>4942</v>
      </c>
      <c r="D1732" t="s">
        <v>217</v>
      </c>
      <c r="E1732" t="s">
        <v>405</v>
      </c>
      <c r="F1732" t="s">
        <v>604</v>
      </c>
      <c r="G1732" t="s">
        <v>1016</v>
      </c>
      <c r="H1732" t="s">
        <v>10169</v>
      </c>
      <c r="I1732">
        <v>506</v>
      </c>
      <c r="J1732" t="s">
        <v>1646</v>
      </c>
      <c r="K1732">
        <v>10305</v>
      </c>
      <c r="L1732" t="s">
        <v>1670</v>
      </c>
      <c r="M1732" t="s">
        <v>1670</v>
      </c>
      <c r="N1732" t="s">
        <v>12344</v>
      </c>
      <c r="O1732" t="s">
        <v>1936</v>
      </c>
      <c r="P1732" t="s">
        <v>1960</v>
      </c>
      <c r="Q1732" t="s">
        <v>1969</v>
      </c>
      <c r="R1732" t="s">
        <v>50</v>
      </c>
      <c r="S1732" t="s">
        <v>1671</v>
      </c>
      <c r="U1732" t="s">
        <v>1972</v>
      </c>
      <c r="V1732" t="s">
        <v>1987</v>
      </c>
      <c r="W1732" t="s">
        <v>217</v>
      </c>
      <c r="X1732">
        <v>1060</v>
      </c>
      <c r="Y1732" t="s">
        <v>2010</v>
      </c>
      <c r="Z1732" t="s">
        <v>2014</v>
      </c>
      <c r="AA1732" t="s">
        <v>2032</v>
      </c>
      <c r="AB1732" t="s">
        <v>14271</v>
      </c>
      <c r="AD1732" t="s">
        <v>16696</v>
      </c>
      <c r="AE1732">
        <v>48</v>
      </c>
      <c r="AF1732" t="s">
        <v>2902</v>
      </c>
      <c r="AG1732" t="s">
        <v>2921</v>
      </c>
      <c r="AH1732">
        <v>3</v>
      </c>
      <c r="AI1732">
        <v>1</v>
      </c>
      <c r="AJ1732">
        <v>0</v>
      </c>
      <c r="AK1732">
        <v>76.56999999999999</v>
      </c>
      <c r="AN1732" t="s">
        <v>2926</v>
      </c>
      <c r="AO1732">
        <v>9564</v>
      </c>
      <c r="AQ1732" t="s">
        <v>2979</v>
      </c>
      <c r="AR1732" t="s">
        <v>2983</v>
      </c>
      <c r="AS1732" t="s">
        <v>2992</v>
      </c>
      <c r="AT1732" t="s">
        <v>18566</v>
      </c>
      <c r="AU1732">
        <v>14.7</v>
      </c>
      <c r="AV1732" t="s">
        <v>405</v>
      </c>
      <c r="AW1732" t="s">
        <v>3050</v>
      </c>
    </row>
    <row r="1733" spans="1:50">
      <c r="A1733" s="1" t="s">
        <v>74</v>
      </c>
      <c r="B1733" t="s">
        <v>163</v>
      </c>
      <c r="C1733" t="s">
        <v>4943</v>
      </c>
      <c r="D1733" t="s">
        <v>332</v>
      </c>
      <c r="F1733" t="s">
        <v>7506</v>
      </c>
      <c r="G1733" t="s">
        <v>8667</v>
      </c>
      <c r="H1733" t="s">
        <v>1131</v>
      </c>
      <c r="I1733" t="s">
        <v>11269</v>
      </c>
      <c r="J1733" t="s">
        <v>1641</v>
      </c>
      <c r="K1733">
        <v>10460</v>
      </c>
      <c r="L1733" t="s">
        <v>1670</v>
      </c>
      <c r="M1733" t="s">
        <v>1670</v>
      </c>
      <c r="N1733" t="s">
        <v>12345</v>
      </c>
      <c r="O1733" t="s">
        <v>1940</v>
      </c>
      <c r="P1733" t="s">
        <v>1960</v>
      </c>
      <c r="R1733" t="s">
        <v>50</v>
      </c>
      <c r="S1733" t="s">
        <v>1671</v>
      </c>
      <c r="U1733" t="s">
        <v>1972</v>
      </c>
      <c r="W1733" t="s">
        <v>1991</v>
      </c>
      <c r="X1733">
        <v>241</v>
      </c>
      <c r="Y1733" t="s">
        <v>2006</v>
      </c>
      <c r="Z1733" t="s">
        <v>2020</v>
      </c>
      <c r="AB1733" t="s">
        <v>2430</v>
      </c>
      <c r="AD1733" t="s">
        <v>16662</v>
      </c>
      <c r="AE1733">
        <v>169</v>
      </c>
      <c r="AF1733" t="s">
        <v>2910</v>
      </c>
      <c r="AG1733" t="s">
        <v>2915</v>
      </c>
      <c r="AH1733">
        <v>12</v>
      </c>
      <c r="AI1733">
        <v>1</v>
      </c>
      <c r="AJ1733">
        <v>0</v>
      </c>
      <c r="AK1733">
        <v>76.61</v>
      </c>
      <c r="AN1733" t="s">
        <v>2926</v>
      </c>
      <c r="AO1733">
        <v>9300</v>
      </c>
      <c r="AU1733">
        <v>26.2</v>
      </c>
      <c r="AV1733" t="s">
        <v>393</v>
      </c>
      <c r="AW1733" t="s">
        <v>3054</v>
      </c>
      <c r="AX1733" t="s">
        <v>18685</v>
      </c>
    </row>
    <row r="1734" spans="1:50">
      <c r="A1734" s="1" t="s">
        <v>74</v>
      </c>
      <c r="B1734" t="s">
        <v>163</v>
      </c>
      <c r="C1734" t="s">
        <v>4944</v>
      </c>
      <c r="D1734" t="s">
        <v>281</v>
      </c>
      <c r="F1734" t="s">
        <v>7506</v>
      </c>
      <c r="G1734" t="s">
        <v>8667</v>
      </c>
      <c r="H1734" t="s">
        <v>1131</v>
      </c>
      <c r="I1734" t="s">
        <v>11269</v>
      </c>
      <c r="J1734" t="s">
        <v>1641</v>
      </c>
      <c r="K1734">
        <v>10460</v>
      </c>
      <c r="L1734" t="s">
        <v>1670</v>
      </c>
      <c r="M1734" t="s">
        <v>1670</v>
      </c>
      <c r="N1734" t="s">
        <v>1692</v>
      </c>
      <c r="O1734" t="s">
        <v>1939</v>
      </c>
      <c r="P1734" t="s">
        <v>1960</v>
      </c>
      <c r="R1734" t="s">
        <v>50</v>
      </c>
      <c r="S1734" t="s">
        <v>1670</v>
      </c>
      <c r="U1734" t="s">
        <v>1972</v>
      </c>
      <c r="W1734" t="s">
        <v>283</v>
      </c>
      <c r="X1734">
        <v>241</v>
      </c>
      <c r="Y1734" t="s">
        <v>2006</v>
      </c>
      <c r="Z1734" t="s">
        <v>2015</v>
      </c>
      <c r="AB1734" t="s">
        <v>2430</v>
      </c>
      <c r="AD1734" t="s">
        <v>16662</v>
      </c>
      <c r="AE1734">
        <v>169</v>
      </c>
      <c r="AF1734" t="s">
        <v>2910</v>
      </c>
      <c r="AG1734" t="s">
        <v>2915</v>
      </c>
      <c r="AH1734">
        <v>12</v>
      </c>
      <c r="AI1734">
        <v>1</v>
      </c>
      <c r="AJ1734">
        <v>0</v>
      </c>
      <c r="AK1734">
        <v>76.61</v>
      </c>
      <c r="AN1734" t="s">
        <v>2926</v>
      </c>
      <c r="AO1734">
        <v>9300</v>
      </c>
      <c r="AU1734" t="s">
        <v>13051</v>
      </c>
      <c r="AW1734" t="s">
        <v>76</v>
      </c>
    </row>
    <row r="1735" spans="1:50">
      <c r="A1735" s="1" t="s">
        <v>52</v>
      </c>
      <c r="B1735" t="s">
        <v>164</v>
      </c>
      <c r="C1735" t="s">
        <v>4945</v>
      </c>
      <c r="D1735" t="s">
        <v>316</v>
      </c>
      <c r="E1735" t="s">
        <v>327</v>
      </c>
      <c r="F1735" t="s">
        <v>670</v>
      </c>
      <c r="G1735" t="s">
        <v>8690</v>
      </c>
      <c r="H1735" t="s">
        <v>10170</v>
      </c>
      <c r="I1735" t="s">
        <v>1477</v>
      </c>
      <c r="J1735" t="s">
        <v>1641</v>
      </c>
      <c r="K1735">
        <v>10453</v>
      </c>
      <c r="L1735" t="s">
        <v>1670</v>
      </c>
      <c r="M1735" t="s">
        <v>1670</v>
      </c>
      <c r="N1735" t="s">
        <v>12346</v>
      </c>
      <c r="O1735" t="s">
        <v>1940</v>
      </c>
      <c r="P1735" t="s">
        <v>1958</v>
      </c>
      <c r="Q1735" t="s">
        <v>1965</v>
      </c>
      <c r="R1735" t="s">
        <v>50</v>
      </c>
      <c r="S1735" t="s">
        <v>1671</v>
      </c>
      <c r="U1735" t="s">
        <v>1972</v>
      </c>
      <c r="V1735" t="s">
        <v>1987</v>
      </c>
      <c r="W1735" t="s">
        <v>310</v>
      </c>
      <c r="X1735">
        <v>1063</v>
      </c>
      <c r="Y1735" t="s">
        <v>2006</v>
      </c>
      <c r="Z1735" t="s">
        <v>2011</v>
      </c>
      <c r="AA1735" t="s">
        <v>2029</v>
      </c>
      <c r="AB1735" t="s">
        <v>14272</v>
      </c>
      <c r="AD1735" t="s">
        <v>16697</v>
      </c>
      <c r="AE1735">
        <v>58</v>
      </c>
      <c r="AF1735" t="s">
        <v>2902</v>
      </c>
      <c r="AH1735">
        <v>30</v>
      </c>
      <c r="AI1735">
        <v>1</v>
      </c>
      <c r="AJ1735">
        <v>0</v>
      </c>
      <c r="AK1735">
        <v>76.86</v>
      </c>
      <c r="AN1735" t="s">
        <v>2926</v>
      </c>
      <c r="AO1735">
        <v>9600</v>
      </c>
      <c r="AU1735">
        <v>2.35</v>
      </c>
      <c r="AV1735" t="s">
        <v>327</v>
      </c>
      <c r="AW1735" t="s">
        <v>3082</v>
      </c>
    </row>
    <row r="1736" spans="1:50">
      <c r="A1736" s="1" t="s">
        <v>52</v>
      </c>
      <c r="B1736" t="s">
        <v>164</v>
      </c>
      <c r="C1736" t="s">
        <v>4946</v>
      </c>
      <c r="D1736" t="s">
        <v>193</v>
      </c>
      <c r="E1736" t="s">
        <v>220</v>
      </c>
      <c r="F1736" t="s">
        <v>7133</v>
      </c>
      <c r="G1736" t="s">
        <v>8691</v>
      </c>
      <c r="H1736" t="s">
        <v>10069</v>
      </c>
      <c r="I1736" t="s">
        <v>11283</v>
      </c>
      <c r="J1736" t="s">
        <v>1641</v>
      </c>
      <c r="K1736">
        <v>10452</v>
      </c>
      <c r="L1736" t="s">
        <v>1670</v>
      </c>
      <c r="M1736" t="s">
        <v>1670</v>
      </c>
      <c r="O1736" t="s">
        <v>1675</v>
      </c>
      <c r="P1736" t="s">
        <v>1958</v>
      </c>
      <c r="Q1736" t="s">
        <v>1965</v>
      </c>
      <c r="R1736" t="s">
        <v>50</v>
      </c>
      <c r="S1736" t="s">
        <v>1671</v>
      </c>
      <c r="U1736" t="s">
        <v>1972</v>
      </c>
      <c r="W1736" t="s">
        <v>1991</v>
      </c>
      <c r="X1736">
        <v>1160</v>
      </c>
      <c r="Y1736" t="s">
        <v>2006</v>
      </c>
      <c r="Z1736" t="s">
        <v>2015</v>
      </c>
      <c r="AA1736" t="s">
        <v>2029</v>
      </c>
      <c r="AB1736" t="s">
        <v>14273</v>
      </c>
      <c r="AC1736" t="s">
        <v>15209</v>
      </c>
      <c r="AD1736" t="s">
        <v>16698</v>
      </c>
      <c r="AE1736" t="s">
        <v>13051</v>
      </c>
      <c r="AF1736" t="s">
        <v>2903</v>
      </c>
      <c r="AG1736" t="s">
        <v>2017</v>
      </c>
      <c r="AH1736">
        <v>4</v>
      </c>
      <c r="AI1736">
        <v>1</v>
      </c>
      <c r="AJ1736">
        <v>0</v>
      </c>
      <c r="AK1736">
        <v>76.86</v>
      </c>
      <c r="AN1736" t="s">
        <v>2926</v>
      </c>
      <c r="AO1736">
        <v>9600</v>
      </c>
      <c r="AU1736">
        <v>0.5</v>
      </c>
      <c r="AV1736" t="s">
        <v>193</v>
      </c>
      <c r="AW1736" t="s">
        <v>3045</v>
      </c>
      <c r="AX1736" t="s">
        <v>18685</v>
      </c>
    </row>
    <row r="1737" spans="1:50">
      <c r="A1737" s="1" t="s">
        <v>52</v>
      </c>
      <c r="B1737" t="s">
        <v>164</v>
      </c>
      <c r="C1737" t="s">
        <v>4947</v>
      </c>
      <c r="D1737" t="s">
        <v>258</v>
      </c>
      <c r="E1737" t="s">
        <v>327</v>
      </c>
      <c r="F1737" t="s">
        <v>670</v>
      </c>
      <c r="G1737" t="s">
        <v>8690</v>
      </c>
      <c r="H1737" t="s">
        <v>10170</v>
      </c>
      <c r="I1737" t="s">
        <v>1477</v>
      </c>
      <c r="J1737" t="s">
        <v>1641</v>
      </c>
      <c r="K1737">
        <v>10453</v>
      </c>
      <c r="L1737" t="s">
        <v>1670</v>
      </c>
      <c r="M1737" t="s">
        <v>1670</v>
      </c>
      <c r="N1737" t="s">
        <v>12347</v>
      </c>
      <c r="O1737" t="s">
        <v>1938</v>
      </c>
      <c r="P1737" t="s">
        <v>1962</v>
      </c>
      <c r="Q1737" t="s">
        <v>1968</v>
      </c>
      <c r="R1737" t="s">
        <v>50</v>
      </c>
      <c r="S1737" t="s">
        <v>1671</v>
      </c>
      <c r="U1737" t="s">
        <v>1972</v>
      </c>
      <c r="W1737" t="s">
        <v>258</v>
      </c>
      <c r="X1737">
        <v>1063</v>
      </c>
      <c r="Y1737" t="s">
        <v>2006</v>
      </c>
      <c r="Z1737" t="s">
        <v>2020</v>
      </c>
      <c r="AA1737" t="s">
        <v>2029</v>
      </c>
      <c r="AB1737" t="s">
        <v>14272</v>
      </c>
      <c r="AD1737" t="s">
        <v>16697</v>
      </c>
      <c r="AE1737">
        <v>58</v>
      </c>
      <c r="AF1737" t="s">
        <v>2902</v>
      </c>
      <c r="AG1737" t="s">
        <v>2919</v>
      </c>
      <c r="AH1737">
        <v>30</v>
      </c>
      <c r="AI1737">
        <v>1</v>
      </c>
      <c r="AJ1737">
        <v>0</v>
      </c>
      <c r="AK1737">
        <v>76.86</v>
      </c>
      <c r="AN1737" t="s">
        <v>2926</v>
      </c>
      <c r="AO1737">
        <v>9600</v>
      </c>
      <c r="AU1737">
        <v>2.3</v>
      </c>
      <c r="AV1737" t="s">
        <v>327</v>
      </c>
      <c r="AW1737" t="s">
        <v>52</v>
      </c>
    </row>
    <row r="1738" spans="1:50">
      <c r="A1738" s="1" t="s">
        <v>72</v>
      </c>
      <c r="B1738" t="s">
        <v>164</v>
      </c>
      <c r="C1738" t="s">
        <v>4948</v>
      </c>
      <c r="D1738" t="s">
        <v>189</v>
      </c>
      <c r="E1738" t="s">
        <v>212</v>
      </c>
      <c r="F1738" t="s">
        <v>6851</v>
      </c>
      <c r="G1738" t="s">
        <v>920</v>
      </c>
      <c r="H1738" t="s">
        <v>10171</v>
      </c>
      <c r="I1738" t="s">
        <v>11284</v>
      </c>
      <c r="J1738" t="s">
        <v>1643</v>
      </c>
      <c r="K1738">
        <v>10035</v>
      </c>
      <c r="L1738" t="s">
        <v>1670</v>
      </c>
      <c r="M1738" t="s">
        <v>1670</v>
      </c>
      <c r="O1738" t="s">
        <v>1675</v>
      </c>
      <c r="P1738" t="s">
        <v>1962</v>
      </c>
      <c r="Q1738" t="s">
        <v>1968</v>
      </c>
      <c r="R1738" t="s">
        <v>50</v>
      </c>
      <c r="S1738" t="s">
        <v>1671</v>
      </c>
      <c r="U1738" t="s">
        <v>1972</v>
      </c>
      <c r="V1738" t="s">
        <v>1984</v>
      </c>
      <c r="W1738" t="s">
        <v>199</v>
      </c>
      <c r="X1738">
        <v>2212.04</v>
      </c>
      <c r="Y1738" t="s">
        <v>2008</v>
      </c>
      <c r="Z1738" t="s">
        <v>2016</v>
      </c>
      <c r="AA1738" t="s">
        <v>13060</v>
      </c>
      <c r="AB1738" t="s">
        <v>14274</v>
      </c>
      <c r="AD1738" t="s">
        <v>16699</v>
      </c>
      <c r="AE1738">
        <v>13</v>
      </c>
      <c r="AF1738" t="s">
        <v>2908</v>
      </c>
      <c r="AG1738" t="s">
        <v>1754</v>
      </c>
      <c r="AH1738">
        <v>13</v>
      </c>
      <c r="AI1738">
        <v>1</v>
      </c>
      <c r="AJ1738">
        <v>0</v>
      </c>
      <c r="AK1738">
        <v>76.86</v>
      </c>
      <c r="AN1738" t="s">
        <v>2926</v>
      </c>
      <c r="AO1738">
        <v>9600</v>
      </c>
      <c r="AU1738">
        <v>4.25</v>
      </c>
      <c r="AV1738" t="s">
        <v>212</v>
      </c>
      <c r="AW1738" t="s">
        <v>3051</v>
      </c>
    </row>
    <row r="1739" spans="1:50">
      <c r="A1739" s="1" t="s">
        <v>130</v>
      </c>
      <c r="B1739" t="s">
        <v>164</v>
      </c>
      <c r="C1739" t="s">
        <v>4949</v>
      </c>
      <c r="D1739" t="s">
        <v>190</v>
      </c>
      <c r="E1739" t="s">
        <v>283</v>
      </c>
      <c r="F1739" t="s">
        <v>427</v>
      </c>
      <c r="G1739" t="s">
        <v>8692</v>
      </c>
      <c r="H1739" t="s">
        <v>9783</v>
      </c>
      <c r="I1739" t="s">
        <v>11285</v>
      </c>
      <c r="J1739" t="s">
        <v>1644</v>
      </c>
      <c r="K1739">
        <v>11208</v>
      </c>
      <c r="L1739" t="s">
        <v>1670</v>
      </c>
      <c r="M1739" t="s">
        <v>1670</v>
      </c>
      <c r="N1739" t="s">
        <v>12082</v>
      </c>
      <c r="O1739" t="s">
        <v>1939</v>
      </c>
      <c r="P1739" t="s">
        <v>1960</v>
      </c>
      <c r="Q1739" t="s">
        <v>1969</v>
      </c>
      <c r="R1739" t="s">
        <v>50</v>
      </c>
      <c r="S1739" t="s">
        <v>1670</v>
      </c>
      <c r="U1739" t="s">
        <v>1972</v>
      </c>
      <c r="V1739" t="s">
        <v>1984</v>
      </c>
      <c r="W1739" t="s">
        <v>1992</v>
      </c>
      <c r="X1739">
        <v>300</v>
      </c>
      <c r="Y1739" t="s">
        <v>2009</v>
      </c>
      <c r="Z1739" t="s">
        <v>2020</v>
      </c>
      <c r="AA1739" t="s">
        <v>2029</v>
      </c>
      <c r="AB1739" t="s">
        <v>14275</v>
      </c>
      <c r="AD1739" t="s">
        <v>16700</v>
      </c>
      <c r="AE1739">
        <v>7</v>
      </c>
      <c r="AF1739" t="s">
        <v>2903</v>
      </c>
      <c r="AG1739" t="s">
        <v>1754</v>
      </c>
      <c r="AH1739">
        <v>3</v>
      </c>
      <c r="AI1739">
        <v>1</v>
      </c>
      <c r="AJ1739">
        <v>0</v>
      </c>
      <c r="AK1739">
        <v>76.86</v>
      </c>
      <c r="AN1739" t="s">
        <v>2927</v>
      </c>
      <c r="AO1739">
        <v>9600</v>
      </c>
      <c r="AP1739" t="s">
        <v>18302</v>
      </c>
      <c r="AR1739" t="s">
        <v>18474</v>
      </c>
      <c r="AU1739">
        <v>0.1</v>
      </c>
      <c r="AV1739" t="s">
        <v>283</v>
      </c>
      <c r="AW1739" t="s">
        <v>3060</v>
      </c>
    </row>
    <row r="1740" spans="1:50">
      <c r="A1740" s="1" t="s">
        <v>151</v>
      </c>
      <c r="B1740" t="s">
        <v>163</v>
      </c>
      <c r="C1740" t="s">
        <v>4950</v>
      </c>
      <c r="D1740" t="s">
        <v>328</v>
      </c>
      <c r="F1740" t="s">
        <v>7517</v>
      </c>
      <c r="G1740" t="s">
        <v>8693</v>
      </c>
      <c r="H1740" t="s">
        <v>10172</v>
      </c>
      <c r="I1740" t="s">
        <v>11286</v>
      </c>
      <c r="J1740" t="s">
        <v>1656</v>
      </c>
      <c r="K1740">
        <v>11101</v>
      </c>
      <c r="L1740" t="s">
        <v>1670</v>
      </c>
      <c r="M1740" t="s">
        <v>1672</v>
      </c>
      <c r="N1740" t="s">
        <v>12348</v>
      </c>
      <c r="O1740" t="s">
        <v>1936</v>
      </c>
      <c r="P1740" t="s">
        <v>1960</v>
      </c>
      <c r="R1740" t="s">
        <v>50</v>
      </c>
      <c r="S1740" t="s">
        <v>1670</v>
      </c>
      <c r="U1740" t="s">
        <v>1972</v>
      </c>
      <c r="V1740" t="s">
        <v>1984</v>
      </c>
      <c r="W1740" t="s">
        <v>328</v>
      </c>
      <c r="X1740">
        <v>1268</v>
      </c>
      <c r="Y1740" t="s">
        <v>2007</v>
      </c>
      <c r="Z1740" t="s">
        <v>2014</v>
      </c>
      <c r="AB1740" t="s">
        <v>14276</v>
      </c>
      <c r="AD1740" t="s">
        <v>16701</v>
      </c>
      <c r="AE1740">
        <v>200</v>
      </c>
      <c r="AF1740" t="s">
        <v>2902</v>
      </c>
      <c r="AG1740" t="s">
        <v>2916</v>
      </c>
      <c r="AH1740">
        <v>2</v>
      </c>
      <c r="AI1740">
        <v>1</v>
      </c>
      <c r="AJ1740">
        <v>0</v>
      </c>
      <c r="AK1740">
        <v>76.86</v>
      </c>
      <c r="AN1740" t="s">
        <v>2927</v>
      </c>
      <c r="AO1740">
        <v>9600</v>
      </c>
      <c r="AU1740">
        <v>10.7</v>
      </c>
      <c r="AV1740" t="s">
        <v>397</v>
      </c>
      <c r="AW1740" t="s">
        <v>3073</v>
      </c>
      <c r="AX1740" t="s">
        <v>18685</v>
      </c>
    </row>
    <row r="1741" spans="1:50">
      <c r="A1741" s="1" t="s">
        <v>59</v>
      </c>
      <c r="B1741" t="s">
        <v>163</v>
      </c>
      <c r="C1741" t="s">
        <v>4951</v>
      </c>
      <c r="D1741" t="s">
        <v>198</v>
      </c>
      <c r="F1741" t="s">
        <v>7203</v>
      </c>
      <c r="G1741" t="s">
        <v>859</v>
      </c>
      <c r="H1741" t="s">
        <v>10173</v>
      </c>
      <c r="I1741" t="s">
        <v>1510</v>
      </c>
      <c r="J1741" t="s">
        <v>1641</v>
      </c>
      <c r="K1741">
        <v>10456</v>
      </c>
      <c r="L1741" t="s">
        <v>1670</v>
      </c>
      <c r="M1741" t="s">
        <v>1672</v>
      </c>
      <c r="P1741" t="s">
        <v>1962</v>
      </c>
      <c r="R1741" t="s">
        <v>50</v>
      </c>
      <c r="S1741" t="s">
        <v>1671</v>
      </c>
      <c r="U1741" t="s">
        <v>1972</v>
      </c>
      <c r="W1741" t="s">
        <v>1991</v>
      </c>
      <c r="X1741" t="s">
        <v>13051</v>
      </c>
      <c r="Y1741" t="s">
        <v>2006</v>
      </c>
      <c r="Z1741" t="s">
        <v>2015</v>
      </c>
      <c r="AB1741" t="s">
        <v>14277</v>
      </c>
      <c r="AD1741" t="s">
        <v>16702</v>
      </c>
      <c r="AE1741">
        <v>72</v>
      </c>
      <c r="AF1741" t="s">
        <v>2904</v>
      </c>
      <c r="AG1741" t="s">
        <v>2915</v>
      </c>
      <c r="AH1741">
        <v>25</v>
      </c>
      <c r="AI1741">
        <v>1</v>
      </c>
      <c r="AJ1741">
        <v>0</v>
      </c>
      <c r="AK1741">
        <v>76.95999999999999</v>
      </c>
      <c r="AN1741" t="s">
        <v>2927</v>
      </c>
      <c r="AO1741">
        <v>9612</v>
      </c>
      <c r="AU1741">
        <v>0.5</v>
      </c>
      <c r="AV1741" t="s">
        <v>337</v>
      </c>
      <c r="AW1741" t="s">
        <v>3047</v>
      </c>
      <c r="AX1741" t="s">
        <v>18685</v>
      </c>
    </row>
    <row r="1742" spans="1:50">
      <c r="A1742" s="1" t="s">
        <v>103</v>
      </c>
      <c r="B1742" t="s">
        <v>163</v>
      </c>
      <c r="C1742" t="s">
        <v>4952</v>
      </c>
      <c r="D1742" t="s">
        <v>305</v>
      </c>
      <c r="F1742" t="s">
        <v>7518</v>
      </c>
      <c r="G1742" t="s">
        <v>784</v>
      </c>
      <c r="H1742" t="s">
        <v>10174</v>
      </c>
      <c r="I1742" t="s">
        <v>10957</v>
      </c>
      <c r="J1742" t="s">
        <v>1644</v>
      </c>
      <c r="K1742">
        <v>11208</v>
      </c>
      <c r="L1742" t="s">
        <v>1670</v>
      </c>
      <c r="M1742" t="s">
        <v>1670</v>
      </c>
      <c r="N1742" t="s">
        <v>12349</v>
      </c>
      <c r="P1742" t="s">
        <v>1958</v>
      </c>
      <c r="R1742" t="s">
        <v>50</v>
      </c>
      <c r="U1742" t="s">
        <v>1974</v>
      </c>
      <c r="W1742" t="s">
        <v>305</v>
      </c>
      <c r="X1742" t="s">
        <v>13051</v>
      </c>
      <c r="Y1742" t="s">
        <v>2009</v>
      </c>
      <c r="AB1742" t="s">
        <v>14278</v>
      </c>
      <c r="AE1742" t="s">
        <v>13051</v>
      </c>
      <c r="AH1742" t="s">
        <v>13051</v>
      </c>
      <c r="AI1742">
        <v>1</v>
      </c>
      <c r="AJ1742">
        <v>0</v>
      </c>
      <c r="AK1742">
        <v>77.09999999999999</v>
      </c>
      <c r="AN1742" t="s">
        <v>2926</v>
      </c>
      <c r="AO1742">
        <v>9360</v>
      </c>
      <c r="AU1742">
        <v>2</v>
      </c>
      <c r="AV1742" t="s">
        <v>343</v>
      </c>
      <c r="AW1742" t="s">
        <v>3074</v>
      </c>
    </row>
    <row r="1743" spans="1:50">
      <c r="A1743" s="1" t="s">
        <v>101</v>
      </c>
      <c r="B1743" t="s">
        <v>163</v>
      </c>
      <c r="C1743" t="s">
        <v>4953</v>
      </c>
      <c r="D1743" t="s">
        <v>2000</v>
      </c>
      <c r="F1743" t="s">
        <v>724</v>
      </c>
      <c r="G1743" t="s">
        <v>8694</v>
      </c>
      <c r="H1743" t="s">
        <v>10175</v>
      </c>
      <c r="I1743" t="s">
        <v>1544</v>
      </c>
      <c r="J1743" t="s">
        <v>1643</v>
      </c>
      <c r="K1743">
        <v>10031</v>
      </c>
      <c r="L1743" t="s">
        <v>1670</v>
      </c>
      <c r="M1743" t="s">
        <v>1670</v>
      </c>
      <c r="O1743" t="s">
        <v>1675</v>
      </c>
      <c r="P1743" t="s">
        <v>1958</v>
      </c>
      <c r="R1743" t="s">
        <v>50</v>
      </c>
      <c r="S1743" t="s">
        <v>1670</v>
      </c>
      <c r="U1743" t="s">
        <v>1972</v>
      </c>
      <c r="V1743" t="s">
        <v>1984</v>
      </c>
      <c r="W1743" t="s">
        <v>2000</v>
      </c>
      <c r="X1743">
        <v>144</v>
      </c>
      <c r="Y1743" t="s">
        <v>2008</v>
      </c>
      <c r="Z1743" t="s">
        <v>2016</v>
      </c>
      <c r="AB1743" t="s">
        <v>13832</v>
      </c>
      <c r="AE1743">
        <v>42</v>
      </c>
      <c r="AF1743" t="s">
        <v>2909</v>
      </c>
      <c r="AG1743" t="s">
        <v>2915</v>
      </c>
      <c r="AH1743">
        <v>23</v>
      </c>
      <c r="AI1743">
        <v>1</v>
      </c>
      <c r="AJ1743">
        <v>0</v>
      </c>
      <c r="AK1743">
        <v>77.09999999999999</v>
      </c>
      <c r="AN1743" t="s">
        <v>2926</v>
      </c>
      <c r="AO1743">
        <v>9360</v>
      </c>
      <c r="AP1743" t="s">
        <v>18098</v>
      </c>
      <c r="AU1743">
        <v>0.2</v>
      </c>
      <c r="AV1743" t="s">
        <v>246</v>
      </c>
      <c r="AW1743" t="s">
        <v>3051</v>
      </c>
    </row>
    <row r="1744" spans="1:50">
      <c r="A1744" s="1" t="s">
        <v>103</v>
      </c>
      <c r="B1744" t="s">
        <v>163</v>
      </c>
      <c r="C1744" t="s">
        <v>4954</v>
      </c>
      <c r="D1744" t="s">
        <v>305</v>
      </c>
      <c r="F1744" t="s">
        <v>7518</v>
      </c>
      <c r="G1744" t="s">
        <v>784</v>
      </c>
      <c r="H1744" t="s">
        <v>10174</v>
      </c>
      <c r="I1744" t="s">
        <v>10957</v>
      </c>
      <c r="J1744" t="s">
        <v>1644</v>
      </c>
      <c r="K1744">
        <v>11208</v>
      </c>
      <c r="L1744" t="s">
        <v>1670</v>
      </c>
      <c r="M1744" t="s">
        <v>1670</v>
      </c>
      <c r="N1744" t="s">
        <v>12349</v>
      </c>
      <c r="O1744" t="s">
        <v>1936</v>
      </c>
      <c r="P1744" t="s">
        <v>1960</v>
      </c>
      <c r="R1744" t="s">
        <v>50</v>
      </c>
      <c r="U1744" t="s">
        <v>1972</v>
      </c>
      <c r="W1744" t="s">
        <v>305</v>
      </c>
      <c r="X1744">
        <v>180</v>
      </c>
      <c r="Y1744" t="s">
        <v>2009</v>
      </c>
      <c r="Z1744" t="s">
        <v>2018</v>
      </c>
      <c r="AB1744" t="s">
        <v>14278</v>
      </c>
      <c r="AE1744">
        <v>4</v>
      </c>
      <c r="AH1744">
        <v>15</v>
      </c>
      <c r="AI1744">
        <v>1</v>
      </c>
      <c r="AJ1744">
        <v>0</v>
      </c>
      <c r="AK1744">
        <v>77.09999999999999</v>
      </c>
      <c r="AN1744" t="s">
        <v>2926</v>
      </c>
      <c r="AO1744">
        <v>9360</v>
      </c>
      <c r="AU1744">
        <v>61.75</v>
      </c>
      <c r="AV1744" t="s">
        <v>339</v>
      </c>
      <c r="AW1744" t="s">
        <v>3074</v>
      </c>
    </row>
    <row r="1745" spans="1:50">
      <c r="A1745" s="1" t="s">
        <v>94</v>
      </c>
      <c r="B1745" t="s">
        <v>164</v>
      </c>
      <c r="C1745" t="s">
        <v>4955</v>
      </c>
      <c r="D1745" t="s">
        <v>296</v>
      </c>
      <c r="E1745" t="s">
        <v>223</v>
      </c>
      <c r="F1745" t="s">
        <v>6831</v>
      </c>
      <c r="G1745" t="s">
        <v>8280</v>
      </c>
      <c r="H1745" t="s">
        <v>10176</v>
      </c>
      <c r="I1745">
        <v>6</v>
      </c>
      <c r="J1745" t="s">
        <v>1643</v>
      </c>
      <c r="K1745">
        <v>10033</v>
      </c>
      <c r="L1745" t="s">
        <v>1670</v>
      </c>
      <c r="M1745" t="s">
        <v>1670</v>
      </c>
      <c r="O1745" t="s">
        <v>1936</v>
      </c>
      <c r="P1745" t="s">
        <v>1958</v>
      </c>
      <c r="Q1745" t="s">
        <v>1965</v>
      </c>
      <c r="R1745" t="s">
        <v>50</v>
      </c>
      <c r="S1745" t="s">
        <v>1671</v>
      </c>
      <c r="U1745" t="s">
        <v>1972</v>
      </c>
      <c r="W1745" t="s">
        <v>296</v>
      </c>
      <c r="X1745">
        <v>160</v>
      </c>
      <c r="Y1745" t="s">
        <v>2008</v>
      </c>
      <c r="Z1745" t="s">
        <v>2020</v>
      </c>
      <c r="AA1745" t="s">
        <v>2029</v>
      </c>
      <c r="AB1745" t="s">
        <v>14279</v>
      </c>
      <c r="AD1745" t="s">
        <v>16703</v>
      </c>
      <c r="AE1745" t="s">
        <v>13051</v>
      </c>
      <c r="AF1745" t="s">
        <v>2902</v>
      </c>
      <c r="AG1745" t="s">
        <v>2915</v>
      </c>
      <c r="AH1745">
        <v>22</v>
      </c>
      <c r="AI1745">
        <v>1</v>
      </c>
      <c r="AJ1745">
        <v>0</v>
      </c>
      <c r="AK1745">
        <v>77.2</v>
      </c>
      <c r="AN1745" t="s">
        <v>2927</v>
      </c>
      <c r="AO1745">
        <v>9372</v>
      </c>
      <c r="AU1745">
        <v>2.5</v>
      </c>
      <c r="AV1745" t="s">
        <v>224</v>
      </c>
      <c r="AW1745" t="s">
        <v>3042</v>
      </c>
    </row>
    <row r="1746" spans="1:50">
      <c r="A1746" s="1" t="s">
        <v>96</v>
      </c>
      <c r="B1746" t="s">
        <v>163</v>
      </c>
      <c r="C1746" t="s">
        <v>4956</v>
      </c>
      <c r="D1746" t="s">
        <v>307</v>
      </c>
      <c r="F1746" t="s">
        <v>6786</v>
      </c>
      <c r="G1746" t="s">
        <v>7875</v>
      </c>
      <c r="H1746" t="s">
        <v>9374</v>
      </c>
      <c r="I1746" t="s">
        <v>10939</v>
      </c>
      <c r="J1746" t="s">
        <v>1644</v>
      </c>
      <c r="K1746">
        <v>11203</v>
      </c>
      <c r="L1746" t="s">
        <v>1670</v>
      </c>
      <c r="M1746" t="s">
        <v>1671</v>
      </c>
      <c r="N1746" t="s">
        <v>12350</v>
      </c>
      <c r="O1746" t="s">
        <v>1936</v>
      </c>
      <c r="P1746" t="s">
        <v>1960</v>
      </c>
      <c r="R1746" t="s">
        <v>50</v>
      </c>
      <c r="S1746" t="s">
        <v>1671</v>
      </c>
      <c r="U1746" t="s">
        <v>1973</v>
      </c>
      <c r="V1746" t="s">
        <v>1984</v>
      </c>
      <c r="W1746" t="s">
        <v>307</v>
      </c>
      <c r="X1746" t="s">
        <v>13051</v>
      </c>
      <c r="Y1746" t="s">
        <v>2009</v>
      </c>
      <c r="Z1746" t="s">
        <v>2020</v>
      </c>
      <c r="AB1746" t="s">
        <v>13075</v>
      </c>
      <c r="AD1746" t="s">
        <v>15709</v>
      </c>
      <c r="AE1746">
        <v>101</v>
      </c>
      <c r="AF1746" t="s">
        <v>18015</v>
      </c>
      <c r="AG1746" t="s">
        <v>2915</v>
      </c>
      <c r="AH1746" t="s">
        <v>13051</v>
      </c>
      <c r="AI1746">
        <v>1</v>
      </c>
      <c r="AJ1746">
        <v>0</v>
      </c>
      <c r="AK1746">
        <v>77.2</v>
      </c>
      <c r="AO1746">
        <v>9372</v>
      </c>
      <c r="AQ1746" t="s">
        <v>2979</v>
      </c>
      <c r="AU1746">
        <v>6</v>
      </c>
      <c r="AV1746" t="s">
        <v>399</v>
      </c>
      <c r="AW1746" t="s">
        <v>96</v>
      </c>
      <c r="AX1746" t="s">
        <v>18685</v>
      </c>
    </row>
    <row r="1747" spans="1:50">
      <c r="A1747" s="1" t="s">
        <v>101</v>
      </c>
      <c r="B1747" t="s">
        <v>163</v>
      </c>
      <c r="C1747" t="s">
        <v>4957</v>
      </c>
      <c r="D1747" t="s">
        <v>166</v>
      </c>
      <c r="F1747" t="s">
        <v>423</v>
      </c>
      <c r="G1747" t="s">
        <v>1016</v>
      </c>
      <c r="H1747" t="s">
        <v>10175</v>
      </c>
      <c r="I1747" t="s">
        <v>11050</v>
      </c>
      <c r="J1747" t="s">
        <v>1643</v>
      </c>
      <c r="K1747">
        <v>10031</v>
      </c>
      <c r="L1747" t="s">
        <v>1670</v>
      </c>
      <c r="M1747" t="s">
        <v>1670</v>
      </c>
      <c r="N1747" t="s">
        <v>12351</v>
      </c>
      <c r="O1747" t="s">
        <v>1939</v>
      </c>
      <c r="P1747" t="s">
        <v>1960</v>
      </c>
      <c r="R1747" t="s">
        <v>50</v>
      </c>
      <c r="S1747" t="s">
        <v>1670</v>
      </c>
      <c r="U1747" t="s">
        <v>1972</v>
      </c>
      <c r="V1747" t="s">
        <v>1984</v>
      </c>
      <c r="W1747" t="s">
        <v>166</v>
      </c>
      <c r="X1747" t="s">
        <v>13051</v>
      </c>
      <c r="Y1747" t="s">
        <v>2008</v>
      </c>
      <c r="Z1747" t="s">
        <v>2016</v>
      </c>
      <c r="AB1747" t="s">
        <v>14280</v>
      </c>
      <c r="AE1747">
        <v>42</v>
      </c>
      <c r="AF1747" t="s">
        <v>2909</v>
      </c>
      <c r="AG1747" t="s">
        <v>2915</v>
      </c>
      <c r="AH1747">
        <v>31</v>
      </c>
      <c r="AI1747">
        <v>1</v>
      </c>
      <c r="AJ1747">
        <v>0</v>
      </c>
      <c r="AK1747">
        <v>77.27</v>
      </c>
      <c r="AN1747" t="s">
        <v>2926</v>
      </c>
      <c r="AO1747">
        <v>9380.040000000001</v>
      </c>
      <c r="AQ1747" t="s">
        <v>2976</v>
      </c>
      <c r="AU1747">
        <v>1.25</v>
      </c>
      <c r="AV1747" t="s">
        <v>388</v>
      </c>
      <c r="AW1747" t="s">
        <v>3051</v>
      </c>
      <c r="AX1747" t="s">
        <v>18685</v>
      </c>
    </row>
    <row r="1748" spans="1:50">
      <c r="A1748" s="1" t="s">
        <v>82</v>
      </c>
      <c r="B1748" t="s">
        <v>163</v>
      </c>
      <c r="C1748" t="s">
        <v>4958</v>
      </c>
      <c r="D1748" t="s">
        <v>190</v>
      </c>
      <c r="F1748" t="s">
        <v>7519</v>
      </c>
      <c r="G1748" t="s">
        <v>8695</v>
      </c>
      <c r="H1748" t="s">
        <v>9482</v>
      </c>
      <c r="I1748" t="s">
        <v>11287</v>
      </c>
      <c r="J1748" t="s">
        <v>1644</v>
      </c>
      <c r="K1748">
        <v>11233</v>
      </c>
      <c r="L1748" t="s">
        <v>1670</v>
      </c>
      <c r="M1748" t="s">
        <v>1671</v>
      </c>
      <c r="O1748" t="s">
        <v>1937</v>
      </c>
      <c r="P1748" t="s">
        <v>1962</v>
      </c>
      <c r="R1748" t="s">
        <v>50</v>
      </c>
      <c r="S1748" t="s">
        <v>1670</v>
      </c>
      <c r="U1748" t="s">
        <v>1972</v>
      </c>
      <c r="V1748" t="s">
        <v>1984</v>
      </c>
      <c r="W1748" t="s">
        <v>221</v>
      </c>
      <c r="X1748">
        <v>1040.6</v>
      </c>
      <c r="Y1748" t="s">
        <v>2009</v>
      </c>
      <c r="Z1748" t="s">
        <v>2017</v>
      </c>
      <c r="AB1748" t="s">
        <v>14281</v>
      </c>
      <c r="AE1748">
        <v>359</v>
      </c>
      <c r="AF1748" t="s">
        <v>2902</v>
      </c>
      <c r="AG1748" t="s">
        <v>2915</v>
      </c>
      <c r="AH1748">
        <v>29</v>
      </c>
      <c r="AI1748">
        <v>2</v>
      </c>
      <c r="AJ1748">
        <v>0</v>
      </c>
      <c r="AK1748">
        <v>77.31999999999999</v>
      </c>
      <c r="AN1748" t="s">
        <v>2926</v>
      </c>
      <c r="AO1748">
        <v>13074</v>
      </c>
      <c r="AP1748" t="s">
        <v>18303</v>
      </c>
      <c r="AU1748" t="s">
        <v>13051</v>
      </c>
      <c r="AW1748" t="s">
        <v>3059</v>
      </c>
    </row>
    <row r="1749" spans="1:50">
      <c r="A1749" s="1" t="s">
        <v>82</v>
      </c>
      <c r="B1749" t="s">
        <v>163</v>
      </c>
      <c r="C1749" t="s">
        <v>4959</v>
      </c>
      <c r="D1749" t="s">
        <v>190</v>
      </c>
      <c r="F1749" t="s">
        <v>7519</v>
      </c>
      <c r="G1749" t="s">
        <v>8695</v>
      </c>
      <c r="H1749" t="s">
        <v>9482</v>
      </c>
      <c r="I1749" t="s">
        <v>11287</v>
      </c>
      <c r="J1749" t="s">
        <v>1644</v>
      </c>
      <c r="K1749">
        <v>11233</v>
      </c>
      <c r="L1749" t="s">
        <v>1670</v>
      </c>
      <c r="M1749" t="s">
        <v>1671</v>
      </c>
      <c r="O1749" t="s">
        <v>1938</v>
      </c>
      <c r="P1749" t="s">
        <v>1961</v>
      </c>
      <c r="R1749" t="s">
        <v>50</v>
      </c>
      <c r="S1749" t="s">
        <v>1670</v>
      </c>
      <c r="U1749" t="s">
        <v>1972</v>
      </c>
      <c r="V1749" t="s">
        <v>1984</v>
      </c>
      <c r="W1749" t="s">
        <v>248</v>
      </c>
      <c r="X1749">
        <v>1040.6</v>
      </c>
      <c r="Y1749" t="s">
        <v>2009</v>
      </c>
      <c r="Z1749" t="s">
        <v>2017</v>
      </c>
      <c r="AB1749" t="s">
        <v>14281</v>
      </c>
      <c r="AE1749">
        <v>359</v>
      </c>
      <c r="AF1749" t="s">
        <v>2902</v>
      </c>
      <c r="AG1749" t="s">
        <v>2915</v>
      </c>
      <c r="AH1749">
        <v>29</v>
      </c>
      <c r="AI1749">
        <v>2</v>
      </c>
      <c r="AJ1749">
        <v>0</v>
      </c>
      <c r="AK1749">
        <v>77.31999999999999</v>
      </c>
      <c r="AN1749" t="s">
        <v>2926</v>
      </c>
      <c r="AO1749">
        <v>13074</v>
      </c>
      <c r="AP1749" t="s">
        <v>18304</v>
      </c>
      <c r="AU1749" t="s">
        <v>13051</v>
      </c>
      <c r="AW1749" t="s">
        <v>3059</v>
      </c>
    </row>
    <row r="1750" spans="1:50">
      <c r="A1750" s="1" t="s">
        <v>74</v>
      </c>
      <c r="B1750" t="s">
        <v>163</v>
      </c>
      <c r="C1750" t="s">
        <v>4960</v>
      </c>
      <c r="D1750" t="s">
        <v>230</v>
      </c>
      <c r="F1750" t="s">
        <v>460</v>
      </c>
      <c r="G1750" t="s">
        <v>8696</v>
      </c>
      <c r="H1750" t="s">
        <v>1131</v>
      </c>
      <c r="I1750" t="s">
        <v>11288</v>
      </c>
      <c r="J1750" t="s">
        <v>1641</v>
      </c>
      <c r="K1750">
        <v>10460</v>
      </c>
      <c r="L1750" t="s">
        <v>1670</v>
      </c>
      <c r="M1750" t="s">
        <v>1672</v>
      </c>
      <c r="O1750" t="s">
        <v>1675</v>
      </c>
      <c r="P1750" t="s">
        <v>1959</v>
      </c>
      <c r="R1750" t="s">
        <v>50</v>
      </c>
      <c r="S1750" t="s">
        <v>1670</v>
      </c>
      <c r="U1750" t="s">
        <v>1972</v>
      </c>
      <c r="W1750" t="s">
        <v>1991</v>
      </c>
      <c r="X1750">
        <v>263</v>
      </c>
      <c r="Y1750" t="s">
        <v>2006</v>
      </c>
      <c r="Z1750" t="s">
        <v>2015</v>
      </c>
      <c r="AB1750" t="s">
        <v>14282</v>
      </c>
      <c r="AD1750" t="s">
        <v>16704</v>
      </c>
      <c r="AE1750">
        <v>168</v>
      </c>
      <c r="AF1750" t="s">
        <v>2909</v>
      </c>
      <c r="AG1750" t="s">
        <v>2915</v>
      </c>
      <c r="AH1750">
        <v>44</v>
      </c>
      <c r="AI1750">
        <v>1</v>
      </c>
      <c r="AJ1750">
        <v>0</v>
      </c>
      <c r="AK1750">
        <v>77.34</v>
      </c>
      <c r="AN1750" t="s">
        <v>2926</v>
      </c>
      <c r="AO1750">
        <v>9660</v>
      </c>
      <c r="AU1750" t="s">
        <v>13051</v>
      </c>
      <c r="AW1750" t="s">
        <v>3045</v>
      </c>
    </row>
    <row r="1751" spans="1:50">
      <c r="A1751" s="1" t="s">
        <v>74</v>
      </c>
      <c r="B1751" t="s">
        <v>163</v>
      </c>
      <c r="C1751" t="s">
        <v>4961</v>
      </c>
      <c r="D1751" t="s">
        <v>346</v>
      </c>
      <c r="F1751" t="s">
        <v>429</v>
      </c>
      <c r="G1751" t="s">
        <v>8697</v>
      </c>
      <c r="H1751" t="s">
        <v>1131</v>
      </c>
      <c r="I1751" t="s">
        <v>11289</v>
      </c>
      <c r="J1751" t="s">
        <v>1641</v>
      </c>
      <c r="K1751">
        <v>10460</v>
      </c>
      <c r="L1751" t="s">
        <v>1670</v>
      </c>
      <c r="M1751" t="s">
        <v>1672</v>
      </c>
      <c r="O1751" t="s">
        <v>1675</v>
      </c>
      <c r="P1751" t="s">
        <v>1959</v>
      </c>
      <c r="R1751" t="s">
        <v>50</v>
      </c>
      <c r="S1751" t="s">
        <v>1670</v>
      </c>
      <c r="U1751" t="s">
        <v>1972</v>
      </c>
      <c r="W1751" t="s">
        <v>1991</v>
      </c>
      <c r="X1751">
        <v>1100</v>
      </c>
      <c r="Y1751" t="s">
        <v>2006</v>
      </c>
      <c r="Z1751" t="s">
        <v>2015</v>
      </c>
      <c r="AB1751" t="s">
        <v>14283</v>
      </c>
      <c r="AD1751" t="s">
        <v>16705</v>
      </c>
      <c r="AE1751">
        <v>248</v>
      </c>
      <c r="AF1751" t="s">
        <v>2902</v>
      </c>
      <c r="AH1751">
        <v>4</v>
      </c>
      <c r="AI1751">
        <v>1</v>
      </c>
      <c r="AJ1751">
        <v>0</v>
      </c>
      <c r="AK1751">
        <v>77.53</v>
      </c>
      <c r="AN1751" t="s">
        <v>2926</v>
      </c>
      <c r="AO1751">
        <v>9684</v>
      </c>
      <c r="AU1751" t="s">
        <v>13051</v>
      </c>
      <c r="AW1751" t="s">
        <v>95</v>
      </c>
      <c r="AX1751" t="s">
        <v>18685</v>
      </c>
    </row>
    <row r="1752" spans="1:50">
      <c r="A1752" s="1" t="s">
        <v>57</v>
      </c>
      <c r="B1752" t="s">
        <v>163</v>
      </c>
      <c r="C1752" t="s">
        <v>4962</v>
      </c>
      <c r="D1752" t="s">
        <v>245</v>
      </c>
      <c r="F1752" t="s">
        <v>7496</v>
      </c>
      <c r="G1752" t="s">
        <v>8678</v>
      </c>
      <c r="H1752" t="s">
        <v>1193</v>
      </c>
      <c r="I1752" t="s">
        <v>1584</v>
      </c>
      <c r="J1752" t="s">
        <v>1641</v>
      </c>
      <c r="K1752">
        <v>10456</v>
      </c>
      <c r="L1752" t="s">
        <v>1670</v>
      </c>
      <c r="M1752" t="s">
        <v>1670</v>
      </c>
      <c r="N1752" t="s">
        <v>1736</v>
      </c>
      <c r="O1752" t="s">
        <v>1938</v>
      </c>
      <c r="P1752" t="s">
        <v>1961</v>
      </c>
      <c r="R1752" t="s">
        <v>50</v>
      </c>
      <c r="S1752" t="s">
        <v>1670</v>
      </c>
      <c r="U1752" t="s">
        <v>1972</v>
      </c>
      <c r="W1752" t="s">
        <v>219</v>
      </c>
      <c r="X1752">
        <v>1119.98</v>
      </c>
      <c r="Y1752" t="s">
        <v>2006</v>
      </c>
      <c r="Z1752" t="s">
        <v>2015</v>
      </c>
      <c r="AB1752" t="s">
        <v>14251</v>
      </c>
      <c r="AD1752" t="s">
        <v>16676</v>
      </c>
      <c r="AE1752">
        <v>61</v>
      </c>
      <c r="AF1752" t="s">
        <v>2902</v>
      </c>
      <c r="AG1752" t="s">
        <v>1754</v>
      </c>
      <c r="AH1752">
        <v>43</v>
      </c>
      <c r="AI1752">
        <v>2</v>
      </c>
      <c r="AJ1752">
        <v>0</v>
      </c>
      <c r="AK1752">
        <v>77.93000000000001</v>
      </c>
      <c r="AN1752" t="s">
        <v>2927</v>
      </c>
      <c r="AO1752">
        <v>12828</v>
      </c>
      <c r="AU1752" t="s">
        <v>13051</v>
      </c>
      <c r="AW1752" t="s">
        <v>3046</v>
      </c>
    </row>
    <row r="1753" spans="1:50">
      <c r="A1753" s="1" t="s">
        <v>130</v>
      </c>
      <c r="B1753" t="s">
        <v>164</v>
      </c>
      <c r="C1753" t="s">
        <v>4963</v>
      </c>
      <c r="D1753" t="s">
        <v>313</v>
      </c>
      <c r="E1753" t="s">
        <v>283</v>
      </c>
      <c r="F1753" t="s">
        <v>7520</v>
      </c>
      <c r="G1753" t="s">
        <v>8698</v>
      </c>
      <c r="H1753" t="s">
        <v>9783</v>
      </c>
      <c r="J1753" t="s">
        <v>1644</v>
      </c>
      <c r="K1753">
        <v>11208</v>
      </c>
      <c r="L1753" t="s">
        <v>1670</v>
      </c>
      <c r="M1753" t="s">
        <v>1670</v>
      </c>
      <c r="O1753" t="s">
        <v>1937</v>
      </c>
      <c r="P1753" t="s">
        <v>1962</v>
      </c>
      <c r="Q1753" t="s">
        <v>1968</v>
      </c>
      <c r="R1753" t="s">
        <v>50</v>
      </c>
      <c r="S1753" t="s">
        <v>1670</v>
      </c>
      <c r="U1753" t="s">
        <v>1972</v>
      </c>
      <c r="V1753" t="s">
        <v>1984</v>
      </c>
      <c r="W1753" t="s">
        <v>231</v>
      </c>
      <c r="X1753">
        <v>320</v>
      </c>
      <c r="Y1753" t="s">
        <v>2009</v>
      </c>
      <c r="AA1753" t="s">
        <v>2029</v>
      </c>
      <c r="AB1753" t="s">
        <v>14284</v>
      </c>
      <c r="AD1753" t="s">
        <v>16706</v>
      </c>
      <c r="AE1753">
        <v>7</v>
      </c>
      <c r="AF1753" t="s">
        <v>2903</v>
      </c>
      <c r="AH1753">
        <v>4</v>
      </c>
      <c r="AI1753">
        <v>1</v>
      </c>
      <c r="AJ1753">
        <v>0</v>
      </c>
      <c r="AK1753">
        <v>78.01000000000001</v>
      </c>
      <c r="AN1753" t="s">
        <v>18045</v>
      </c>
      <c r="AO1753">
        <v>9744</v>
      </c>
      <c r="AU1753">
        <v>0.1</v>
      </c>
      <c r="AV1753" t="s">
        <v>208</v>
      </c>
      <c r="AW1753" t="s">
        <v>3059</v>
      </c>
    </row>
    <row r="1754" spans="1:50">
      <c r="A1754" s="1" t="s">
        <v>130</v>
      </c>
      <c r="B1754" t="s">
        <v>164</v>
      </c>
      <c r="C1754" t="s">
        <v>4964</v>
      </c>
      <c r="D1754" t="s">
        <v>190</v>
      </c>
      <c r="E1754" t="s">
        <v>283</v>
      </c>
      <c r="F1754" t="s">
        <v>7520</v>
      </c>
      <c r="G1754" t="s">
        <v>8698</v>
      </c>
      <c r="H1754" t="s">
        <v>9783</v>
      </c>
      <c r="J1754" t="s">
        <v>1644</v>
      </c>
      <c r="K1754">
        <v>11208</v>
      </c>
      <c r="L1754" t="s">
        <v>1670</v>
      </c>
      <c r="M1754" t="s">
        <v>1670</v>
      </c>
      <c r="N1754" t="s">
        <v>12082</v>
      </c>
      <c r="O1754" t="s">
        <v>1939</v>
      </c>
      <c r="P1754" t="s">
        <v>1960</v>
      </c>
      <c r="Q1754" t="s">
        <v>1969</v>
      </c>
      <c r="R1754" t="s">
        <v>50</v>
      </c>
      <c r="S1754" t="s">
        <v>1670</v>
      </c>
      <c r="U1754" t="s">
        <v>1972</v>
      </c>
      <c r="V1754" t="s">
        <v>1984</v>
      </c>
      <c r="W1754" t="s">
        <v>1992</v>
      </c>
      <c r="X1754">
        <v>320</v>
      </c>
      <c r="Y1754" t="s">
        <v>2009</v>
      </c>
      <c r="Z1754" t="s">
        <v>2020</v>
      </c>
      <c r="AA1754" t="s">
        <v>2029</v>
      </c>
      <c r="AB1754" t="s">
        <v>14284</v>
      </c>
      <c r="AD1754" t="s">
        <v>16706</v>
      </c>
      <c r="AE1754">
        <v>7</v>
      </c>
      <c r="AF1754" t="s">
        <v>2903</v>
      </c>
      <c r="AH1754">
        <v>4</v>
      </c>
      <c r="AI1754">
        <v>1</v>
      </c>
      <c r="AJ1754">
        <v>0</v>
      </c>
      <c r="AK1754">
        <v>78.01000000000001</v>
      </c>
      <c r="AN1754" t="s">
        <v>18045</v>
      </c>
      <c r="AO1754">
        <v>9744</v>
      </c>
      <c r="AP1754" t="s">
        <v>18305</v>
      </c>
      <c r="AR1754" t="s">
        <v>18461</v>
      </c>
      <c r="AU1754">
        <v>0.1</v>
      </c>
      <c r="AV1754" t="s">
        <v>283</v>
      </c>
      <c r="AW1754" t="s">
        <v>3060</v>
      </c>
    </row>
    <row r="1755" spans="1:50">
      <c r="A1755" s="1" t="s">
        <v>119</v>
      </c>
      <c r="B1755" t="s">
        <v>163</v>
      </c>
      <c r="C1755" t="s">
        <v>4965</v>
      </c>
      <c r="D1755" t="s">
        <v>329</v>
      </c>
      <c r="F1755" t="s">
        <v>7521</v>
      </c>
      <c r="G1755" t="s">
        <v>8699</v>
      </c>
      <c r="H1755" t="s">
        <v>10177</v>
      </c>
      <c r="I1755">
        <v>1</v>
      </c>
      <c r="J1755" t="s">
        <v>1644</v>
      </c>
      <c r="K1755">
        <v>11208</v>
      </c>
      <c r="L1755" t="s">
        <v>1670</v>
      </c>
      <c r="M1755" t="s">
        <v>1670</v>
      </c>
      <c r="N1755" t="s">
        <v>12352</v>
      </c>
      <c r="O1755" t="s">
        <v>1940</v>
      </c>
      <c r="P1755" t="s">
        <v>1958</v>
      </c>
      <c r="R1755" t="s">
        <v>50</v>
      </c>
      <c r="S1755" t="s">
        <v>1671</v>
      </c>
      <c r="U1755" t="s">
        <v>1972</v>
      </c>
      <c r="V1755" t="s">
        <v>1984</v>
      </c>
      <c r="W1755" t="s">
        <v>407</v>
      </c>
      <c r="X1755">
        <v>1201</v>
      </c>
      <c r="Y1755" t="s">
        <v>2009</v>
      </c>
      <c r="Z1755" t="s">
        <v>2025</v>
      </c>
      <c r="AB1755" t="s">
        <v>14285</v>
      </c>
      <c r="AC1755" t="s">
        <v>15081</v>
      </c>
      <c r="AD1755" t="s">
        <v>16707</v>
      </c>
      <c r="AE1755">
        <v>3</v>
      </c>
      <c r="AF1755" t="s">
        <v>2903</v>
      </c>
      <c r="AG1755" t="s">
        <v>2915</v>
      </c>
      <c r="AH1755">
        <v>4</v>
      </c>
      <c r="AI1755">
        <v>1</v>
      </c>
      <c r="AJ1755">
        <v>0</v>
      </c>
      <c r="AK1755">
        <v>78.09</v>
      </c>
      <c r="AN1755" t="s">
        <v>2926</v>
      </c>
      <c r="AO1755">
        <v>9480</v>
      </c>
      <c r="AU1755">
        <v>1.3</v>
      </c>
      <c r="AV1755" t="s">
        <v>240</v>
      </c>
      <c r="AW1755" t="s">
        <v>3060</v>
      </c>
      <c r="AX1755" t="s">
        <v>18685</v>
      </c>
    </row>
    <row r="1756" spans="1:50">
      <c r="A1756" s="1" t="s">
        <v>120</v>
      </c>
      <c r="B1756" t="s">
        <v>163</v>
      </c>
      <c r="C1756" t="s">
        <v>4966</v>
      </c>
      <c r="D1756" t="s">
        <v>351</v>
      </c>
      <c r="F1756" t="s">
        <v>720</v>
      </c>
      <c r="G1756" t="s">
        <v>897</v>
      </c>
      <c r="H1756" t="s">
        <v>10178</v>
      </c>
      <c r="I1756" t="s">
        <v>1475</v>
      </c>
      <c r="J1756" t="s">
        <v>1643</v>
      </c>
      <c r="K1756">
        <v>10035</v>
      </c>
      <c r="L1756" t="s">
        <v>1670</v>
      </c>
      <c r="M1756" t="s">
        <v>1670</v>
      </c>
      <c r="O1756" t="s">
        <v>1944</v>
      </c>
      <c r="P1756" t="s">
        <v>1961</v>
      </c>
      <c r="R1756" t="s">
        <v>50</v>
      </c>
      <c r="S1756" t="s">
        <v>1671</v>
      </c>
      <c r="U1756" t="s">
        <v>1976</v>
      </c>
      <c r="V1756" t="s">
        <v>1984</v>
      </c>
      <c r="W1756" t="s">
        <v>362</v>
      </c>
      <c r="X1756">
        <v>2100</v>
      </c>
      <c r="Y1756" t="s">
        <v>2008</v>
      </c>
      <c r="Z1756" t="s">
        <v>2021</v>
      </c>
      <c r="AB1756" t="s">
        <v>14286</v>
      </c>
      <c r="AD1756" t="s">
        <v>16708</v>
      </c>
      <c r="AE1756">
        <v>35</v>
      </c>
      <c r="AF1756" t="s">
        <v>2909</v>
      </c>
      <c r="AG1756" t="s">
        <v>2915</v>
      </c>
      <c r="AH1756">
        <v>15</v>
      </c>
      <c r="AI1756">
        <v>1</v>
      </c>
      <c r="AJ1756">
        <v>0</v>
      </c>
      <c r="AK1756">
        <v>78.09</v>
      </c>
      <c r="AN1756" t="s">
        <v>2926</v>
      </c>
      <c r="AO1756">
        <v>9480</v>
      </c>
      <c r="AU1756">
        <v>3.5</v>
      </c>
      <c r="AV1756" t="s">
        <v>262</v>
      </c>
      <c r="AW1756" t="s">
        <v>3051</v>
      </c>
    </row>
    <row r="1757" spans="1:50">
      <c r="A1757" s="1" t="s">
        <v>79</v>
      </c>
      <c r="B1757" t="s">
        <v>163</v>
      </c>
      <c r="C1757" t="s">
        <v>4967</v>
      </c>
      <c r="D1757" t="s">
        <v>255</v>
      </c>
      <c r="F1757" t="s">
        <v>7522</v>
      </c>
      <c r="G1757" t="s">
        <v>8156</v>
      </c>
      <c r="H1757" t="s">
        <v>10179</v>
      </c>
      <c r="I1757" t="s">
        <v>1538</v>
      </c>
      <c r="J1757" t="s">
        <v>1644</v>
      </c>
      <c r="K1757">
        <v>11212</v>
      </c>
      <c r="L1757" t="s">
        <v>1670</v>
      </c>
      <c r="M1757" t="s">
        <v>1670</v>
      </c>
      <c r="O1757" t="s">
        <v>1937</v>
      </c>
      <c r="P1757" t="s">
        <v>1962</v>
      </c>
      <c r="R1757" t="s">
        <v>50</v>
      </c>
      <c r="S1757" t="s">
        <v>1670</v>
      </c>
      <c r="U1757" t="s">
        <v>1972</v>
      </c>
      <c r="W1757" t="s">
        <v>255</v>
      </c>
      <c r="X1757" t="s">
        <v>13051</v>
      </c>
      <c r="Y1757" t="s">
        <v>2009</v>
      </c>
      <c r="AB1757" t="s">
        <v>14287</v>
      </c>
      <c r="AD1757" t="s">
        <v>16709</v>
      </c>
      <c r="AE1757" t="s">
        <v>13051</v>
      </c>
      <c r="AH1757" t="s">
        <v>13051</v>
      </c>
      <c r="AI1757">
        <v>1</v>
      </c>
      <c r="AJ1757">
        <v>0</v>
      </c>
      <c r="AK1757">
        <v>78.11</v>
      </c>
      <c r="AN1757" t="s">
        <v>2926</v>
      </c>
      <c r="AO1757">
        <v>9756</v>
      </c>
      <c r="AU1757">
        <v>14.2</v>
      </c>
      <c r="AV1757" t="s">
        <v>191</v>
      </c>
      <c r="AW1757" t="s">
        <v>79</v>
      </c>
    </row>
    <row r="1758" spans="1:50">
      <c r="A1758" s="1" t="s">
        <v>146</v>
      </c>
      <c r="B1758" t="s">
        <v>164</v>
      </c>
      <c r="C1758" t="s">
        <v>4968</v>
      </c>
      <c r="D1758" t="s">
        <v>185</v>
      </c>
      <c r="E1758" t="s">
        <v>359</v>
      </c>
      <c r="F1758" t="s">
        <v>7027</v>
      </c>
      <c r="G1758" t="s">
        <v>8700</v>
      </c>
      <c r="H1758" t="s">
        <v>10180</v>
      </c>
      <c r="I1758">
        <v>201</v>
      </c>
      <c r="J1758" t="s">
        <v>1641</v>
      </c>
      <c r="K1758">
        <v>10457</v>
      </c>
      <c r="L1758" t="s">
        <v>1670</v>
      </c>
      <c r="M1758" t="s">
        <v>1670</v>
      </c>
      <c r="O1758" t="s">
        <v>1675</v>
      </c>
      <c r="P1758" t="s">
        <v>1958</v>
      </c>
      <c r="Q1758" t="s">
        <v>1965</v>
      </c>
      <c r="R1758" t="s">
        <v>50</v>
      </c>
      <c r="S1758" t="s">
        <v>1671</v>
      </c>
      <c r="U1758" t="s">
        <v>1972</v>
      </c>
      <c r="W1758" t="s">
        <v>185</v>
      </c>
      <c r="X1758">
        <v>895</v>
      </c>
      <c r="Y1758" t="s">
        <v>2006</v>
      </c>
      <c r="Z1758" t="s">
        <v>2015</v>
      </c>
      <c r="AA1758" t="s">
        <v>2029</v>
      </c>
      <c r="AB1758" t="s">
        <v>14288</v>
      </c>
      <c r="AD1758" t="s">
        <v>16710</v>
      </c>
      <c r="AE1758">
        <v>3</v>
      </c>
      <c r="AF1758" t="s">
        <v>2902</v>
      </c>
      <c r="AG1758" t="s">
        <v>2915</v>
      </c>
      <c r="AH1758">
        <v>2</v>
      </c>
      <c r="AI1758">
        <v>1</v>
      </c>
      <c r="AJ1758">
        <v>0</v>
      </c>
      <c r="AK1758">
        <v>78.39</v>
      </c>
      <c r="AN1758" t="s">
        <v>2926</v>
      </c>
      <c r="AO1758">
        <v>9516</v>
      </c>
      <c r="AU1758">
        <v>1.75</v>
      </c>
      <c r="AV1758" t="s">
        <v>2003</v>
      </c>
      <c r="AW1758" t="s">
        <v>3071</v>
      </c>
    </row>
    <row r="1759" spans="1:50">
      <c r="A1759" s="1" t="s">
        <v>91</v>
      </c>
      <c r="B1759" t="s">
        <v>163</v>
      </c>
      <c r="C1759" t="s">
        <v>4969</v>
      </c>
      <c r="D1759" t="s">
        <v>367</v>
      </c>
      <c r="F1759" t="s">
        <v>6849</v>
      </c>
      <c r="G1759" t="s">
        <v>855</v>
      </c>
      <c r="H1759" t="s">
        <v>1318</v>
      </c>
      <c r="I1759" t="s">
        <v>1507</v>
      </c>
      <c r="J1759" t="s">
        <v>1643</v>
      </c>
      <c r="K1759">
        <v>10032</v>
      </c>
      <c r="L1759" t="s">
        <v>1670</v>
      </c>
      <c r="M1759" t="s">
        <v>1670</v>
      </c>
      <c r="P1759" t="s">
        <v>1960</v>
      </c>
      <c r="R1759" t="s">
        <v>50</v>
      </c>
      <c r="S1759" t="s">
        <v>1671</v>
      </c>
      <c r="U1759" t="s">
        <v>1972</v>
      </c>
      <c r="W1759" t="s">
        <v>367</v>
      </c>
      <c r="X1759">
        <v>921.22</v>
      </c>
      <c r="Y1759" t="s">
        <v>2008</v>
      </c>
      <c r="Z1759" t="s">
        <v>2013</v>
      </c>
      <c r="AB1759" t="s">
        <v>14289</v>
      </c>
      <c r="AE1759">
        <v>42</v>
      </c>
      <c r="AF1759" t="s">
        <v>2902</v>
      </c>
      <c r="AG1759" t="s">
        <v>1754</v>
      </c>
      <c r="AH1759" t="s">
        <v>13051</v>
      </c>
      <c r="AI1759">
        <v>3</v>
      </c>
      <c r="AJ1759">
        <v>0</v>
      </c>
      <c r="AK1759">
        <v>78.42</v>
      </c>
      <c r="AN1759" t="s">
        <v>2927</v>
      </c>
      <c r="AO1759">
        <v>16296</v>
      </c>
      <c r="AU1759" t="s">
        <v>13051</v>
      </c>
      <c r="AW1759" t="s">
        <v>3042</v>
      </c>
    </row>
    <row r="1760" spans="1:50">
      <c r="A1760" s="1" t="s">
        <v>114</v>
      </c>
      <c r="B1760" t="s">
        <v>163</v>
      </c>
      <c r="C1760" t="s">
        <v>4970</v>
      </c>
      <c r="D1760" t="s">
        <v>267</v>
      </c>
      <c r="F1760" t="s">
        <v>724</v>
      </c>
      <c r="G1760" t="s">
        <v>883</v>
      </c>
      <c r="H1760" t="s">
        <v>10181</v>
      </c>
      <c r="I1760" t="s">
        <v>1525</v>
      </c>
      <c r="J1760" t="s">
        <v>1641</v>
      </c>
      <c r="K1760">
        <v>10460</v>
      </c>
      <c r="L1760" t="s">
        <v>1670</v>
      </c>
      <c r="M1760" t="s">
        <v>1670</v>
      </c>
      <c r="O1760" t="s">
        <v>1943</v>
      </c>
      <c r="P1760" t="s">
        <v>1959</v>
      </c>
      <c r="R1760" t="s">
        <v>50</v>
      </c>
      <c r="S1760" t="s">
        <v>1671</v>
      </c>
      <c r="U1760" t="s">
        <v>1973</v>
      </c>
      <c r="W1760" t="s">
        <v>267</v>
      </c>
      <c r="X1760">
        <v>1325.9</v>
      </c>
      <c r="Y1760" t="s">
        <v>2006</v>
      </c>
      <c r="Z1760" t="s">
        <v>2020</v>
      </c>
      <c r="AB1760" t="s">
        <v>14290</v>
      </c>
      <c r="AC1760" t="s">
        <v>15210</v>
      </c>
      <c r="AD1760" t="s">
        <v>16711</v>
      </c>
      <c r="AE1760">
        <v>107</v>
      </c>
      <c r="AF1760" t="s">
        <v>2903</v>
      </c>
      <c r="AG1760" t="s">
        <v>2915</v>
      </c>
      <c r="AH1760">
        <v>20</v>
      </c>
      <c r="AI1760">
        <v>1</v>
      </c>
      <c r="AJ1760">
        <v>0</v>
      </c>
      <c r="AK1760">
        <v>78.78</v>
      </c>
      <c r="AN1760" t="s">
        <v>2927</v>
      </c>
      <c r="AO1760">
        <v>9564</v>
      </c>
      <c r="AP1760" t="s">
        <v>18306</v>
      </c>
      <c r="AU1760">
        <v>2.2</v>
      </c>
      <c r="AV1760" t="s">
        <v>248</v>
      </c>
      <c r="AW1760" t="s">
        <v>3054</v>
      </c>
    </row>
    <row r="1761" spans="1:50">
      <c r="A1761" s="1" t="s">
        <v>140</v>
      </c>
      <c r="B1761" t="s">
        <v>163</v>
      </c>
      <c r="C1761" t="s">
        <v>4971</v>
      </c>
      <c r="D1761" t="s">
        <v>389</v>
      </c>
      <c r="F1761" t="s">
        <v>7523</v>
      </c>
      <c r="G1761" t="s">
        <v>8701</v>
      </c>
      <c r="H1761" t="s">
        <v>10182</v>
      </c>
      <c r="I1761" t="s">
        <v>1484</v>
      </c>
      <c r="J1761" t="s">
        <v>1668</v>
      </c>
      <c r="K1761">
        <v>11354</v>
      </c>
      <c r="L1761" t="s">
        <v>1670</v>
      </c>
      <c r="M1761" t="s">
        <v>1672</v>
      </c>
      <c r="N1761" t="s">
        <v>12353</v>
      </c>
      <c r="O1761" t="s">
        <v>1936</v>
      </c>
      <c r="P1761" t="s">
        <v>1960</v>
      </c>
      <c r="R1761" t="s">
        <v>50</v>
      </c>
      <c r="S1761" t="s">
        <v>1671</v>
      </c>
      <c r="U1761" t="s">
        <v>1972</v>
      </c>
      <c r="V1761" t="s">
        <v>1983</v>
      </c>
      <c r="W1761" t="s">
        <v>389</v>
      </c>
      <c r="X1761">
        <v>939.65</v>
      </c>
      <c r="Y1761" t="s">
        <v>2007</v>
      </c>
      <c r="Z1761" t="s">
        <v>2014</v>
      </c>
      <c r="AB1761" t="s">
        <v>14291</v>
      </c>
      <c r="AD1761" t="s">
        <v>16712</v>
      </c>
      <c r="AE1761" t="s">
        <v>13051</v>
      </c>
      <c r="AF1761" t="s">
        <v>2911</v>
      </c>
      <c r="AG1761" t="s">
        <v>1754</v>
      </c>
      <c r="AH1761">
        <v>30</v>
      </c>
      <c r="AI1761">
        <v>1</v>
      </c>
      <c r="AJ1761">
        <v>0</v>
      </c>
      <c r="AK1761">
        <v>78.78</v>
      </c>
      <c r="AN1761" t="s">
        <v>2926</v>
      </c>
      <c r="AO1761">
        <v>9840</v>
      </c>
      <c r="AU1761">
        <v>1.7</v>
      </c>
      <c r="AV1761" t="s">
        <v>3037</v>
      </c>
      <c r="AW1761" t="s">
        <v>3044</v>
      </c>
      <c r="AX1761" t="s">
        <v>18685</v>
      </c>
    </row>
    <row r="1762" spans="1:50">
      <c r="A1762" s="1" t="s">
        <v>114</v>
      </c>
      <c r="B1762" t="s">
        <v>163</v>
      </c>
      <c r="C1762" t="s">
        <v>4972</v>
      </c>
      <c r="D1762" t="s">
        <v>201</v>
      </c>
      <c r="F1762" t="s">
        <v>724</v>
      </c>
      <c r="G1762" t="s">
        <v>883</v>
      </c>
      <c r="H1762" t="s">
        <v>10181</v>
      </c>
      <c r="I1762" t="s">
        <v>1525</v>
      </c>
      <c r="J1762" t="s">
        <v>1641</v>
      </c>
      <c r="K1762">
        <v>10460</v>
      </c>
      <c r="L1762" t="s">
        <v>1670</v>
      </c>
      <c r="M1762" t="s">
        <v>1670</v>
      </c>
      <c r="N1762" t="s">
        <v>12354</v>
      </c>
      <c r="O1762" t="s">
        <v>1936</v>
      </c>
      <c r="P1762" t="s">
        <v>1960</v>
      </c>
      <c r="R1762" t="s">
        <v>50</v>
      </c>
      <c r="S1762" t="s">
        <v>1671</v>
      </c>
      <c r="U1762" t="s">
        <v>1972</v>
      </c>
      <c r="V1762" t="s">
        <v>1987</v>
      </c>
      <c r="W1762" t="s">
        <v>201</v>
      </c>
      <c r="X1762">
        <v>1325.9</v>
      </c>
      <c r="Y1762" t="s">
        <v>2006</v>
      </c>
      <c r="Z1762" t="s">
        <v>2020</v>
      </c>
      <c r="AB1762" t="s">
        <v>14290</v>
      </c>
      <c r="AC1762" t="s">
        <v>15210</v>
      </c>
      <c r="AD1762" t="s">
        <v>16711</v>
      </c>
      <c r="AE1762">
        <v>107</v>
      </c>
      <c r="AF1762" t="s">
        <v>2903</v>
      </c>
      <c r="AG1762" t="s">
        <v>2915</v>
      </c>
      <c r="AH1762">
        <v>20</v>
      </c>
      <c r="AI1762">
        <v>1</v>
      </c>
      <c r="AJ1762">
        <v>0</v>
      </c>
      <c r="AK1762">
        <v>78.78</v>
      </c>
      <c r="AN1762" t="s">
        <v>2927</v>
      </c>
      <c r="AO1762">
        <v>9564</v>
      </c>
      <c r="AQ1762" t="s">
        <v>2979</v>
      </c>
      <c r="AR1762" t="s">
        <v>2988</v>
      </c>
      <c r="AS1762" t="s">
        <v>2992</v>
      </c>
      <c r="AT1762" t="s">
        <v>18567</v>
      </c>
      <c r="AU1762">
        <v>18.6</v>
      </c>
      <c r="AV1762" t="s">
        <v>258</v>
      </c>
      <c r="AW1762" t="s">
        <v>3054</v>
      </c>
    </row>
    <row r="1763" spans="1:50">
      <c r="A1763" s="1" t="s">
        <v>71</v>
      </c>
      <c r="B1763" t="s">
        <v>164</v>
      </c>
      <c r="C1763" t="s">
        <v>4973</v>
      </c>
      <c r="D1763" t="s">
        <v>352</v>
      </c>
      <c r="E1763" t="s">
        <v>375</v>
      </c>
      <c r="F1763" t="s">
        <v>6800</v>
      </c>
      <c r="G1763" t="s">
        <v>8702</v>
      </c>
      <c r="H1763" t="s">
        <v>1338</v>
      </c>
      <c r="I1763" t="s">
        <v>1633</v>
      </c>
      <c r="J1763" t="s">
        <v>1646</v>
      </c>
      <c r="K1763">
        <v>10304</v>
      </c>
      <c r="L1763" t="s">
        <v>1670</v>
      </c>
      <c r="M1763" t="s">
        <v>1670</v>
      </c>
      <c r="N1763" t="s">
        <v>1693</v>
      </c>
      <c r="O1763" t="s">
        <v>1937</v>
      </c>
      <c r="P1763" t="s">
        <v>1962</v>
      </c>
      <c r="Q1763" t="s">
        <v>1968</v>
      </c>
      <c r="R1763" t="s">
        <v>50</v>
      </c>
      <c r="S1763" t="s">
        <v>1671</v>
      </c>
      <c r="U1763" t="s">
        <v>1973</v>
      </c>
      <c r="V1763" t="s">
        <v>1984</v>
      </c>
      <c r="W1763" t="s">
        <v>352</v>
      </c>
      <c r="X1763">
        <v>673</v>
      </c>
      <c r="Y1763" t="s">
        <v>2010</v>
      </c>
      <c r="Z1763" t="s">
        <v>2020</v>
      </c>
      <c r="AA1763" t="s">
        <v>2029</v>
      </c>
      <c r="AB1763" t="s">
        <v>14292</v>
      </c>
      <c r="AD1763" t="s">
        <v>16713</v>
      </c>
      <c r="AE1763">
        <v>150</v>
      </c>
      <c r="AF1763" t="s">
        <v>2909</v>
      </c>
      <c r="AG1763" t="s">
        <v>2915</v>
      </c>
      <c r="AH1763">
        <v>31</v>
      </c>
      <c r="AI1763">
        <v>2</v>
      </c>
      <c r="AJ1763">
        <v>0</v>
      </c>
      <c r="AK1763">
        <v>78.98</v>
      </c>
      <c r="AN1763" t="s">
        <v>2926</v>
      </c>
      <c r="AO1763">
        <v>13000</v>
      </c>
      <c r="AU1763">
        <v>2.1</v>
      </c>
      <c r="AV1763" t="s">
        <v>375</v>
      </c>
      <c r="AW1763" t="s">
        <v>3062</v>
      </c>
    </row>
    <row r="1764" spans="1:50">
      <c r="A1764" s="1" t="s">
        <v>66</v>
      </c>
      <c r="B1764" t="s">
        <v>164</v>
      </c>
      <c r="C1764" t="s">
        <v>4974</v>
      </c>
      <c r="D1764" t="s">
        <v>408</v>
      </c>
      <c r="E1764" t="s">
        <v>199</v>
      </c>
      <c r="F1764" t="s">
        <v>460</v>
      </c>
      <c r="G1764" t="s">
        <v>8703</v>
      </c>
      <c r="H1764" t="s">
        <v>10183</v>
      </c>
      <c r="I1764">
        <v>1</v>
      </c>
      <c r="J1764" t="s">
        <v>1644</v>
      </c>
      <c r="K1764">
        <v>11208</v>
      </c>
      <c r="L1764" t="s">
        <v>1670</v>
      </c>
      <c r="M1764" t="s">
        <v>1670</v>
      </c>
      <c r="N1764" t="s">
        <v>12355</v>
      </c>
      <c r="O1764" t="s">
        <v>1940</v>
      </c>
      <c r="P1764" t="s">
        <v>1960</v>
      </c>
      <c r="Q1764" t="s">
        <v>1967</v>
      </c>
      <c r="R1764" t="s">
        <v>50</v>
      </c>
      <c r="U1764" t="s">
        <v>1972</v>
      </c>
      <c r="W1764" t="s">
        <v>326</v>
      </c>
      <c r="X1764" t="s">
        <v>13051</v>
      </c>
      <c r="Y1764" t="s">
        <v>2009</v>
      </c>
      <c r="Z1764" t="s">
        <v>2014</v>
      </c>
      <c r="AA1764" t="s">
        <v>2033</v>
      </c>
      <c r="AB1764" t="s">
        <v>14293</v>
      </c>
      <c r="AD1764" t="s">
        <v>16714</v>
      </c>
      <c r="AE1764">
        <v>2</v>
      </c>
      <c r="AF1764" t="s">
        <v>2903</v>
      </c>
      <c r="AG1764" t="s">
        <v>1754</v>
      </c>
      <c r="AH1764">
        <v>11</v>
      </c>
      <c r="AI1764">
        <v>2</v>
      </c>
      <c r="AJ1764">
        <v>0</v>
      </c>
      <c r="AK1764">
        <v>78.98</v>
      </c>
      <c r="AN1764" t="s">
        <v>2926</v>
      </c>
      <c r="AO1764">
        <v>13000</v>
      </c>
      <c r="AU1764">
        <v>1.6</v>
      </c>
      <c r="AV1764" t="s">
        <v>199</v>
      </c>
      <c r="AW1764" t="s">
        <v>3063</v>
      </c>
    </row>
    <row r="1765" spans="1:50">
      <c r="A1765" s="1" t="s">
        <v>80</v>
      </c>
      <c r="B1765" t="s">
        <v>164</v>
      </c>
      <c r="C1765" t="s">
        <v>4975</v>
      </c>
      <c r="D1765" t="s">
        <v>227</v>
      </c>
      <c r="E1765" t="s">
        <v>212</v>
      </c>
      <c r="F1765" t="s">
        <v>6800</v>
      </c>
      <c r="G1765" t="s">
        <v>8702</v>
      </c>
      <c r="H1765" t="s">
        <v>1338</v>
      </c>
      <c r="I1765" t="s">
        <v>1633</v>
      </c>
      <c r="J1765" t="s">
        <v>1646</v>
      </c>
      <c r="K1765">
        <v>10304</v>
      </c>
      <c r="L1765" t="s">
        <v>1670</v>
      </c>
      <c r="M1765" t="s">
        <v>1670</v>
      </c>
      <c r="N1765" t="s">
        <v>12356</v>
      </c>
      <c r="O1765" t="s">
        <v>1936</v>
      </c>
      <c r="P1765" t="s">
        <v>1960</v>
      </c>
      <c r="Q1765" t="s">
        <v>1969</v>
      </c>
      <c r="R1765" t="s">
        <v>50</v>
      </c>
      <c r="S1765" t="s">
        <v>1671</v>
      </c>
      <c r="U1765" t="s">
        <v>1972</v>
      </c>
      <c r="V1765" t="s">
        <v>1984</v>
      </c>
      <c r="W1765" t="s">
        <v>227</v>
      </c>
      <c r="X1765">
        <v>1720</v>
      </c>
      <c r="Y1765" t="s">
        <v>2010</v>
      </c>
      <c r="Z1765" t="s">
        <v>2020</v>
      </c>
      <c r="AA1765" t="s">
        <v>2032</v>
      </c>
      <c r="AB1765" t="s">
        <v>14292</v>
      </c>
      <c r="AD1765" t="s">
        <v>16713</v>
      </c>
      <c r="AE1765">
        <v>150</v>
      </c>
      <c r="AF1765" t="s">
        <v>2909</v>
      </c>
      <c r="AG1765" t="s">
        <v>2915</v>
      </c>
      <c r="AH1765">
        <v>3</v>
      </c>
      <c r="AI1765">
        <v>2</v>
      </c>
      <c r="AJ1765">
        <v>0</v>
      </c>
      <c r="AK1765">
        <v>78.98</v>
      </c>
      <c r="AN1765" t="s">
        <v>2926</v>
      </c>
      <c r="AO1765">
        <v>13000</v>
      </c>
      <c r="AU1765">
        <v>30.5</v>
      </c>
      <c r="AV1765" t="s">
        <v>6191</v>
      </c>
      <c r="AW1765" t="s">
        <v>71</v>
      </c>
    </row>
    <row r="1766" spans="1:50">
      <c r="A1766" s="1" t="s">
        <v>71</v>
      </c>
      <c r="B1766" t="s">
        <v>164</v>
      </c>
      <c r="C1766" t="s">
        <v>4976</v>
      </c>
      <c r="D1766" t="s">
        <v>196</v>
      </c>
      <c r="E1766" t="s">
        <v>6191</v>
      </c>
      <c r="F1766" t="s">
        <v>6881</v>
      </c>
      <c r="G1766" t="s">
        <v>8704</v>
      </c>
      <c r="H1766" t="s">
        <v>10184</v>
      </c>
      <c r="I1766" t="s">
        <v>1562</v>
      </c>
      <c r="J1766" t="s">
        <v>1646</v>
      </c>
      <c r="K1766">
        <v>10304</v>
      </c>
      <c r="L1766" t="s">
        <v>1670</v>
      </c>
      <c r="M1766" t="s">
        <v>1670</v>
      </c>
      <c r="N1766" t="s">
        <v>12357</v>
      </c>
      <c r="O1766" t="s">
        <v>1936</v>
      </c>
      <c r="P1766" t="s">
        <v>1960</v>
      </c>
      <c r="Q1766" t="s">
        <v>1969</v>
      </c>
      <c r="R1766" t="s">
        <v>50</v>
      </c>
      <c r="S1766" t="s">
        <v>1671</v>
      </c>
      <c r="U1766" t="s">
        <v>1972</v>
      </c>
      <c r="V1766" t="s">
        <v>1984</v>
      </c>
      <c r="W1766" t="s">
        <v>196</v>
      </c>
      <c r="X1766">
        <v>226</v>
      </c>
      <c r="Y1766" t="s">
        <v>2010</v>
      </c>
      <c r="Z1766" t="s">
        <v>2011</v>
      </c>
      <c r="AA1766" t="s">
        <v>2032</v>
      </c>
      <c r="AB1766" t="s">
        <v>14294</v>
      </c>
      <c r="AD1766" t="s">
        <v>16715</v>
      </c>
      <c r="AE1766">
        <v>132</v>
      </c>
      <c r="AF1766" t="s">
        <v>2909</v>
      </c>
      <c r="AG1766" t="s">
        <v>2915</v>
      </c>
      <c r="AH1766">
        <v>8</v>
      </c>
      <c r="AI1766">
        <v>2</v>
      </c>
      <c r="AJ1766">
        <v>0</v>
      </c>
      <c r="AK1766">
        <v>78.98</v>
      </c>
      <c r="AN1766" t="s">
        <v>2926</v>
      </c>
      <c r="AO1766">
        <v>13000</v>
      </c>
      <c r="AQ1766" t="s">
        <v>2976</v>
      </c>
      <c r="AR1766" t="s">
        <v>2988</v>
      </c>
      <c r="AS1766" t="s">
        <v>2992</v>
      </c>
      <c r="AT1766" t="s">
        <v>18568</v>
      </c>
      <c r="AU1766">
        <v>25.95</v>
      </c>
      <c r="AV1766" t="s">
        <v>6191</v>
      </c>
      <c r="AW1766" t="s">
        <v>3056</v>
      </c>
    </row>
    <row r="1767" spans="1:50">
      <c r="A1767" s="1" t="s">
        <v>67</v>
      </c>
      <c r="B1767" t="s">
        <v>164</v>
      </c>
      <c r="C1767" t="s">
        <v>4977</v>
      </c>
      <c r="D1767" t="s">
        <v>6184</v>
      </c>
      <c r="E1767" t="s">
        <v>359</v>
      </c>
      <c r="F1767" t="s">
        <v>7013</v>
      </c>
      <c r="G1767" t="s">
        <v>8705</v>
      </c>
      <c r="H1767" t="s">
        <v>10185</v>
      </c>
      <c r="I1767" t="s">
        <v>1570</v>
      </c>
      <c r="J1767" t="s">
        <v>1643</v>
      </c>
      <c r="K1767">
        <v>10032</v>
      </c>
      <c r="L1767" t="s">
        <v>1670</v>
      </c>
      <c r="M1767" t="s">
        <v>1672</v>
      </c>
      <c r="N1767" t="s">
        <v>12358</v>
      </c>
      <c r="O1767" t="s">
        <v>1940</v>
      </c>
      <c r="P1767" t="s">
        <v>1960</v>
      </c>
      <c r="Q1767" t="s">
        <v>13024</v>
      </c>
      <c r="R1767" t="s">
        <v>50</v>
      </c>
      <c r="T1767" t="s">
        <v>13029</v>
      </c>
      <c r="U1767" t="s">
        <v>1972</v>
      </c>
      <c r="W1767" t="s">
        <v>387</v>
      </c>
      <c r="X1767">
        <v>300</v>
      </c>
      <c r="Y1767" t="s">
        <v>2008</v>
      </c>
      <c r="Z1767" t="s">
        <v>2014</v>
      </c>
      <c r="AA1767" t="s">
        <v>2032</v>
      </c>
      <c r="AB1767" t="s">
        <v>14295</v>
      </c>
      <c r="AD1767" t="s">
        <v>16716</v>
      </c>
      <c r="AE1767" t="s">
        <v>13051</v>
      </c>
      <c r="AF1767" t="s">
        <v>2904</v>
      </c>
      <c r="AH1767">
        <v>34</v>
      </c>
      <c r="AI1767">
        <v>1</v>
      </c>
      <c r="AJ1767">
        <v>0</v>
      </c>
      <c r="AK1767">
        <v>79</v>
      </c>
      <c r="AN1767" t="s">
        <v>2926</v>
      </c>
      <c r="AO1767">
        <v>9528</v>
      </c>
      <c r="AU1767">
        <v>138.85</v>
      </c>
      <c r="AV1767" t="s">
        <v>6771</v>
      </c>
      <c r="AW1767" t="s">
        <v>18671</v>
      </c>
      <c r="AX1767" t="s">
        <v>18685</v>
      </c>
    </row>
    <row r="1768" spans="1:50">
      <c r="A1768" s="1" t="s">
        <v>52</v>
      </c>
      <c r="B1768" t="s">
        <v>164</v>
      </c>
      <c r="C1768" t="s">
        <v>4978</v>
      </c>
      <c r="D1768" t="s">
        <v>356</v>
      </c>
      <c r="E1768" t="s">
        <v>288</v>
      </c>
      <c r="F1768" t="s">
        <v>419</v>
      </c>
      <c r="G1768" t="s">
        <v>8706</v>
      </c>
      <c r="H1768" t="s">
        <v>10186</v>
      </c>
      <c r="I1768" t="s">
        <v>11290</v>
      </c>
      <c r="J1768" t="s">
        <v>1641</v>
      </c>
      <c r="K1768">
        <v>10460</v>
      </c>
      <c r="L1768" t="s">
        <v>1670</v>
      </c>
      <c r="M1768" t="s">
        <v>1670</v>
      </c>
      <c r="N1768" t="s">
        <v>12359</v>
      </c>
      <c r="O1768" t="s">
        <v>1948</v>
      </c>
      <c r="P1768" t="s">
        <v>1958</v>
      </c>
      <c r="Q1768" t="s">
        <v>1965</v>
      </c>
      <c r="R1768" t="s">
        <v>50</v>
      </c>
      <c r="S1768" t="s">
        <v>1671</v>
      </c>
      <c r="U1768" t="s">
        <v>1972</v>
      </c>
      <c r="W1768" t="s">
        <v>288</v>
      </c>
      <c r="X1768">
        <v>1685</v>
      </c>
      <c r="Y1768" t="s">
        <v>2006</v>
      </c>
      <c r="Z1768" t="s">
        <v>2013</v>
      </c>
      <c r="AA1768" t="s">
        <v>2029</v>
      </c>
      <c r="AB1768" t="s">
        <v>14296</v>
      </c>
      <c r="AC1768" t="s">
        <v>15211</v>
      </c>
      <c r="AD1768" t="s">
        <v>16717</v>
      </c>
      <c r="AE1768">
        <v>85</v>
      </c>
      <c r="AF1768" t="s">
        <v>2902</v>
      </c>
      <c r="AG1768" t="s">
        <v>2915</v>
      </c>
      <c r="AH1768">
        <v>2</v>
      </c>
      <c r="AI1768">
        <v>1</v>
      </c>
      <c r="AJ1768">
        <v>0</v>
      </c>
      <c r="AK1768">
        <v>79.08</v>
      </c>
      <c r="AN1768" t="s">
        <v>2926</v>
      </c>
      <c r="AO1768">
        <v>9600</v>
      </c>
      <c r="AU1768">
        <v>5.3</v>
      </c>
      <c r="AV1768" t="s">
        <v>288</v>
      </c>
      <c r="AW1768" t="s">
        <v>3068</v>
      </c>
    </row>
    <row r="1769" spans="1:50">
      <c r="A1769" s="1" t="s">
        <v>57</v>
      </c>
      <c r="B1769" t="s">
        <v>164</v>
      </c>
      <c r="C1769" t="s">
        <v>4979</v>
      </c>
      <c r="D1769" t="s">
        <v>241</v>
      </c>
      <c r="E1769" t="s">
        <v>376</v>
      </c>
      <c r="F1769" t="s">
        <v>7111</v>
      </c>
      <c r="G1769" t="s">
        <v>8707</v>
      </c>
      <c r="H1769" t="s">
        <v>10187</v>
      </c>
      <c r="I1769" t="s">
        <v>1562</v>
      </c>
      <c r="J1769" t="s">
        <v>1641</v>
      </c>
      <c r="K1769">
        <v>10460</v>
      </c>
      <c r="L1769" t="s">
        <v>1670</v>
      </c>
      <c r="M1769" t="s">
        <v>1670</v>
      </c>
      <c r="O1769" t="s">
        <v>1941</v>
      </c>
      <c r="P1769" t="s">
        <v>1958</v>
      </c>
      <c r="Q1769" t="s">
        <v>1965</v>
      </c>
      <c r="R1769" t="s">
        <v>50</v>
      </c>
      <c r="S1769" t="s">
        <v>1671</v>
      </c>
      <c r="U1769" t="s">
        <v>1972</v>
      </c>
      <c r="W1769" t="s">
        <v>241</v>
      </c>
      <c r="X1769">
        <v>350</v>
      </c>
      <c r="Y1769" t="s">
        <v>2006</v>
      </c>
      <c r="Z1769" t="s">
        <v>2015</v>
      </c>
      <c r="AA1769" t="s">
        <v>2029</v>
      </c>
      <c r="AB1769" t="s">
        <v>14297</v>
      </c>
      <c r="AD1769" t="s">
        <v>16718</v>
      </c>
      <c r="AE1769">
        <v>3</v>
      </c>
      <c r="AF1769" t="s">
        <v>2903</v>
      </c>
      <c r="AG1769" t="s">
        <v>1754</v>
      </c>
      <c r="AH1769">
        <v>2</v>
      </c>
      <c r="AI1769">
        <v>1</v>
      </c>
      <c r="AJ1769">
        <v>0</v>
      </c>
      <c r="AK1769">
        <v>79.08</v>
      </c>
      <c r="AN1769" t="s">
        <v>2926</v>
      </c>
      <c r="AO1769">
        <v>9600</v>
      </c>
      <c r="AU1769">
        <v>0.6</v>
      </c>
      <c r="AV1769" t="s">
        <v>356</v>
      </c>
      <c r="AW1769" t="s">
        <v>3046</v>
      </c>
    </row>
    <row r="1770" spans="1:50">
      <c r="A1770" s="1" t="s">
        <v>52</v>
      </c>
      <c r="B1770" t="s">
        <v>164</v>
      </c>
      <c r="C1770" t="s">
        <v>4980</v>
      </c>
      <c r="D1770" t="s">
        <v>6150</v>
      </c>
      <c r="E1770" t="s">
        <v>265</v>
      </c>
      <c r="F1770" t="s">
        <v>7524</v>
      </c>
      <c r="G1770" t="s">
        <v>8071</v>
      </c>
      <c r="H1770" t="s">
        <v>1416</v>
      </c>
      <c r="I1770" t="s">
        <v>11291</v>
      </c>
      <c r="J1770" t="s">
        <v>1641</v>
      </c>
      <c r="K1770">
        <v>10458</v>
      </c>
      <c r="L1770" t="s">
        <v>1670</v>
      </c>
      <c r="M1770" t="s">
        <v>1670</v>
      </c>
      <c r="O1770" t="s">
        <v>1939</v>
      </c>
      <c r="P1770" t="s">
        <v>1958</v>
      </c>
      <c r="Q1770" t="s">
        <v>1965</v>
      </c>
      <c r="R1770" t="s">
        <v>50</v>
      </c>
      <c r="S1770" t="s">
        <v>1670</v>
      </c>
      <c r="U1770" t="s">
        <v>1972</v>
      </c>
      <c r="W1770" t="s">
        <v>1991</v>
      </c>
      <c r="X1770">
        <v>995</v>
      </c>
      <c r="Y1770" t="s">
        <v>2006</v>
      </c>
      <c r="Z1770" t="s">
        <v>2015</v>
      </c>
      <c r="AA1770" t="s">
        <v>2029</v>
      </c>
      <c r="AB1770" t="s">
        <v>14298</v>
      </c>
      <c r="AE1770" t="s">
        <v>13051</v>
      </c>
      <c r="AF1770" t="s">
        <v>2903</v>
      </c>
      <c r="AG1770" t="s">
        <v>1754</v>
      </c>
      <c r="AH1770">
        <v>8</v>
      </c>
      <c r="AI1770">
        <v>1</v>
      </c>
      <c r="AJ1770">
        <v>0</v>
      </c>
      <c r="AK1770">
        <v>79.08</v>
      </c>
      <c r="AN1770" t="s">
        <v>2927</v>
      </c>
      <c r="AO1770">
        <v>9600</v>
      </c>
      <c r="AU1770">
        <v>0.3</v>
      </c>
      <c r="AV1770" t="s">
        <v>265</v>
      </c>
      <c r="AW1770" t="s">
        <v>3047</v>
      </c>
      <c r="AX1770" t="s">
        <v>18685</v>
      </c>
    </row>
    <row r="1771" spans="1:50">
      <c r="A1771" s="1" t="s">
        <v>128</v>
      </c>
      <c r="B1771" t="s">
        <v>164</v>
      </c>
      <c r="C1771" t="s">
        <v>4981</v>
      </c>
      <c r="D1771" t="s">
        <v>231</v>
      </c>
      <c r="E1771" t="s">
        <v>359</v>
      </c>
      <c r="F1771" t="s">
        <v>7179</v>
      </c>
      <c r="G1771" t="s">
        <v>8163</v>
      </c>
      <c r="H1771" t="s">
        <v>10188</v>
      </c>
      <c r="J1771" t="s">
        <v>1641</v>
      </c>
      <c r="K1771">
        <v>10456</v>
      </c>
      <c r="L1771" t="s">
        <v>1670</v>
      </c>
      <c r="M1771" t="s">
        <v>1670</v>
      </c>
      <c r="N1771" t="s">
        <v>12360</v>
      </c>
      <c r="O1771" t="s">
        <v>1936</v>
      </c>
      <c r="P1771" t="s">
        <v>1958</v>
      </c>
      <c r="Q1771" t="s">
        <v>1965</v>
      </c>
      <c r="R1771" t="s">
        <v>50</v>
      </c>
      <c r="S1771" t="s">
        <v>1671</v>
      </c>
      <c r="U1771" t="s">
        <v>1972</v>
      </c>
      <c r="V1771" t="s">
        <v>1984</v>
      </c>
      <c r="W1771" t="s">
        <v>231</v>
      </c>
      <c r="X1771">
        <v>600</v>
      </c>
      <c r="Y1771" t="s">
        <v>2006</v>
      </c>
      <c r="Z1771" t="s">
        <v>2015</v>
      </c>
      <c r="AA1771" t="s">
        <v>2029</v>
      </c>
      <c r="AB1771" t="s">
        <v>14299</v>
      </c>
      <c r="AD1771" t="s">
        <v>16719</v>
      </c>
      <c r="AE1771" t="s">
        <v>13051</v>
      </c>
      <c r="AF1771" t="s">
        <v>2904</v>
      </c>
      <c r="AG1771" t="s">
        <v>1754</v>
      </c>
      <c r="AH1771">
        <v>2</v>
      </c>
      <c r="AI1771">
        <v>1</v>
      </c>
      <c r="AJ1771">
        <v>0</v>
      </c>
      <c r="AK1771">
        <v>79.08</v>
      </c>
      <c r="AN1771" t="s">
        <v>2926</v>
      </c>
      <c r="AO1771">
        <v>9600</v>
      </c>
      <c r="AU1771">
        <v>1.7</v>
      </c>
      <c r="AV1771" t="s">
        <v>267</v>
      </c>
      <c r="AW1771" t="s">
        <v>128</v>
      </c>
    </row>
    <row r="1772" spans="1:50">
      <c r="A1772" s="1" t="s">
        <v>3195</v>
      </c>
      <c r="B1772" t="s">
        <v>164</v>
      </c>
      <c r="C1772" t="s">
        <v>4982</v>
      </c>
      <c r="D1772" t="s">
        <v>340</v>
      </c>
      <c r="E1772" t="s">
        <v>297</v>
      </c>
      <c r="F1772" t="s">
        <v>7525</v>
      </c>
      <c r="G1772" t="s">
        <v>8708</v>
      </c>
      <c r="H1772" t="s">
        <v>10189</v>
      </c>
      <c r="I1772">
        <v>1</v>
      </c>
      <c r="J1772" t="s">
        <v>1641</v>
      </c>
      <c r="K1772">
        <v>10456</v>
      </c>
      <c r="L1772" t="s">
        <v>1670</v>
      </c>
      <c r="M1772" t="s">
        <v>1670</v>
      </c>
      <c r="O1772" t="s">
        <v>1941</v>
      </c>
      <c r="P1772" t="s">
        <v>1958</v>
      </c>
      <c r="Q1772" t="s">
        <v>1965</v>
      </c>
      <c r="R1772" t="s">
        <v>50</v>
      </c>
      <c r="S1772" t="s">
        <v>1671</v>
      </c>
      <c r="U1772" t="s">
        <v>1972</v>
      </c>
      <c r="W1772" t="s">
        <v>218</v>
      </c>
      <c r="X1772">
        <v>800</v>
      </c>
      <c r="Y1772" t="s">
        <v>2006</v>
      </c>
      <c r="Z1772" t="s">
        <v>2013</v>
      </c>
      <c r="AA1772" t="s">
        <v>2029</v>
      </c>
      <c r="AB1772" t="s">
        <v>14300</v>
      </c>
      <c r="AC1772" t="s">
        <v>15212</v>
      </c>
      <c r="AD1772" t="s">
        <v>16720</v>
      </c>
      <c r="AE1772">
        <v>5</v>
      </c>
      <c r="AF1772" t="s">
        <v>2903</v>
      </c>
      <c r="AG1772" t="s">
        <v>2920</v>
      </c>
      <c r="AH1772">
        <v>1</v>
      </c>
      <c r="AI1772">
        <v>1</v>
      </c>
      <c r="AJ1772">
        <v>0</v>
      </c>
      <c r="AK1772">
        <v>79.08</v>
      </c>
      <c r="AN1772" t="s">
        <v>2926</v>
      </c>
      <c r="AO1772">
        <v>9600</v>
      </c>
      <c r="AU1772">
        <v>7.25</v>
      </c>
      <c r="AV1772" t="s">
        <v>174</v>
      </c>
      <c r="AW1772" t="s">
        <v>3084</v>
      </c>
    </row>
    <row r="1773" spans="1:50">
      <c r="A1773" s="1" t="s">
        <v>128</v>
      </c>
      <c r="B1773" t="s">
        <v>164</v>
      </c>
      <c r="C1773" t="s">
        <v>4983</v>
      </c>
      <c r="D1773" t="s">
        <v>348</v>
      </c>
      <c r="E1773" t="s">
        <v>342</v>
      </c>
      <c r="F1773" t="s">
        <v>427</v>
      </c>
      <c r="G1773" t="s">
        <v>769</v>
      </c>
      <c r="H1773" t="s">
        <v>10190</v>
      </c>
      <c r="I1773" t="s">
        <v>1551</v>
      </c>
      <c r="J1773" t="s">
        <v>1641</v>
      </c>
      <c r="K1773">
        <v>10452</v>
      </c>
      <c r="L1773" t="s">
        <v>1670</v>
      </c>
      <c r="M1773" t="s">
        <v>1670</v>
      </c>
      <c r="O1773" t="s">
        <v>1940</v>
      </c>
      <c r="P1773" t="s">
        <v>1958</v>
      </c>
      <c r="Q1773" t="s">
        <v>1965</v>
      </c>
      <c r="R1773" t="s">
        <v>50</v>
      </c>
      <c r="S1773" t="s">
        <v>1671</v>
      </c>
      <c r="U1773" t="s">
        <v>1972</v>
      </c>
      <c r="V1773" t="s">
        <v>1984</v>
      </c>
      <c r="W1773" t="s">
        <v>342</v>
      </c>
      <c r="X1773" t="s">
        <v>13051</v>
      </c>
      <c r="Y1773" t="s">
        <v>2006</v>
      </c>
      <c r="Z1773" t="s">
        <v>2015</v>
      </c>
      <c r="AA1773" t="s">
        <v>2029</v>
      </c>
      <c r="AB1773" t="s">
        <v>14301</v>
      </c>
      <c r="AD1773" t="s">
        <v>16721</v>
      </c>
      <c r="AE1773" t="s">
        <v>13051</v>
      </c>
      <c r="AF1773" t="s">
        <v>2904</v>
      </c>
      <c r="AG1773" t="s">
        <v>1754</v>
      </c>
      <c r="AH1773" t="s">
        <v>13051</v>
      </c>
      <c r="AI1773">
        <v>1</v>
      </c>
      <c r="AJ1773">
        <v>0</v>
      </c>
      <c r="AK1773">
        <v>79.08</v>
      </c>
      <c r="AN1773" t="s">
        <v>2927</v>
      </c>
      <c r="AO1773">
        <v>9600</v>
      </c>
      <c r="AU1773">
        <v>3.9</v>
      </c>
      <c r="AV1773" t="s">
        <v>342</v>
      </c>
      <c r="AW1773" t="s">
        <v>128</v>
      </c>
    </row>
    <row r="1774" spans="1:50">
      <c r="A1774" s="1" t="s">
        <v>75</v>
      </c>
      <c r="B1774" t="s">
        <v>164</v>
      </c>
      <c r="C1774" t="s">
        <v>4984</v>
      </c>
      <c r="D1774" t="s">
        <v>238</v>
      </c>
      <c r="E1774" t="s">
        <v>208</v>
      </c>
      <c r="F1774" t="s">
        <v>856</v>
      </c>
      <c r="G1774" t="s">
        <v>8709</v>
      </c>
      <c r="H1774" t="s">
        <v>10191</v>
      </c>
      <c r="I1774">
        <v>611</v>
      </c>
      <c r="J1774" t="s">
        <v>1643</v>
      </c>
      <c r="K1774">
        <v>10035</v>
      </c>
      <c r="L1774" t="s">
        <v>1670</v>
      </c>
      <c r="M1774" t="s">
        <v>1670</v>
      </c>
      <c r="O1774" t="s">
        <v>1675</v>
      </c>
      <c r="P1774" t="s">
        <v>1958</v>
      </c>
      <c r="Q1774" t="s">
        <v>1965</v>
      </c>
      <c r="R1774" t="s">
        <v>50</v>
      </c>
      <c r="S1774" t="s">
        <v>1671</v>
      </c>
      <c r="U1774" t="s">
        <v>1972</v>
      </c>
      <c r="V1774" t="s">
        <v>1984</v>
      </c>
      <c r="W1774" t="s">
        <v>281</v>
      </c>
      <c r="X1774" t="s">
        <v>13051</v>
      </c>
      <c r="Y1774" t="s">
        <v>2008</v>
      </c>
      <c r="Z1774" t="s">
        <v>2025</v>
      </c>
      <c r="AA1774" t="s">
        <v>2029</v>
      </c>
      <c r="AB1774" t="s">
        <v>14302</v>
      </c>
      <c r="AD1774" t="s">
        <v>16722</v>
      </c>
      <c r="AE1774">
        <v>91</v>
      </c>
      <c r="AF1774" t="s">
        <v>18015</v>
      </c>
      <c r="AG1774" t="s">
        <v>2915</v>
      </c>
      <c r="AH1774">
        <v>2</v>
      </c>
      <c r="AI1774">
        <v>1</v>
      </c>
      <c r="AJ1774">
        <v>0</v>
      </c>
      <c r="AK1774">
        <v>79.08</v>
      </c>
      <c r="AN1774" t="s">
        <v>2926</v>
      </c>
      <c r="AO1774">
        <v>9600</v>
      </c>
      <c r="AU1774">
        <v>1</v>
      </c>
      <c r="AV1774" t="s">
        <v>238</v>
      </c>
      <c r="AW1774" t="s">
        <v>3058</v>
      </c>
      <c r="AX1774" t="s">
        <v>18685</v>
      </c>
    </row>
    <row r="1775" spans="1:50">
      <c r="A1775" s="1" t="s">
        <v>75</v>
      </c>
      <c r="B1775" t="s">
        <v>164</v>
      </c>
      <c r="C1775" t="s">
        <v>4985</v>
      </c>
      <c r="D1775" t="s">
        <v>360</v>
      </c>
      <c r="E1775" t="s">
        <v>231</v>
      </c>
      <c r="F1775" t="s">
        <v>7526</v>
      </c>
      <c r="G1775" t="s">
        <v>8710</v>
      </c>
      <c r="H1775" t="s">
        <v>10192</v>
      </c>
      <c r="I1775" t="s">
        <v>11292</v>
      </c>
      <c r="J1775" t="s">
        <v>1643</v>
      </c>
      <c r="K1775">
        <v>10029</v>
      </c>
      <c r="L1775" t="s">
        <v>1670</v>
      </c>
      <c r="M1775" t="s">
        <v>1670</v>
      </c>
      <c r="O1775" t="s">
        <v>1675</v>
      </c>
      <c r="P1775" t="s">
        <v>1958</v>
      </c>
      <c r="Q1775" t="s">
        <v>1965</v>
      </c>
      <c r="R1775" t="s">
        <v>50</v>
      </c>
      <c r="S1775" t="s">
        <v>1671</v>
      </c>
      <c r="U1775" t="s">
        <v>1972</v>
      </c>
      <c r="V1775" t="s">
        <v>1984</v>
      </c>
      <c r="W1775" t="s">
        <v>298</v>
      </c>
      <c r="X1775">
        <v>1280</v>
      </c>
      <c r="Y1775" t="s">
        <v>2008</v>
      </c>
      <c r="Z1775" t="s">
        <v>2019</v>
      </c>
      <c r="AA1775" t="s">
        <v>2029</v>
      </c>
      <c r="AB1775" t="s">
        <v>14303</v>
      </c>
      <c r="AD1775" t="s">
        <v>16723</v>
      </c>
      <c r="AE1775">
        <v>8</v>
      </c>
      <c r="AF1775" t="s">
        <v>2902</v>
      </c>
      <c r="AG1775" t="s">
        <v>2915</v>
      </c>
      <c r="AH1775">
        <v>18</v>
      </c>
      <c r="AI1775">
        <v>1</v>
      </c>
      <c r="AJ1775">
        <v>0</v>
      </c>
      <c r="AK1775">
        <v>79.08</v>
      </c>
      <c r="AN1775" t="s">
        <v>2927</v>
      </c>
      <c r="AO1775">
        <v>9600</v>
      </c>
      <c r="AU1775">
        <v>0.65</v>
      </c>
      <c r="AV1775" t="s">
        <v>167</v>
      </c>
      <c r="AW1775" t="s">
        <v>3052</v>
      </c>
    </row>
    <row r="1776" spans="1:50">
      <c r="A1776" s="1" t="s">
        <v>135</v>
      </c>
      <c r="B1776" t="s">
        <v>164</v>
      </c>
      <c r="C1776" t="s">
        <v>4986</v>
      </c>
      <c r="D1776" t="s">
        <v>225</v>
      </c>
      <c r="E1776" t="s">
        <v>206</v>
      </c>
      <c r="F1776" t="s">
        <v>7044</v>
      </c>
      <c r="G1776" t="s">
        <v>8711</v>
      </c>
      <c r="H1776" t="s">
        <v>9932</v>
      </c>
      <c r="I1776" t="s">
        <v>11293</v>
      </c>
      <c r="J1776" t="s">
        <v>1644</v>
      </c>
      <c r="K1776">
        <v>11221</v>
      </c>
      <c r="L1776" t="s">
        <v>1670</v>
      </c>
      <c r="M1776" t="s">
        <v>1670</v>
      </c>
      <c r="O1776" t="s">
        <v>1937</v>
      </c>
      <c r="P1776" t="s">
        <v>1962</v>
      </c>
      <c r="Q1776" t="s">
        <v>1968</v>
      </c>
      <c r="R1776" t="s">
        <v>50</v>
      </c>
      <c r="S1776" t="s">
        <v>1670</v>
      </c>
      <c r="U1776" t="s">
        <v>1972</v>
      </c>
      <c r="W1776" t="s">
        <v>225</v>
      </c>
      <c r="X1776">
        <v>168</v>
      </c>
      <c r="Y1776" t="s">
        <v>2009</v>
      </c>
      <c r="Z1776" t="s">
        <v>2027</v>
      </c>
      <c r="AA1776" t="s">
        <v>2030</v>
      </c>
      <c r="AB1776" t="s">
        <v>14304</v>
      </c>
      <c r="AD1776" t="s">
        <v>16724</v>
      </c>
      <c r="AE1776">
        <v>54</v>
      </c>
      <c r="AF1776" t="s">
        <v>2902</v>
      </c>
      <c r="AG1776" t="s">
        <v>2915</v>
      </c>
      <c r="AH1776">
        <v>13</v>
      </c>
      <c r="AI1776">
        <v>1</v>
      </c>
      <c r="AJ1776">
        <v>0</v>
      </c>
      <c r="AK1776">
        <v>79.08</v>
      </c>
      <c r="AN1776" t="s">
        <v>2926</v>
      </c>
      <c r="AO1776">
        <v>9600</v>
      </c>
      <c r="AP1776" t="s">
        <v>2963</v>
      </c>
      <c r="AU1776">
        <v>56</v>
      </c>
      <c r="AV1776" t="s">
        <v>230</v>
      </c>
      <c r="AW1776" t="s">
        <v>18659</v>
      </c>
    </row>
    <row r="1777" spans="1:50">
      <c r="A1777" s="1" t="s">
        <v>130</v>
      </c>
      <c r="B1777" t="s">
        <v>164</v>
      </c>
      <c r="C1777" t="s">
        <v>4987</v>
      </c>
      <c r="D1777" t="s">
        <v>225</v>
      </c>
      <c r="E1777" t="s">
        <v>206</v>
      </c>
      <c r="F1777" t="s">
        <v>7527</v>
      </c>
      <c r="G1777" t="s">
        <v>8712</v>
      </c>
      <c r="H1777" t="s">
        <v>9932</v>
      </c>
      <c r="I1777" t="s">
        <v>11293</v>
      </c>
      <c r="J1777" t="s">
        <v>1644</v>
      </c>
      <c r="K1777">
        <v>11221</v>
      </c>
      <c r="L1777" t="s">
        <v>1670</v>
      </c>
      <c r="M1777" t="s">
        <v>1670</v>
      </c>
      <c r="O1777" t="s">
        <v>1937</v>
      </c>
      <c r="P1777" t="s">
        <v>1962</v>
      </c>
      <c r="Q1777" t="s">
        <v>1968</v>
      </c>
      <c r="R1777" t="s">
        <v>50</v>
      </c>
      <c r="S1777" t="s">
        <v>1670</v>
      </c>
      <c r="U1777" t="s">
        <v>1972</v>
      </c>
      <c r="W1777" t="s">
        <v>225</v>
      </c>
      <c r="X1777" t="s">
        <v>13051</v>
      </c>
      <c r="Y1777" t="s">
        <v>2009</v>
      </c>
      <c r="Z1777" t="s">
        <v>2027</v>
      </c>
      <c r="AA1777" t="s">
        <v>2030</v>
      </c>
      <c r="AB1777" t="s">
        <v>14304</v>
      </c>
      <c r="AD1777" t="s">
        <v>16724</v>
      </c>
      <c r="AE1777">
        <v>54</v>
      </c>
      <c r="AF1777" t="s">
        <v>2902</v>
      </c>
      <c r="AH1777">
        <v>7</v>
      </c>
      <c r="AI1777">
        <v>1</v>
      </c>
      <c r="AJ1777">
        <v>0</v>
      </c>
      <c r="AK1777">
        <v>79.08</v>
      </c>
      <c r="AN1777" t="s">
        <v>2926</v>
      </c>
      <c r="AO1777">
        <v>9600</v>
      </c>
      <c r="AP1777" t="s">
        <v>2953</v>
      </c>
      <c r="AU1777">
        <v>0.1</v>
      </c>
      <c r="AV1777" t="s">
        <v>206</v>
      </c>
      <c r="AW1777" t="s">
        <v>18659</v>
      </c>
      <c r="AX1777" t="s">
        <v>18685</v>
      </c>
    </row>
    <row r="1778" spans="1:50">
      <c r="A1778" s="1" t="s">
        <v>72</v>
      </c>
      <c r="B1778" t="s">
        <v>163</v>
      </c>
      <c r="C1778" t="s">
        <v>4988</v>
      </c>
      <c r="D1778" t="s">
        <v>6185</v>
      </c>
      <c r="F1778" t="s">
        <v>7528</v>
      </c>
      <c r="G1778" t="s">
        <v>892</v>
      </c>
      <c r="H1778" t="s">
        <v>10193</v>
      </c>
      <c r="I1778">
        <v>3</v>
      </c>
      <c r="J1778" t="s">
        <v>1643</v>
      </c>
      <c r="K1778">
        <v>10035</v>
      </c>
      <c r="L1778" t="s">
        <v>1670</v>
      </c>
      <c r="M1778" t="s">
        <v>1670</v>
      </c>
      <c r="O1778" t="s">
        <v>1675</v>
      </c>
      <c r="P1778" t="s">
        <v>1962</v>
      </c>
      <c r="R1778" t="s">
        <v>50</v>
      </c>
      <c r="S1778" t="s">
        <v>1671</v>
      </c>
      <c r="U1778" t="s">
        <v>1973</v>
      </c>
      <c r="W1778" t="s">
        <v>184</v>
      </c>
      <c r="X1778">
        <v>900</v>
      </c>
      <c r="Y1778" t="s">
        <v>2008</v>
      </c>
      <c r="Z1778" t="s">
        <v>13055</v>
      </c>
      <c r="AB1778" t="s">
        <v>14305</v>
      </c>
      <c r="AD1778" t="s">
        <v>16725</v>
      </c>
      <c r="AE1778">
        <v>6</v>
      </c>
      <c r="AF1778" t="s">
        <v>2902</v>
      </c>
      <c r="AG1778" t="s">
        <v>2915</v>
      </c>
      <c r="AH1778">
        <v>17</v>
      </c>
      <c r="AI1778">
        <v>1</v>
      </c>
      <c r="AJ1778">
        <v>0</v>
      </c>
      <c r="AK1778">
        <v>79.08</v>
      </c>
      <c r="AN1778" t="s">
        <v>2926</v>
      </c>
      <c r="AO1778">
        <v>9600</v>
      </c>
      <c r="AU1778">
        <v>26.93</v>
      </c>
      <c r="AV1778" t="s">
        <v>397</v>
      </c>
      <c r="AW1778" t="s">
        <v>3068</v>
      </c>
    </row>
    <row r="1779" spans="1:50">
      <c r="A1779" s="1" t="s">
        <v>120</v>
      </c>
      <c r="B1779" t="s">
        <v>163</v>
      </c>
      <c r="C1779" t="s">
        <v>4989</v>
      </c>
      <c r="D1779" t="s">
        <v>211</v>
      </c>
      <c r="F1779" t="s">
        <v>7529</v>
      </c>
      <c r="G1779" t="s">
        <v>8713</v>
      </c>
      <c r="H1779" t="s">
        <v>10194</v>
      </c>
      <c r="I1779" t="s">
        <v>11294</v>
      </c>
      <c r="J1779" t="s">
        <v>1643</v>
      </c>
      <c r="K1779">
        <v>10029</v>
      </c>
      <c r="L1779" t="s">
        <v>1670</v>
      </c>
      <c r="M1779" t="s">
        <v>1670</v>
      </c>
      <c r="O1779" t="s">
        <v>1944</v>
      </c>
      <c r="P1779" t="s">
        <v>1962</v>
      </c>
      <c r="R1779" t="s">
        <v>50</v>
      </c>
      <c r="S1779" t="s">
        <v>1671</v>
      </c>
      <c r="U1779" t="s">
        <v>1976</v>
      </c>
      <c r="V1779" t="s">
        <v>1984</v>
      </c>
      <c r="W1779" t="s">
        <v>211</v>
      </c>
      <c r="X1779">
        <v>1146</v>
      </c>
      <c r="Y1779" t="s">
        <v>2008</v>
      </c>
      <c r="Z1779" t="s">
        <v>2021</v>
      </c>
      <c r="AB1779" t="s">
        <v>14306</v>
      </c>
      <c r="AD1779" t="s">
        <v>15077</v>
      </c>
      <c r="AE1779">
        <v>400</v>
      </c>
      <c r="AF1779" t="s">
        <v>2906</v>
      </c>
      <c r="AG1779" t="s">
        <v>2919</v>
      </c>
      <c r="AH1779">
        <v>41</v>
      </c>
      <c r="AI1779">
        <v>1</v>
      </c>
      <c r="AJ1779">
        <v>0</v>
      </c>
      <c r="AK1779">
        <v>79.08</v>
      </c>
      <c r="AN1779" t="s">
        <v>2926</v>
      </c>
      <c r="AO1779">
        <v>9600</v>
      </c>
      <c r="AU1779">
        <v>2.5</v>
      </c>
      <c r="AV1779" t="s">
        <v>211</v>
      </c>
      <c r="AW1779" t="s">
        <v>3051</v>
      </c>
    </row>
    <row r="1780" spans="1:50">
      <c r="A1780" s="1" t="s">
        <v>130</v>
      </c>
      <c r="B1780" t="s">
        <v>164</v>
      </c>
      <c r="C1780" t="s">
        <v>4990</v>
      </c>
      <c r="D1780" t="s">
        <v>225</v>
      </c>
      <c r="E1780" t="s">
        <v>206</v>
      </c>
      <c r="F1780" t="s">
        <v>7135</v>
      </c>
      <c r="G1780" t="s">
        <v>890</v>
      </c>
      <c r="H1780" t="s">
        <v>9932</v>
      </c>
      <c r="I1780" t="s">
        <v>11295</v>
      </c>
      <c r="J1780" t="s">
        <v>1644</v>
      </c>
      <c r="K1780">
        <v>11221</v>
      </c>
      <c r="L1780" t="s">
        <v>1670</v>
      </c>
      <c r="M1780" t="s">
        <v>1670</v>
      </c>
      <c r="O1780" t="s">
        <v>1675</v>
      </c>
      <c r="P1780" t="s">
        <v>1959</v>
      </c>
      <c r="Q1780" t="s">
        <v>1968</v>
      </c>
      <c r="R1780" t="s">
        <v>50</v>
      </c>
      <c r="S1780" t="s">
        <v>1670</v>
      </c>
      <c r="U1780" t="s">
        <v>1972</v>
      </c>
      <c r="W1780" t="s">
        <v>6137</v>
      </c>
      <c r="X1780">
        <v>538.37</v>
      </c>
      <c r="Y1780" t="s">
        <v>2009</v>
      </c>
      <c r="Z1780" t="s">
        <v>2027</v>
      </c>
      <c r="AA1780" t="s">
        <v>2030</v>
      </c>
      <c r="AB1780" t="s">
        <v>13737</v>
      </c>
      <c r="AC1780">
        <v>4449660</v>
      </c>
      <c r="AD1780" t="s">
        <v>16726</v>
      </c>
      <c r="AE1780">
        <v>54</v>
      </c>
      <c r="AF1780" t="s">
        <v>2902</v>
      </c>
      <c r="AH1780">
        <v>19</v>
      </c>
      <c r="AI1780">
        <v>1</v>
      </c>
      <c r="AJ1780">
        <v>0</v>
      </c>
      <c r="AK1780">
        <v>79.08</v>
      </c>
      <c r="AN1780" t="s">
        <v>2926</v>
      </c>
      <c r="AO1780">
        <v>9600</v>
      </c>
      <c r="AP1780" t="s">
        <v>2953</v>
      </c>
      <c r="AU1780">
        <v>0.1</v>
      </c>
      <c r="AV1780" t="s">
        <v>206</v>
      </c>
      <c r="AW1780" t="s">
        <v>18659</v>
      </c>
      <c r="AX1780" t="s">
        <v>18685</v>
      </c>
    </row>
    <row r="1781" spans="1:50">
      <c r="A1781" s="1" t="s">
        <v>75</v>
      </c>
      <c r="B1781" t="s">
        <v>164</v>
      </c>
      <c r="C1781" t="s">
        <v>4991</v>
      </c>
      <c r="D1781" t="s">
        <v>2005</v>
      </c>
      <c r="E1781" t="s">
        <v>266</v>
      </c>
      <c r="F1781" t="s">
        <v>605</v>
      </c>
      <c r="G1781" t="s">
        <v>914</v>
      </c>
      <c r="H1781" t="s">
        <v>10195</v>
      </c>
      <c r="I1781">
        <v>6</v>
      </c>
      <c r="J1781" t="s">
        <v>1643</v>
      </c>
      <c r="K1781">
        <v>10029</v>
      </c>
      <c r="L1781" t="s">
        <v>1670</v>
      </c>
      <c r="M1781" t="s">
        <v>1670</v>
      </c>
      <c r="N1781" t="s">
        <v>12361</v>
      </c>
      <c r="O1781" t="s">
        <v>1936</v>
      </c>
      <c r="P1781" t="s">
        <v>1960</v>
      </c>
      <c r="Q1781" t="s">
        <v>1969</v>
      </c>
      <c r="R1781" t="s">
        <v>50</v>
      </c>
      <c r="S1781" t="s">
        <v>1671</v>
      </c>
      <c r="U1781" t="s">
        <v>1972</v>
      </c>
      <c r="V1781" t="s">
        <v>1984</v>
      </c>
      <c r="W1781" t="s">
        <v>167</v>
      </c>
      <c r="X1781">
        <v>550</v>
      </c>
      <c r="Y1781" t="s">
        <v>2008</v>
      </c>
      <c r="Z1781" t="s">
        <v>2021</v>
      </c>
      <c r="AA1781" t="s">
        <v>2033</v>
      </c>
      <c r="AB1781" t="s">
        <v>14307</v>
      </c>
      <c r="AD1781" t="s">
        <v>16727</v>
      </c>
      <c r="AE1781">
        <v>10</v>
      </c>
      <c r="AF1781" t="s">
        <v>2902</v>
      </c>
      <c r="AG1781" t="s">
        <v>1754</v>
      </c>
      <c r="AH1781">
        <v>8</v>
      </c>
      <c r="AI1781">
        <v>1</v>
      </c>
      <c r="AJ1781">
        <v>0</v>
      </c>
      <c r="AK1781">
        <v>79.08</v>
      </c>
      <c r="AN1781" t="s">
        <v>2926</v>
      </c>
      <c r="AO1781">
        <v>9600</v>
      </c>
      <c r="AT1781" t="s">
        <v>18569</v>
      </c>
      <c r="AU1781">
        <v>3</v>
      </c>
      <c r="AV1781" t="s">
        <v>6186</v>
      </c>
      <c r="AW1781" t="s">
        <v>3051</v>
      </c>
    </row>
    <row r="1782" spans="1:50">
      <c r="A1782" s="1" t="s">
        <v>119</v>
      </c>
      <c r="B1782" t="s">
        <v>163</v>
      </c>
      <c r="C1782" t="s">
        <v>4992</v>
      </c>
      <c r="D1782" t="s">
        <v>6186</v>
      </c>
      <c r="F1782" t="s">
        <v>460</v>
      </c>
      <c r="G1782" t="s">
        <v>8264</v>
      </c>
      <c r="H1782" t="s">
        <v>10196</v>
      </c>
      <c r="I1782" t="s">
        <v>1488</v>
      </c>
      <c r="J1782" t="s">
        <v>1644</v>
      </c>
      <c r="K1782">
        <v>11233</v>
      </c>
      <c r="L1782" t="s">
        <v>1670</v>
      </c>
      <c r="M1782" t="s">
        <v>1670</v>
      </c>
      <c r="N1782" t="s">
        <v>12362</v>
      </c>
      <c r="O1782" t="s">
        <v>1936</v>
      </c>
      <c r="P1782" t="s">
        <v>1960</v>
      </c>
      <c r="R1782" t="s">
        <v>50</v>
      </c>
      <c r="S1782" t="s">
        <v>1671</v>
      </c>
      <c r="U1782" t="s">
        <v>1972</v>
      </c>
      <c r="V1782" t="s">
        <v>1984</v>
      </c>
      <c r="W1782" t="s">
        <v>320</v>
      </c>
      <c r="X1782">
        <v>1400</v>
      </c>
      <c r="Y1782" t="s">
        <v>2009</v>
      </c>
      <c r="Z1782" t="s">
        <v>2026</v>
      </c>
      <c r="AB1782" t="s">
        <v>14308</v>
      </c>
      <c r="AC1782" t="s">
        <v>15213</v>
      </c>
      <c r="AD1782" t="s">
        <v>16728</v>
      </c>
      <c r="AE1782">
        <v>44</v>
      </c>
      <c r="AF1782" t="s">
        <v>2909</v>
      </c>
      <c r="AG1782" t="s">
        <v>2915</v>
      </c>
      <c r="AH1782">
        <v>32</v>
      </c>
      <c r="AI1782">
        <v>1</v>
      </c>
      <c r="AJ1782">
        <v>0</v>
      </c>
      <c r="AK1782">
        <v>79.08</v>
      </c>
      <c r="AN1782" t="s">
        <v>2926</v>
      </c>
      <c r="AO1782">
        <v>9600</v>
      </c>
      <c r="AU1782">
        <v>6.4</v>
      </c>
      <c r="AV1782" t="s">
        <v>13044</v>
      </c>
      <c r="AW1782" t="s">
        <v>3060</v>
      </c>
    </row>
    <row r="1783" spans="1:50">
      <c r="A1783" s="1" t="s">
        <v>62</v>
      </c>
      <c r="B1783" t="s">
        <v>163</v>
      </c>
      <c r="C1783" t="s">
        <v>4993</v>
      </c>
      <c r="D1783" t="s">
        <v>6169</v>
      </c>
      <c r="F1783" t="s">
        <v>7530</v>
      </c>
      <c r="G1783" t="s">
        <v>897</v>
      </c>
      <c r="H1783" t="s">
        <v>9451</v>
      </c>
      <c r="I1783" t="s">
        <v>11296</v>
      </c>
      <c r="J1783" t="s">
        <v>1644</v>
      </c>
      <c r="K1783">
        <v>11225</v>
      </c>
      <c r="L1783" t="s">
        <v>1670</v>
      </c>
      <c r="M1783" t="s">
        <v>1672</v>
      </c>
      <c r="O1783" t="s">
        <v>1939</v>
      </c>
      <c r="P1783" t="s">
        <v>1960</v>
      </c>
      <c r="R1783" t="s">
        <v>50</v>
      </c>
      <c r="S1783" t="s">
        <v>1670</v>
      </c>
      <c r="T1783" t="s">
        <v>13026</v>
      </c>
      <c r="U1783" t="s">
        <v>1972</v>
      </c>
      <c r="W1783" t="s">
        <v>278</v>
      </c>
      <c r="X1783" t="s">
        <v>13051</v>
      </c>
      <c r="Y1783" t="s">
        <v>2009</v>
      </c>
      <c r="Z1783" t="s">
        <v>2015</v>
      </c>
      <c r="AB1783" t="s">
        <v>14309</v>
      </c>
      <c r="AE1783">
        <v>47</v>
      </c>
      <c r="AF1783" t="s">
        <v>2902</v>
      </c>
      <c r="AG1783" t="s">
        <v>1754</v>
      </c>
      <c r="AH1783">
        <v>28</v>
      </c>
      <c r="AI1783">
        <v>1</v>
      </c>
      <c r="AJ1783">
        <v>0</v>
      </c>
      <c r="AK1783">
        <v>79.08</v>
      </c>
      <c r="AN1783" t="s">
        <v>2926</v>
      </c>
      <c r="AO1783">
        <v>9600</v>
      </c>
      <c r="AU1783">
        <v>1</v>
      </c>
      <c r="AV1783" t="s">
        <v>169</v>
      </c>
      <c r="AW1783" t="s">
        <v>3079</v>
      </c>
    </row>
    <row r="1784" spans="1:50">
      <c r="A1784" s="1" t="s">
        <v>59</v>
      </c>
      <c r="B1784" t="s">
        <v>163</v>
      </c>
      <c r="C1784" t="s">
        <v>4994</v>
      </c>
      <c r="D1784" t="s">
        <v>271</v>
      </c>
      <c r="F1784" t="s">
        <v>7531</v>
      </c>
      <c r="G1784" t="s">
        <v>8714</v>
      </c>
      <c r="H1784" t="s">
        <v>10197</v>
      </c>
      <c r="I1784" t="s">
        <v>11100</v>
      </c>
      <c r="J1784" t="s">
        <v>1641</v>
      </c>
      <c r="K1784">
        <v>10453</v>
      </c>
      <c r="L1784" t="s">
        <v>1670</v>
      </c>
      <c r="M1784" t="s">
        <v>1670</v>
      </c>
      <c r="O1784" t="s">
        <v>1939</v>
      </c>
      <c r="P1784" t="s">
        <v>1960</v>
      </c>
      <c r="R1784" t="s">
        <v>50</v>
      </c>
      <c r="S1784" t="s">
        <v>1671</v>
      </c>
      <c r="U1784" t="s">
        <v>1972</v>
      </c>
      <c r="W1784" t="s">
        <v>395</v>
      </c>
      <c r="X1784">
        <v>1039.51</v>
      </c>
      <c r="Y1784" t="s">
        <v>2006</v>
      </c>
      <c r="Z1784" t="s">
        <v>2015</v>
      </c>
      <c r="AB1784" t="s">
        <v>14310</v>
      </c>
      <c r="AD1784" t="s">
        <v>16729</v>
      </c>
      <c r="AE1784">
        <v>69</v>
      </c>
      <c r="AF1784" t="s">
        <v>2902</v>
      </c>
      <c r="AG1784" t="s">
        <v>1754</v>
      </c>
      <c r="AH1784">
        <v>15</v>
      </c>
      <c r="AI1784">
        <v>1</v>
      </c>
      <c r="AJ1784">
        <v>0</v>
      </c>
      <c r="AK1784">
        <v>79.08</v>
      </c>
      <c r="AN1784" t="s">
        <v>2929</v>
      </c>
      <c r="AO1784">
        <v>9600</v>
      </c>
      <c r="AU1784">
        <v>29.95</v>
      </c>
      <c r="AV1784" t="s">
        <v>400</v>
      </c>
      <c r="AW1784" t="s">
        <v>3047</v>
      </c>
    </row>
    <row r="1785" spans="1:50">
      <c r="A1785" s="1" t="s">
        <v>97</v>
      </c>
      <c r="B1785" t="s">
        <v>163</v>
      </c>
      <c r="C1785" t="s">
        <v>4995</v>
      </c>
      <c r="D1785" t="s">
        <v>332</v>
      </c>
      <c r="F1785" t="s">
        <v>562</v>
      </c>
      <c r="G1785" t="s">
        <v>998</v>
      </c>
      <c r="H1785" t="s">
        <v>1244</v>
      </c>
      <c r="I1785">
        <v>22</v>
      </c>
      <c r="J1785" t="s">
        <v>1643</v>
      </c>
      <c r="K1785">
        <v>10034</v>
      </c>
      <c r="L1785" t="s">
        <v>1670</v>
      </c>
      <c r="M1785" t="s">
        <v>1670</v>
      </c>
      <c r="N1785" t="s">
        <v>1771</v>
      </c>
      <c r="O1785" t="s">
        <v>1939</v>
      </c>
      <c r="P1785" t="s">
        <v>1960</v>
      </c>
      <c r="R1785" t="s">
        <v>50</v>
      </c>
      <c r="S1785" t="s">
        <v>1670</v>
      </c>
      <c r="U1785" t="s">
        <v>1972</v>
      </c>
      <c r="W1785" t="s">
        <v>332</v>
      </c>
      <c r="X1785">
        <v>174.62</v>
      </c>
      <c r="Y1785" t="s">
        <v>2008</v>
      </c>
      <c r="Z1785" t="s">
        <v>2013</v>
      </c>
      <c r="AB1785" t="s">
        <v>13505</v>
      </c>
      <c r="AC1785">
        <v>81732</v>
      </c>
      <c r="AE1785">
        <v>25</v>
      </c>
      <c r="AF1785" t="s">
        <v>2902</v>
      </c>
      <c r="AG1785" t="s">
        <v>1754</v>
      </c>
      <c r="AH1785">
        <v>40</v>
      </c>
      <c r="AI1785">
        <v>1</v>
      </c>
      <c r="AJ1785">
        <v>0</v>
      </c>
      <c r="AK1785">
        <v>79.12</v>
      </c>
      <c r="AN1785" t="s">
        <v>2927</v>
      </c>
      <c r="AO1785">
        <v>9604.799999999999</v>
      </c>
      <c r="AU1785" t="s">
        <v>13051</v>
      </c>
      <c r="AW1785" t="s">
        <v>3042</v>
      </c>
    </row>
    <row r="1786" spans="1:50">
      <c r="A1786" s="1" t="s">
        <v>114</v>
      </c>
      <c r="B1786" t="s">
        <v>164</v>
      </c>
      <c r="C1786" t="s">
        <v>4996</v>
      </c>
      <c r="D1786" t="s">
        <v>339</v>
      </c>
      <c r="E1786" t="s">
        <v>249</v>
      </c>
      <c r="F1786" t="s">
        <v>7532</v>
      </c>
      <c r="G1786" t="s">
        <v>8715</v>
      </c>
      <c r="H1786" t="s">
        <v>10198</v>
      </c>
      <c r="J1786" t="s">
        <v>1641</v>
      </c>
      <c r="K1786">
        <v>10456</v>
      </c>
      <c r="L1786" t="s">
        <v>1670</v>
      </c>
      <c r="M1786" t="s">
        <v>1670</v>
      </c>
      <c r="O1786" t="s">
        <v>1675</v>
      </c>
      <c r="P1786" t="s">
        <v>1958</v>
      </c>
      <c r="Q1786" t="s">
        <v>1965</v>
      </c>
      <c r="R1786" t="s">
        <v>50</v>
      </c>
      <c r="S1786" t="s">
        <v>1671</v>
      </c>
      <c r="U1786" t="s">
        <v>1972</v>
      </c>
      <c r="W1786" t="s">
        <v>339</v>
      </c>
      <c r="X1786" t="s">
        <v>13051</v>
      </c>
      <c r="Y1786" t="s">
        <v>2006</v>
      </c>
      <c r="Z1786" t="s">
        <v>2013</v>
      </c>
      <c r="AA1786" t="s">
        <v>2029</v>
      </c>
      <c r="AB1786" t="s">
        <v>14311</v>
      </c>
      <c r="AD1786" t="s">
        <v>16730</v>
      </c>
      <c r="AE1786" t="s">
        <v>13051</v>
      </c>
      <c r="AF1786" t="s">
        <v>18014</v>
      </c>
      <c r="AH1786" t="s">
        <v>13051</v>
      </c>
      <c r="AI1786">
        <v>1</v>
      </c>
      <c r="AJ1786">
        <v>0</v>
      </c>
      <c r="AK1786">
        <v>79.26000000000001</v>
      </c>
      <c r="AN1786" t="s">
        <v>2926</v>
      </c>
      <c r="AO1786">
        <v>9900</v>
      </c>
      <c r="AU1786">
        <v>0.5</v>
      </c>
      <c r="AV1786" t="s">
        <v>339</v>
      </c>
      <c r="AW1786" t="s">
        <v>114</v>
      </c>
      <c r="AX1786" t="s">
        <v>18685</v>
      </c>
    </row>
    <row r="1787" spans="1:50">
      <c r="A1787" s="1" t="s">
        <v>123</v>
      </c>
      <c r="B1787" t="s">
        <v>163</v>
      </c>
      <c r="C1787" t="s">
        <v>4997</v>
      </c>
      <c r="D1787" t="s">
        <v>339</v>
      </c>
      <c r="F1787" t="s">
        <v>7089</v>
      </c>
      <c r="G1787" t="s">
        <v>8716</v>
      </c>
      <c r="H1787" t="s">
        <v>10199</v>
      </c>
      <c r="I1787">
        <v>502</v>
      </c>
      <c r="J1787" t="s">
        <v>1641</v>
      </c>
      <c r="K1787">
        <v>10466</v>
      </c>
      <c r="L1787" t="s">
        <v>1670</v>
      </c>
      <c r="M1787" t="s">
        <v>1670</v>
      </c>
      <c r="N1787" t="s">
        <v>1691</v>
      </c>
      <c r="O1787" t="s">
        <v>1675</v>
      </c>
      <c r="P1787" t="s">
        <v>1958</v>
      </c>
      <c r="R1787" t="s">
        <v>50</v>
      </c>
      <c r="S1787" t="s">
        <v>1671</v>
      </c>
      <c r="U1787" t="s">
        <v>1972</v>
      </c>
      <c r="W1787" t="s">
        <v>379</v>
      </c>
      <c r="X1787">
        <v>202</v>
      </c>
      <c r="Y1787" t="s">
        <v>2006</v>
      </c>
      <c r="Z1787" t="s">
        <v>2013</v>
      </c>
      <c r="AB1787" t="s">
        <v>14312</v>
      </c>
      <c r="AE1787" t="s">
        <v>13051</v>
      </c>
      <c r="AF1787" t="s">
        <v>2907</v>
      </c>
      <c r="AG1787" t="s">
        <v>2017</v>
      </c>
      <c r="AH1787">
        <v>7</v>
      </c>
      <c r="AI1787">
        <v>1</v>
      </c>
      <c r="AJ1787">
        <v>0</v>
      </c>
      <c r="AK1787">
        <v>79.26000000000001</v>
      </c>
      <c r="AN1787" t="s">
        <v>2927</v>
      </c>
      <c r="AO1787">
        <v>9900</v>
      </c>
      <c r="AU1787">
        <v>0.2</v>
      </c>
      <c r="AV1787" t="s">
        <v>235</v>
      </c>
      <c r="AW1787" t="s">
        <v>123</v>
      </c>
      <c r="AX1787" t="s">
        <v>18685</v>
      </c>
    </row>
    <row r="1788" spans="1:50">
      <c r="A1788" s="1" t="s">
        <v>59</v>
      </c>
      <c r="B1788" t="s">
        <v>163</v>
      </c>
      <c r="C1788" t="s">
        <v>4998</v>
      </c>
      <c r="D1788" t="s">
        <v>198</v>
      </c>
      <c r="F1788" t="s">
        <v>7532</v>
      </c>
      <c r="G1788" t="s">
        <v>8715</v>
      </c>
      <c r="H1788" t="s">
        <v>10198</v>
      </c>
      <c r="J1788" t="s">
        <v>1641</v>
      </c>
      <c r="K1788">
        <v>10456</v>
      </c>
      <c r="L1788" t="s">
        <v>1670</v>
      </c>
      <c r="M1788" t="s">
        <v>1672</v>
      </c>
      <c r="O1788" t="s">
        <v>1675</v>
      </c>
      <c r="P1788" t="s">
        <v>1958</v>
      </c>
      <c r="R1788" t="s">
        <v>50</v>
      </c>
      <c r="S1788" t="s">
        <v>1671</v>
      </c>
      <c r="U1788" t="s">
        <v>1972</v>
      </c>
      <c r="W1788" t="s">
        <v>1991</v>
      </c>
      <c r="X1788" t="s">
        <v>13051</v>
      </c>
      <c r="Y1788" t="s">
        <v>2006</v>
      </c>
      <c r="Z1788" t="s">
        <v>2015</v>
      </c>
      <c r="AB1788" t="s">
        <v>14313</v>
      </c>
      <c r="AD1788" t="s">
        <v>16730</v>
      </c>
      <c r="AE1788">
        <v>1</v>
      </c>
      <c r="AF1788" t="s">
        <v>2904</v>
      </c>
      <c r="AG1788" t="s">
        <v>1754</v>
      </c>
      <c r="AH1788" t="s">
        <v>13051</v>
      </c>
      <c r="AI1788">
        <v>1</v>
      </c>
      <c r="AJ1788">
        <v>0</v>
      </c>
      <c r="AK1788">
        <v>79.26000000000001</v>
      </c>
      <c r="AN1788" t="s">
        <v>2926</v>
      </c>
      <c r="AO1788">
        <v>9900</v>
      </c>
      <c r="AU1788">
        <v>0.5</v>
      </c>
      <c r="AV1788" t="s">
        <v>400</v>
      </c>
      <c r="AW1788" t="s">
        <v>3047</v>
      </c>
      <c r="AX1788" t="s">
        <v>18685</v>
      </c>
    </row>
    <row r="1789" spans="1:50">
      <c r="A1789" s="1" t="s">
        <v>74</v>
      </c>
      <c r="B1789" t="s">
        <v>163</v>
      </c>
      <c r="C1789" t="s">
        <v>4999</v>
      </c>
      <c r="D1789" t="s">
        <v>230</v>
      </c>
      <c r="F1789" t="s">
        <v>431</v>
      </c>
      <c r="G1789" t="s">
        <v>8717</v>
      </c>
      <c r="H1789" t="s">
        <v>1131</v>
      </c>
      <c r="I1789" t="s">
        <v>11297</v>
      </c>
      <c r="J1789" t="s">
        <v>1641</v>
      </c>
      <c r="K1789">
        <v>10460</v>
      </c>
      <c r="L1789" t="s">
        <v>1670</v>
      </c>
      <c r="M1789" t="s">
        <v>1672</v>
      </c>
      <c r="O1789" t="s">
        <v>1675</v>
      </c>
      <c r="P1789" t="s">
        <v>1959</v>
      </c>
      <c r="R1789" t="s">
        <v>50</v>
      </c>
      <c r="S1789" t="s">
        <v>1670</v>
      </c>
      <c r="U1789" t="s">
        <v>1972</v>
      </c>
      <c r="W1789" t="s">
        <v>1991</v>
      </c>
      <c r="X1789">
        <v>238</v>
      </c>
      <c r="Y1789" t="s">
        <v>2006</v>
      </c>
      <c r="Z1789" t="s">
        <v>2015</v>
      </c>
      <c r="AB1789" t="s">
        <v>14314</v>
      </c>
      <c r="AC1789" t="s">
        <v>15214</v>
      </c>
      <c r="AD1789" t="s">
        <v>16731</v>
      </c>
      <c r="AE1789">
        <v>168</v>
      </c>
      <c r="AF1789" t="s">
        <v>2902</v>
      </c>
      <c r="AG1789" t="s">
        <v>2915</v>
      </c>
      <c r="AH1789">
        <v>24</v>
      </c>
      <c r="AI1789">
        <v>1</v>
      </c>
      <c r="AJ1789">
        <v>0</v>
      </c>
      <c r="AK1789">
        <v>79.36</v>
      </c>
      <c r="AN1789" t="s">
        <v>2926</v>
      </c>
      <c r="AO1789">
        <v>9912</v>
      </c>
      <c r="AU1789" t="s">
        <v>13051</v>
      </c>
      <c r="AW1789" t="s">
        <v>3045</v>
      </c>
      <c r="AX1789" t="s">
        <v>18685</v>
      </c>
    </row>
    <row r="1790" spans="1:50">
      <c r="A1790" s="1" t="s">
        <v>97</v>
      </c>
      <c r="B1790" t="s">
        <v>164</v>
      </c>
      <c r="C1790" t="s">
        <v>5000</v>
      </c>
      <c r="D1790" t="s">
        <v>309</v>
      </c>
      <c r="E1790" t="s">
        <v>246</v>
      </c>
      <c r="F1790" t="s">
        <v>620</v>
      </c>
      <c r="G1790" t="s">
        <v>1073</v>
      </c>
      <c r="H1790" t="s">
        <v>10200</v>
      </c>
      <c r="I1790" t="s">
        <v>1489</v>
      </c>
      <c r="J1790" t="s">
        <v>1643</v>
      </c>
      <c r="K1790">
        <v>10034</v>
      </c>
      <c r="L1790" t="s">
        <v>1670</v>
      </c>
      <c r="M1790" t="s">
        <v>1670</v>
      </c>
      <c r="O1790" t="s">
        <v>1675</v>
      </c>
      <c r="P1790" t="s">
        <v>1958</v>
      </c>
      <c r="Q1790" t="s">
        <v>1965</v>
      </c>
      <c r="R1790" t="s">
        <v>50</v>
      </c>
      <c r="S1790" t="s">
        <v>1671</v>
      </c>
      <c r="U1790" t="s">
        <v>1972</v>
      </c>
      <c r="W1790" t="s">
        <v>309</v>
      </c>
      <c r="X1790">
        <v>129</v>
      </c>
      <c r="Y1790" t="s">
        <v>2008</v>
      </c>
      <c r="Z1790" t="s">
        <v>2013</v>
      </c>
      <c r="AA1790" t="s">
        <v>2029</v>
      </c>
      <c r="AB1790" t="s">
        <v>14315</v>
      </c>
      <c r="AD1790" t="s">
        <v>16732</v>
      </c>
      <c r="AE1790">
        <v>259</v>
      </c>
      <c r="AF1790" t="s">
        <v>2902</v>
      </c>
      <c r="AG1790" t="s">
        <v>2915</v>
      </c>
      <c r="AH1790">
        <v>40</v>
      </c>
      <c r="AI1790">
        <v>1</v>
      </c>
      <c r="AJ1790">
        <v>0</v>
      </c>
      <c r="AK1790">
        <v>79.37</v>
      </c>
      <c r="AN1790" t="s">
        <v>2927</v>
      </c>
      <c r="AO1790">
        <v>9636</v>
      </c>
      <c r="AU1790">
        <v>1</v>
      </c>
      <c r="AV1790" t="s">
        <v>335</v>
      </c>
      <c r="AW1790" t="s">
        <v>3042</v>
      </c>
      <c r="AX1790" t="s">
        <v>18685</v>
      </c>
    </row>
    <row r="1791" spans="1:50">
      <c r="A1791" s="1" t="s">
        <v>61</v>
      </c>
      <c r="B1791" t="s">
        <v>163</v>
      </c>
      <c r="C1791" t="s">
        <v>5001</v>
      </c>
      <c r="D1791" t="s">
        <v>2005</v>
      </c>
      <c r="F1791" t="s">
        <v>7533</v>
      </c>
      <c r="G1791" t="s">
        <v>8318</v>
      </c>
      <c r="H1791" t="s">
        <v>10201</v>
      </c>
      <c r="I1791" t="s">
        <v>11298</v>
      </c>
      <c r="J1791" t="s">
        <v>1644</v>
      </c>
      <c r="K1791">
        <v>11230</v>
      </c>
      <c r="L1791" t="s">
        <v>1670</v>
      </c>
      <c r="M1791" t="s">
        <v>1670</v>
      </c>
      <c r="O1791" t="s">
        <v>1937</v>
      </c>
      <c r="P1791" t="s">
        <v>1959</v>
      </c>
      <c r="R1791" t="s">
        <v>50</v>
      </c>
      <c r="S1791" t="s">
        <v>1670</v>
      </c>
      <c r="U1791" t="s">
        <v>1972</v>
      </c>
      <c r="W1791" t="s">
        <v>252</v>
      </c>
      <c r="X1791" t="s">
        <v>13051</v>
      </c>
      <c r="Y1791" t="s">
        <v>2009</v>
      </c>
      <c r="Z1791" t="s">
        <v>2015</v>
      </c>
      <c r="AB1791" t="s">
        <v>14316</v>
      </c>
      <c r="AE1791">
        <v>60</v>
      </c>
      <c r="AF1791" t="s">
        <v>2902</v>
      </c>
      <c r="AH1791" t="s">
        <v>13051</v>
      </c>
      <c r="AI1791">
        <v>2</v>
      </c>
      <c r="AJ1791">
        <v>0</v>
      </c>
      <c r="AK1791">
        <v>79.47</v>
      </c>
      <c r="AO1791">
        <v>13080</v>
      </c>
      <c r="AU1791" t="s">
        <v>13051</v>
      </c>
      <c r="AW1791" t="s">
        <v>61</v>
      </c>
    </row>
    <row r="1792" spans="1:50">
      <c r="A1792" s="1" t="s">
        <v>3186</v>
      </c>
      <c r="B1792" t="s">
        <v>164</v>
      </c>
      <c r="C1792" t="s">
        <v>5002</v>
      </c>
      <c r="D1792" t="s">
        <v>377</v>
      </c>
      <c r="E1792" t="s">
        <v>263</v>
      </c>
      <c r="F1792" t="s">
        <v>7534</v>
      </c>
      <c r="G1792" t="s">
        <v>7904</v>
      </c>
      <c r="H1792" t="s">
        <v>10202</v>
      </c>
      <c r="I1792" t="s">
        <v>11299</v>
      </c>
      <c r="J1792" t="s">
        <v>1644</v>
      </c>
      <c r="K1792">
        <v>11233</v>
      </c>
      <c r="L1792" t="s">
        <v>1670</v>
      </c>
      <c r="M1792" t="s">
        <v>1670</v>
      </c>
      <c r="P1792" t="s">
        <v>1960</v>
      </c>
      <c r="Q1792" t="s">
        <v>1969</v>
      </c>
      <c r="R1792" t="s">
        <v>50</v>
      </c>
      <c r="U1792" t="s">
        <v>1972</v>
      </c>
      <c r="W1792" t="s">
        <v>263</v>
      </c>
      <c r="X1792" t="s">
        <v>13051</v>
      </c>
      <c r="Y1792" t="s">
        <v>2009</v>
      </c>
      <c r="AA1792" t="s">
        <v>2032</v>
      </c>
      <c r="AB1792" t="s">
        <v>14317</v>
      </c>
      <c r="AD1792" t="s">
        <v>16733</v>
      </c>
      <c r="AE1792" t="s">
        <v>13051</v>
      </c>
      <c r="AH1792" t="s">
        <v>13051</v>
      </c>
      <c r="AI1792">
        <v>1</v>
      </c>
      <c r="AJ1792">
        <v>0</v>
      </c>
      <c r="AK1792">
        <v>79.47</v>
      </c>
      <c r="AN1792" t="s">
        <v>2926</v>
      </c>
      <c r="AO1792">
        <v>9648</v>
      </c>
      <c r="AQ1792" t="s">
        <v>2978</v>
      </c>
      <c r="AR1792" t="s">
        <v>2982</v>
      </c>
      <c r="AS1792" t="s">
        <v>2992</v>
      </c>
      <c r="AT1792" t="s">
        <v>18570</v>
      </c>
      <c r="AU1792">
        <v>13.75</v>
      </c>
      <c r="AV1792" t="s">
        <v>263</v>
      </c>
      <c r="AW1792" t="s">
        <v>18672</v>
      </c>
      <c r="AX1792" t="s">
        <v>18685</v>
      </c>
    </row>
    <row r="1793" spans="1:50">
      <c r="A1793" s="1" t="s">
        <v>74</v>
      </c>
      <c r="B1793" t="s">
        <v>163</v>
      </c>
      <c r="C1793" t="s">
        <v>5003</v>
      </c>
      <c r="D1793" t="s">
        <v>281</v>
      </c>
      <c r="F1793" t="s">
        <v>429</v>
      </c>
      <c r="G1793" t="s">
        <v>8697</v>
      </c>
      <c r="H1793" t="s">
        <v>1131</v>
      </c>
      <c r="I1793" t="s">
        <v>11289</v>
      </c>
      <c r="J1793" t="s">
        <v>1641</v>
      </c>
      <c r="K1793">
        <v>10460</v>
      </c>
      <c r="L1793" t="s">
        <v>1670</v>
      </c>
      <c r="M1793" t="s">
        <v>1670</v>
      </c>
      <c r="N1793" t="s">
        <v>1692</v>
      </c>
      <c r="O1793" t="s">
        <v>1939</v>
      </c>
      <c r="P1793" t="s">
        <v>1960</v>
      </c>
      <c r="R1793" t="s">
        <v>50</v>
      </c>
      <c r="S1793" t="s">
        <v>1670</v>
      </c>
      <c r="U1793" t="s">
        <v>1972</v>
      </c>
      <c r="W1793" t="s">
        <v>283</v>
      </c>
      <c r="X1793">
        <v>1100</v>
      </c>
      <c r="Y1793" t="s">
        <v>2006</v>
      </c>
      <c r="Z1793" t="s">
        <v>2015</v>
      </c>
      <c r="AB1793" t="s">
        <v>14283</v>
      </c>
      <c r="AD1793" t="s">
        <v>16705</v>
      </c>
      <c r="AE1793">
        <v>169</v>
      </c>
      <c r="AF1793" t="s">
        <v>2902</v>
      </c>
      <c r="AG1793" t="s">
        <v>2921</v>
      </c>
      <c r="AH1793">
        <v>4</v>
      </c>
      <c r="AI1793">
        <v>1</v>
      </c>
      <c r="AJ1793">
        <v>0</v>
      </c>
      <c r="AK1793">
        <v>79.47</v>
      </c>
      <c r="AN1793" t="s">
        <v>2926</v>
      </c>
      <c r="AO1793">
        <v>9648</v>
      </c>
      <c r="AU1793" t="s">
        <v>13051</v>
      </c>
      <c r="AW1793" t="s">
        <v>3047</v>
      </c>
    </row>
    <row r="1794" spans="1:50">
      <c r="A1794" s="1" t="s">
        <v>58</v>
      </c>
      <c r="B1794" t="s">
        <v>163</v>
      </c>
      <c r="C1794" t="s">
        <v>5004</v>
      </c>
      <c r="D1794" t="s">
        <v>263</v>
      </c>
      <c r="F1794" t="s">
        <v>7535</v>
      </c>
      <c r="G1794" t="s">
        <v>8718</v>
      </c>
      <c r="H1794" t="s">
        <v>9652</v>
      </c>
      <c r="I1794" t="s">
        <v>1517</v>
      </c>
      <c r="J1794" t="s">
        <v>1641</v>
      </c>
      <c r="K1794">
        <v>10461</v>
      </c>
      <c r="L1794" t="s">
        <v>1670</v>
      </c>
      <c r="M1794" t="s">
        <v>1670</v>
      </c>
      <c r="O1794" t="s">
        <v>1938</v>
      </c>
      <c r="P1794" t="s">
        <v>1962</v>
      </c>
      <c r="R1794" t="s">
        <v>50</v>
      </c>
      <c r="S1794" t="s">
        <v>1670</v>
      </c>
      <c r="U1794" t="s">
        <v>1972</v>
      </c>
      <c r="W1794" t="s">
        <v>293</v>
      </c>
      <c r="X1794">
        <v>800</v>
      </c>
      <c r="Y1794" t="s">
        <v>2006</v>
      </c>
      <c r="Z1794" t="s">
        <v>2015</v>
      </c>
      <c r="AB1794" t="s">
        <v>14318</v>
      </c>
      <c r="AC1794" t="s">
        <v>15215</v>
      </c>
      <c r="AD1794" t="s">
        <v>16734</v>
      </c>
      <c r="AE1794">
        <v>125</v>
      </c>
      <c r="AF1794" t="s">
        <v>2904</v>
      </c>
      <c r="AG1794" t="s">
        <v>1754</v>
      </c>
      <c r="AH1794">
        <v>14</v>
      </c>
      <c r="AI1794">
        <v>1</v>
      </c>
      <c r="AJ1794">
        <v>0</v>
      </c>
      <c r="AK1794">
        <v>79.55</v>
      </c>
      <c r="AN1794" t="s">
        <v>2926</v>
      </c>
      <c r="AO1794">
        <v>9936</v>
      </c>
      <c r="AU1794" t="s">
        <v>13051</v>
      </c>
      <c r="AW1794" t="s">
        <v>3046</v>
      </c>
    </row>
    <row r="1795" spans="1:50">
      <c r="A1795" s="1" t="s">
        <v>74</v>
      </c>
      <c r="B1795" t="s">
        <v>163</v>
      </c>
      <c r="C1795" t="s">
        <v>5005</v>
      </c>
      <c r="D1795" t="s">
        <v>191</v>
      </c>
      <c r="F1795" t="s">
        <v>427</v>
      </c>
      <c r="G1795" t="s">
        <v>780</v>
      </c>
      <c r="H1795" t="s">
        <v>1131</v>
      </c>
      <c r="I1795" t="s">
        <v>11300</v>
      </c>
      <c r="J1795" t="s">
        <v>1641</v>
      </c>
      <c r="K1795">
        <v>10460</v>
      </c>
      <c r="L1795" t="s">
        <v>1670</v>
      </c>
      <c r="M1795" t="s">
        <v>1672</v>
      </c>
      <c r="N1795" t="s">
        <v>1691</v>
      </c>
      <c r="O1795" t="s">
        <v>1675</v>
      </c>
      <c r="P1795" t="s">
        <v>1959</v>
      </c>
      <c r="R1795" t="s">
        <v>50</v>
      </c>
      <c r="S1795" t="s">
        <v>1670</v>
      </c>
      <c r="U1795" t="s">
        <v>1972</v>
      </c>
      <c r="W1795" t="s">
        <v>1991</v>
      </c>
      <c r="X1795">
        <v>1500</v>
      </c>
      <c r="Y1795" t="s">
        <v>2006</v>
      </c>
      <c r="Z1795" t="s">
        <v>2015</v>
      </c>
      <c r="AB1795" t="s">
        <v>14319</v>
      </c>
      <c r="AD1795" t="s">
        <v>16735</v>
      </c>
      <c r="AE1795">
        <v>168</v>
      </c>
      <c r="AG1795" t="s">
        <v>2919</v>
      </c>
      <c r="AH1795">
        <v>2</v>
      </c>
      <c r="AI1795">
        <v>1</v>
      </c>
      <c r="AJ1795">
        <v>0</v>
      </c>
      <c r="AK1795">
        <v>79.55</v>
      </c>
      <c r="AN1795" t="s">
        <v>2927</v>
      </c>
      <c r="AO1795">
        <v>9936</v>
      </c>
      <c r="AU1795" t="s">
        <v>13051</v>
      </c>
      <c r="AW1795" t="s">
        <v>3047</v>
      </c>
      <c r="AX1795" t="s">
        <v>18685</v>
      </c>
    </row>
    <row r="1796" spans="1:50">
      <c r="A1796" s="1" t="s">
        <v>94</v>
      </c>
      <c r="B1796" t="s">
        <v>163</v>
      </c>
      <c r="C1796" t="s">
        <v>5006</v>
      </c>
      <c r="D1796" t="s">
        <v>290</v>
      </c>
      <c r="F1796" t="s">
        <v>6831</v>
      </c>
      <c r="G1796" t="s">
        <v>8280</v>
      </c>
      <c r="H1796" t="s">
        <v>10176</v>
      </c>
      <c r="I1796">
        <v>6</v>
      </c>
      <c r="J1796" t="s">
        <v>1643</v>
      </c>
      <c r="K1796">
        <v>10033</v>
      </c>
      <c r="L1796" t="s">
        <v>1670</v>
      </c>
      <c r="M1796" t="s">
        <v>1672</v>
      </c>
      <c r="N1796" t="s">
        <v>12363</v>
      </c>
      <c r="P1796" t="s">
        <v>1960</v>
      </c>
      <c r="R1796" t="s">
        <v>50</v>
      </c>
      <c r="S1796" t="s">
        <v>1671</v>
      </c>
      <c r="U1796" t="s">
        <v>1972</v>
      </c>
      <c r="W1796" t="s">
        <v>290</v>
      </c>
      <c r="X1796">
        <v>163</v>
      </c>
      <c r="Y1796" t="s">
        <v>2008</v>
      </c>
      <c r="Z1796" t="s">
        <v>2013</v>
      </c>
      <c r="AB1796" t="s">
        <v>14279</v>
      </c>
      <c r="AD1796" t="s">
        <v>16703</v>
      </c>
      <c r="AE1796">
        <v>36</v>
      </c>
      <c r="AF1796" t="s">
        <v>2902</v>
      </c>
      <c r="AG1796" t="s">
        <v>2915</v>
      </c>
      <c r="AH1796">
        <v>22</v>
      </c>
      <c r="AI1796">
        <v>1</v>
      </c>
      <c r="AJ1796">
        <v>0</v>
      </c>
      <c r="AK1796">
        <v>79.55</v>
      </c>
      <c r="AN1796" t="s">
        <v>2927</v>
      </c>
      <c r="AO1796">
        <v>9936</v>
      </c>
      <c r="AU1796">
        <v>12.2</v>
      </c>
      <c r="AV1796" t="s">
        <v>354</v>
      </c>
      <c r="AW1796" t="s">
        <v>3042</v>
      </c>
      <c r="AX1796" t="s">
        <v>18685</v>
      </c>
    </row>
    <row r="1797" spans="1:50">
      <c r="A1797" s="1" t="s">
        <v>115</v>
      </c>
      <c r="B1797" t="s">
        <v>164</v>
      </c>
      <c r="C1797" t="s">
        <v>5007</v>
      </c>
      <c r="D1797" t="s">
        <v>244</v>
      </c>
      <c r="E1797" t="s">
        <v>376</v>
      </c>
      <c r="F1797" t="s">
        <v>7536</v>
      </c>
      <c r="G1797" t="s">
        <v>780</v>
      </c>
      <c r="H1797" t="s">
        <v>10203</v>
      </c>
      <c r="I1797" t="s">
        <v>1477</v>
      </c>
      <c r="J1797" t="s">
        <v>1641</v>
      </c>
      <c r="K1797">
        <v>10469</v>
      </c>
      <c r="L1797" t="s">
        <v>1670</v>
      </c>
      <c r="M1797" t="s">
        <v>1670</v>
      </c>
      <c r="O1797" t="s">
        <v>1675</v>
      </c>
      <c r="P1797" t="s">
        <v>1958</v>
      </c>
      <c r="Q1797" t="s">
        <v>1965</v>
      </c>
      <c r="R1797" t="s">
        <v>50</v>
      </c>
      <c r="S1797" t="s">
        <v>1671</v>
      </c>
      <c r="T1797" t="s">
        <v>50</v>
      </c>
      <c r="U1797" t="s">
        <v>1972</v>
      </c>
      <c r="W1797" t="s">
        <v>238</v>
      </c>
      <c r="X1797">
        <v>1500</v>
      </c>
      <c r="Y1797" t="s">
        <v>2006</v>
      </c>
      <c r="Z1797" t="s">
        <v>2013</v>
      </c>
      <c r="AA1797" t="s">
        <v>2029</v>
      </c>
      <c r="AB1797" t="s">
        <v>14320</v>
      </c>
      <c r="AD1797" t="s">
        <v>16736</v>
      </c>
      <c r="AE1797">
        <v>3</v>
      </c>
      <c r="AF1797" t="s">
        <v>2903</v>
      </c>
      <c r="AG1797" t="s">
        <v>1754</v>
      </c>
      <c r="AH1797">
        <v>2</v>
      </c>
      <c r="AI1797">
        <v>1</v>
      </c>
      <c r="AJ1797">
        <v>0</v>
      </c>
      <c r="AK1797">
        <v>79.56999999999999</v>
      </c>
      <c r="AN1797" t="s">
        <v>2927</v>
      </c>
      <c r="AO1797">
        <v>9660</v>
      </c>
      <c r="AU1797">
        <v>3.2</v>
      </c>
      <c r="AV1797" t="s">
        <v>376</v>
      </c>
      <c r="AW1797" t="s">
        <v>115</v>
      </c>
    </row>
    <row r="1798" spans="1:50">
      <c r="A1798" s="1" t="s">
        <v>74</v>
      </c>
      <c r="B1798" t="s">
        <v>163</v>
      </c>
      <c r="C1798" t="s">
        <v>5008</v>
      </c>
      <c r="D1798" t="s">
        <v>246</v>
      </c>
      <c r="F1798" t="s">
        <v>460</v>
      </c>
      <c r="G1798" t="s">
        <v>8696</v>
      </c>
      <c r="H1798" t="s">
        <v>1131</v>
      </c>
      <c r="I1798" t="s">
        <v>11288</v>
      </c>
      <c r="J1798" t="s">
        <v>1641</v>
      </c>
      <c r="K1798">
        <v>10460</v>
      </c>
      <c r="L1798" t="s">
        <v>1670</v>
      </c>
      <c r="M1798" t="s">
        <v>1670</v>
      </c>
      <c r="O1798" t="s">
        <v>1675</v>
      </c>
      <c r="P1798" t="s">
        <v>1959</v>
      </c>
      <c r="R1798" t="s">
        <v>50</v>
      </c>
      <c r="S1798" t="s">
        <v>1670</v>
      </c>
      <c r="U1798" t="s">
        <v>1972</v>
      </c>
      <c r="W1798" t="s">
        <v>283</v>
      </c>
      <c r="X1798">
        <v>263</v>
      </c>
      <c r="Y1798" t="s">
        <v>2006</v>
      </c>
      <c r="Z1798" t="s">
        <v>2015</v>
      </c>
      <c r="AB1798" t="s">
        <v>14282</v>
      </c>
      <c r="AD1798" t="s">
        <v>16704</v>
      </c>
      <c r="AE1798">
        <v>169</v>
      </c>
      <c r="AF1798" t="s">
        <v>2909</v>
      </c>
      <c r="AG1798" t="s">
        <v>2915</v>
      </c>
      <c r="AH1798">
        <v>44</v>
      </c>
      <c r="AI1798">
        <v>1</v>
      </c>
      <c r="AJ1798">
        <v>0</v>
      </c>
      <c r="AK1798">
        <v>79.56999999999999</v>
      </c>
      <c r="AN1798" t="s">
        <v>2926</v>
      </c>
      <c r="AO1798">
        <v>9660</v>
      </c>
      <c r="AU1798" t="s">
        <v>13051</v>
      </c>
      <c r="AW1798" t="s">
        <v>76</v>
      </c>
    </row>
    <row r="1799" spans="1:50">
      <c r="A1799" s="1" t="s">
        <v>160</v>
      </c>
      <c r="B1799" t="s">
        <v>164</v>
      </c>
      <c r="C1799" t="s">
        <v>5009</v>
      </c>
      <c r="D1799" t="s">
        <v>6187</v>
      </c>
      <c r="E1799" t="s">
        <v>178</v>
      </c>
      <c r="F1799" t="s">
        <v>7529</v>
      </c>
      <c r="G1799" t="s">
        <v>8713</v>
      </c>
      <c r="H1799" t="s">
        <v>10194</v>
      </c>
      <c r="I1799" t="s">
        <v>11008</v>
      </c>
      <c r="J1799" t="s">
        <v>1643</v>
      </c>
      <c r="K1799">
        <v>10029</v>
      </c>
      <c r="L1799" t="s">
        <v>1670</v>
      </c>
      <c r="M1799" t="s">
        <v>1670</v>
      </c>
      <c r="N1799" t="s">
        <v>12364</v>
      </c>
      <c r="O1799" t="s">
        <v>1936</v>
      </c>
      <c r="P1799" t="s">
        <v>1960</v>
      </c>
      <c r="Q1799" t="s">
        <v>1969</v>
      </c>
      <c r="R1799" t="s">
        <v>50</v>
      </c>
      <c r="S1799" t="s">
        <v>1671</v>
      </c>
      <c r="U1799" t="s">
        <v>1972</v>
      </c>
      <c r="V1799" t="s">
        <v>1984</v>
      </c>
      <c r="W1799" t="s">
        <v>2000</v>
      </c>
      <c r="X1799">
        <v>1146</v>
      </c>
      <c r="Y1799" t="s">
        <v>2008</v>
      </c>
      <c r="Z1799" t="s">
        <v>2017</v>
      </c>
      <c r="AA1799" t="s">
        <v>2032</v>
      </c>
      <c r="AB1799" t="s">
        <v>14306</v>
      </c>
      <c r="AD1799" t="s">
        <v>15077</v>
      </c>
      <c r="AE1799">
        <v>400</v>
      </c>
      <c r="AF1799" t="s">
        <v>2906</v>
      </c>
      <c r="AG1799" t="s">
        <v>2919</v>
      </c>
      <c r="AH1799">
        <v>41</v>
      </c>
      <c r="AI1799">
        <v>1</v>
      </c>
      <c r="AJ1799">
        <v>0</v>
      </c>
      <c r="AK1799">
        <v>79.59999999999999</v>
      </c>
      <c r="AN1799" t="s">
        <v>2926</v>
      </c>
      <c r="AO1799">
        <v>9600</v>
      </c>
      <c r="AP1799" t="s">
        <v>18307</v>
      </c>
      <c r="AU1799">
        <v>30.7</v>
      </c>
      <c r="AV1799" t="s">
        <v>390</v>
      </c>
      <c r="AW1799" t="s">
        <v>3043</v>
      </c>
    </row>
    <row r="1800" spans="1:50">
      <c r="A1800" s="1" t="s">
        <v>73</v>
      </c>
      <c r="B1800" t="s">
        <v>164</v>
      </c>
      <c r="C1800" t="s">
        <v>5010</v>
      </c>
      <c r="D1800" t="s">
        <v>266</v>
      </c>
      <c r="E1800" t="s">
        <v>253</v>
      </c>
      <c r="F1800" t="s">
        <v>7409</v>
      </c>
      <c r="G1800" t="s">
        <v>8719</v>
      </c>
      <c r="J1800" t="s">
        <v>1654</v>
      </c>
      <c r="K1800">
        <v>11103</v>
      </c>
      <c r="L1800" t="s">
        <v>1670</v>
      </c>
      <c r="M1800" t="s">
        <v>1670</v>
      </c>
      <c r="N1800" t="s">
        <v>1691</v>
      </c>
      <c r="O1800" t="s">
        <v>1675</v>
      </c>
      <c r="P1800" t="s">
        <v>1958</v>
      </c>
      <c r="Q1800" t="s">
        <v>1965</v>
      </c>
      <c r="R1800" t="s">
        <v>50</v>
      </c>
      <c r="S1800" t="s">
        <v>1671</v>
      </c>
      <c r="U1800" t="s">
        <v>1972</v>
      </c>
      <c r="W1800" t="s">
        <v>253</v>
      </c>
      <c r="X1800" t="s">
        <v>13051</v>
      </c>
      <c r="Y1800" t="s">
        <v>2007</v>
      </c>
      <c r="AA1800" t="s">
        <v>2029</v>
      </c>
      <c r="AB1800" t="s">
        <v>14321</v>
      </c>
      <c r="AE1800" t="s">
        <v>13051</v>
      </c>
      <c r="AH1800" t="s">
        <v>13051</v>
      </c>
      <c r="AI1800">
        <v>3</v>
      </c>
      <c r="AJ1800">
        <v>0</v>
      </c>
      <c r="AK1800">
        <v>79.7</v>
      </c>
      <c r="AO1800">
        <v>17000</v>
      </c>
      <c r="AU1800">
        <v>0.05</v>
      </c>
      <c r="AV1800" t="s">
        <v>253</v>
      </c>
      <c r="AW1800" t="s">
        <v>73</v>
      </c>
    </row>
    <row r="1801" spans="1:50">
      <c r="A1801" s="1" t="s">
        <v>91</v>
      </c>
      <c r="B1801" t="s">
        <v>163</v>
      </c>
      <c r="C1801" t="s">
        <v>5011</v>
      </c>
      <c r="D1801" t="s">
        <v>3029</v>
      </c>
      <c r="F1801" t="s">
        <v>758</v>
      </c>
      <c r="G1801" t="s">
        <v>780</v>
      </c>
      <c r="H1801" t="s">
        <v>1318</v>
      </c>
      <c r="I1801" t="s">
        <v>1517</v>
      </c>
      <c r="J1801" t="s">
        <v>1643</v>
      </c>
      <c r="K1801">
        <v>10032</v>
      </c>
      <c r="L1801" t="s">
        <v>1670</v>
      </c>
      <c r="M1801" t="s">
        <v>1670</v>
      </c>
      <c r="P1801" t="s">
        <v>1960</v>
      </c>
      <c r="R1801" t="s">
        <v>50</v>
      </c>
      <c r="S1801" t="s">
        <v>1670</v>
      </c>
      <c r="U1801" t="s">
        <v>1972</v>
      </c>
      <c r="W1801" t="s">
        <v>3029</v>
      </c>
      <c r="X1801">
        <v>510.85</v>
      </c>
      <c r="Y1801" t="s">
        <v>2008</v>
      </c>
      <c r="Z1801" t="s">
        <v>2013</v>
      </c>
      <c r="AB1801" t="s">
        <v>14322</v>
      </c>
      <c r="AD1801" t="s">
        <v>16737</v>
      </c>
      <c r="AE1801">
        <v>42</v>
      </c>
      <c r="AF1801" t="s">
        <v>2902</v>
      </c>
      <c r="AG1801" t="s">
        <v>2919</v>
      </c>
      <c r="AH1801">
        <v>32</v>
      </c>
      <c r="AI1801">
        <v>1</v>
      </c>
      <c r="AJ1801">
        <v>0</v>
      </c>
      <c r="AK1801">
        <v>79.87</v>
      </c>
      <c r="AN1801" t="s">
        <v>2927</v>
      </c>
      <c r="AO1801">
        <v>9696</v>
      </c>
      <c r="AU1801" t="s">
        <v>13051</v>
      </c>
      <c r="AW1801" t="s">
        <v>3042</v>
      </c>
    </row>
    <row r="1802" spans="1:50">
      <c r="A1802" s="1" t="s">
        <v>96</v>
      </c>
      <c r="B1802" t="s">
        <v>164</v>
      </c>
      <c r="C1802" t="s">
        <v>5012</v>
      </c>
      <c r="D1802" t="s">
        <v>3040</v>
      </c>
      <c r="E1802" t="s">
        <v>285</v>
      </c>
      <c r="F1802" t="s">
        <v>7471</v>
      </c>
      <c r="G1802" t="s">
        <v>8720</v>
      </c>
      <c r="H1802" t="s">
        <v>1276</v>
      </c>
      <c r="I1802">
        <v>2</v>
      </c>
      <c r="J1802" t="s">
        <v>1644</v>
      </c>
      <c r="K1802">
        <v>11238</v>
      </c>
      <c r="L1802" t="s">
        <v>1670</v>
      </c>
      <c r="M1802" t="s">
        <v>1670</v>
      </c>
      <c r="N1802" t="s">
        <v>12365</v>
      </c>
      <c r="O1802" t="s">
        <v>1936</v>
      </c>
      <c r="P1802" t="s">
        <v>1960</v>
      </c>
      <c r="Q1802" t="s">
        <v>1969</v>
      </c>
      <c r="R1802" t="s">
        <v>50</v>
      </c>
      <c r="S1802" t="s">
        <v>1671</v>
      </c>
      <c r="U1802" t="s">
        <v>1972</v>
      </c>
      <c r="V1802" t="s">
        <v>1984</v>
      </c>
      <c r="W1802" t="s">
        <v>383</v>
      </c>
      <c r="X1802">
        <v>909.72</v>
      </c>
      <c r="Y1802" t="s">
        <v>2009</v>
      </c>
      <c r="Z1802" t="s">
        <v>2020</v>
      </c>
      <c r="AA1802" t="s">
        <v>2032</v>
      </c>
      <c r="AB1802" t="s">
        <v>14323</v>
      </c>
      <c r="AD1802" t="s">
        <v>16738</v>
      </c>
      <c r="AE1802">
        <v>41</v>
      </c>
      <c r="AF1802" t="s">
        <v>2902</v>
      </c>
      <c r="AG1802" t="s">
        <v>1754</v>
      </c>
      <c r="AH1802">
        <v>4</v>
      </c>
      <c r="AI1802">
        <v>2</v>
      </c>
      <c r="AJ1802">
        <v>0</v>
      </c>
      <c r="AK1802">
        <v>80.05</v>
      </c>
      <c r="AN1802" t="s">
        <v>2926</v>
      </c>
      <c r="AO1802">
        <v>13176</v>
      </c>
      <c r="AQ1802" t="s">
        <v>2979</v>
      </c>
      <c r="AR1802" t="s">
        <v>2988</v>
      </c>
      <c r="AS1802" t="s">
        <v>2992</v>
      </c>
      <c r="AT1802" t="s">
        <v>18571</v>
      </c>
      <c r="AU1802">
        <v>12.2</v>
      </c>
      <c r="AV1802" t="s">
        <v>285</v>
      </c>
      <c r="AW1802" t="s">
        <v>3074</v>
      </c>
    </row>
    <row r="1803" spans="1:50">
      <c r="A1803" s="1" t="s">
        <v>3180</v>
      </c>
      <c r="B1803" t="s">
        <v>164</v>
      </c>
      <c r="C1803" t="s">
        <v>5013</v>
      </c>
      <c r="D1803" t="s">
        <v>165</v>
      </c>
      <c r="E1803" t="s">
        <v>256</v>
      </c>
      <c r="F1803" t="s">
        <v>668</v>
      </c>
      <c r="G1803" t="s">
        <v>1016</v>
      </c>
      <c r="H1803" t="s">
        <v>10204</v>
      </c>
      <c r="I1803" t="s">
        <v>1524</v>
      </c>
      <c r="J1803" t="s">
        <v>1644</v>
      </c>
      <c r="K1803">
        <v>11208</v>
      </c>
      <c r="L1803" t="s">
        <v>1670</v>
      </c>
      <c r="M1803" t="s">
        <v>1670</v>
      </c>
      <c r="N1803" t="s">
        <v>12366</v>
      </c>
      <c r="O1803" t="s">
        <v>1940</v>
      </c>
      <c r="P1803" t="s">
        <v>1958</v>
      </c>
      <c r="Q1803" t="s">
        <v>1965</v>
      </c>
      <c r="R1803" t="s">
        <v>50</v>
      </c>
      <c r="S1803" t="s">
        <v>1671</v>
      </c>
      <c r="U1803" t="s">
        <v>1972</v>
      </c>
      <c r="V1803" t="s">
        <v>1984</v>
      </c>
      <c r="W1803" t="s">
        <v>338</v>
      </c>
      <c r="X1803" t="s">
        <v>13051</v>
      </c>
      <c r="Y1803" t="s">
        <v>2009</v>
      </c>
      <c r="Z1803" t="s">
        <v>2014</v>
      </c>
      <c r="AA1803" t="s">
        <v>2029</v>
      </c>
      <c r="AB1803" t="s">
        <v>14324</v>
      </c>
      <c r="AD1803" t="s">
        <v>16739</v>
      </c>
      <c r="AE1803">
        <v>3</v>
      </c>
      <c r="AF1803" t="s">
        <v>2903</v>
      </c>
      <c r="AG1803" t="s">
        <v>1754</v>
      </c>
      <c r="AH1803">
        <v>12</v>
      </c>
      <c r="AI1803">
        <v>1</v>
      </c>
      <c r="AJ1803">
        <v>0</v>
      </c>
      <c r="AK1803">
        <v>80.06</v>
      </c>
      <c r="AN1803" t="s">
        <v>2926</v>
      </c>
      <c r="AO1803">
        <v>10000</v>
      </c>
      <c r="AU1803">
        <v>1</v>
      </c>
      <c r="AV1803" t="s">
        <v>256</v>
      </c>
      <c r="AW1803" t="s">
        <v>3069</v>
      </c>
    </row>
    <row r="1804" spans="1:50">
      <c r="A1804" s="1" t="s">
        <v>101</v>
      </c>
      <c r="B1804" t="s">
        <v>164</v>
      </c>
      <c r="C1804" t="s">
        <v>5014</v>
      </c>
      <c r="D1804" t="s">
        <v>295</v>
      </c>
      <c r="E1804" t="s">
        <v>354</v>
      </c>
      <c r="F1804" t="s">
        <v>7312</v>
      </c>
      <c r="G1804" t="s">
        <v>8721</v>
      </c>
      <c r="H1804" t="s">
        <v>9665</v>
      </c>
      <c r="I1804" t="s">
        <v>1504</v>
      </c>
      <c r="J1804" t="s">
        <v>1643</v>
      </c>
      <c r="K1804">
        <v>10035</v>
      </c>
      <c r="L1804" t="s">
        <v>1670</v>
      </c>
      <c r="M1804" t="s">
        <v>1670</v>
      </c>
      <c r="O1804" t="s">
        <v>1675</v>
      </c>
      <c r="P1804" t="s">
        <v>1962</v>
      </c>
      <c r="Q1804" t="s">
        <v>1968</v>
      </c>
      <c r="R1804" t="s">
        <v>50</v>
      </c>
      <c r="S1804" t="s">
        <v>1671</v>
      </c>
      <c r="U1804" t="s">
        <v>1972</v>
      </c>
      <c r="V1804" t="s">
        <v>1984</v>
      </c>
      <c r="W1804" t="s">
        <v>295</v>
      </c>
      <c r="X1804">
        <v>858.95</v>
      </c>
      <c r="Y1804" t="s">
        <v>2008</v>
      </c>
      <c r="Z1804" t="s">
        <v>2020</v>
      </c>
      <c r="AA1804" t="s">
        <v>2029</v>
      </c>
      <c r="AB1804" t="s">
        <v>14325</v>
      </c>
      <c r="AD1804" t="s">
        <v>16740</v>
      </c>
      <c r="AE1804">
        <v>35</v>
      </c>
      <c r="AF1804" t="s">
        <v>2902</v>
      </c>
      <c r="AG1804" t="s">
        <v>1754</v>
      </c>
      <c r="AH1804">
        <v>24</v>
      </c>
      <c r="AI1804">
        <v>1</v>
      </c>
      <c r="AJ1804">
        <v>0</v>
      </c>
      <c r="AK1804">
        <v>80.06</v>
      </c>
      <c r="AN1804" t="s">
        <v>2927</v>
      </c>
      <c r="AO1804">
        <v>10000</v>
      </c>
      <c r="AU1804">
        <v>0.3</v>
      </c>
      <c r="AV1804" t="s">
        <v>354</v>
      </c>
      <c r="AW1804" t="s">
        <v>3051</v>
      </c>
      <c r="AX1804" t="s">
        <v>18685</v>
      </c>
    </row>
    <row r="1805" spans="1:50">
      <c r="A1805" s="1" t="s">
        <v>135</v>
      </c>
      <c r="B1805" t="s">
        <v>163</v>
      </c>
      <c r="C1805" t="s">
        <v>5015</v>
      </c>
      <c r="D1805" t="s">
        <v>269</v>
      </c>
      <c r="F1805" t="s">
        <v>7537</v>
      </c>
      <c r="G1805" t="s">
        <v>8722</v>
      </c>
      <c r="H1805" t="s">
        <v>10205</v>
      </c>
      <c r="I1805" t="s">
        <v>1509</v>
      </c>
      <c r="J1805" t="s">
        <v>1644</v>
      </c>
      <c r="K1805">
        <v>11233</v>
      </c>
      <c r="L1805" t="s">
        <v>1670</v>
      </c>
      <c r="M1805" t="s">
        <v>1670</v>
      </c>
      <c r="O1805" t="s">
        <v>1937</v>
      </c>
      <c r="P1805" t="s">
        <v>1962</v>
      </c>
      <c r="R1805" t="s">
        <v>50</v>
      </c>
      <c r="S1805" t="s">
        <v>1671</v>
      </c>
      <c r="U1805" t="s">
        <v>1972</v>
      </c>
      <c r="V1805" t="s">
        <v>1984</v>
      </c>
      <c r="W1805" t="s">
        <v>203</v>
      </c>
      <c r="X1805" t="s">
        <v>13051</v>
      </c>
      <c r="Y1805" t="s">
        <v>2009</v>
      </c>
      <c r="Z1805" t="s">
        <v>2020</v>
      </c>
      <c r="AB1805" t="s">
        <v>14326</v>
      </c>
      <c r="AD1805" t="s">
        <v>16741</v>
      </c>
      <c r="AE1805">
        <v>6</v>
      </c>
      <c r="AF1805" t="s">
        <v>2902</v>
      </c>
      <c r="AH1805" t="s">
        <v>13051</v>
      </c>
      <c r="AI1805">
        <v>1</v>
      </c>
      <c r="AJ1805">
        <v>0</v>
      </c>
      <c r="AK1805">
        <v>80.06</v>
      </c>
      <c r="AN1805" t="s">
        <v>2926</v>
      </c>
      <c r="AO1805">
        <v>10000</v>
      </c>
      <c r="AU1805">
        <v>24.1</v>
      </c>
      <c r="AV1805" t="s">
        <v>361</v>
      </c>
      <c r="AW1805" t="s">
        <v>3060</v>
      </c>
    </row>
    <row r="1806" spans="1:50">
      <c r="A1806" s="1" t="s">
        <v>82</v>
      </c>
      <c r="B1806" t="s">
        <v>163</v>
      </c>
      <c r="C1806" t="s">
        <v>5016</v>
      </c>
      <c r="D1806" t="s">
        <v>179</v>
      </c>
      <c r="F1806" t="s">
        <v>7538</v>
      </c>
      <c r="G1806" t="s">
        <v>999</v>
      </c>
      <c r="H1806" t="s">
        <v>9442</v>
      </c>
      <c r="I1806" t="s">
        <v>11301</v>
      </c>
      <c r="J1806" t="s">
        <v>1644</v>
      </c>
      <c r="K1806">
        <v>11233</v>
      </c>
      <c r="L1806" t="s">
        <v>1670</v>
      </c>
      <c r="M1806" t="s">
        <v>1672</v>
      </c>
      <c r="N1806" t="s">
        <v>1675</v>
      </c>
      <c r="O1806" t="s">
        <v>1937</v>
      </c>
      <c r="P1806" t="s">
        <v>1962</v>
      </c>
      <c r="R1806" t="s">
        <v>50</v>
      </c>
      <c r="S1806" t="s">
        <v>1670</v>
      </c>
      <c r="U1806" t="s">
        <v>1972</v>
      </c>
      <c r="V1806" t="s">
        <v>1984</v>
      </c>
      <c r="W1806" t="s">
        <v>221</v>
      </c>
      <c r="X1806">
        <v>1099.98</v>
      </c>
      <c r="Y1806" t="s">
        <v>2009</v>
      </c>
      <c r="Z1806" t="s">
        <v>2017</v>
      </c>
      <c r="AB1806" t="s">
        <v>14327</v>
      </c>
      <c r="AE1806">
        <v>359</v>
      </c>
      <c r="AF1806" t="s">
        <v>2902</v>
      </c>
      <c r="AH1806">
        <v>51</v>
      </c>
      <c r="AI1806">
        <v>1</v>
      </c>
      <c r="AJ1806">
        <v>0</v>
      </c>
      <c r="AK1806">
        <v>80.06</v>
      </c>
      <c r="AN1806" t="s">
        <v>2926</v>
      </c>
      <c r="AO1806">
        <v>10000</v>
      </c>
      <c r="AP1806" t="s">
        <v>18308</v>
      </c>
      <c r="AU1806" t="s">
        <v>13051</v>
      </c>
      <c r="AW1806" t="s">
        <v>3059</v>
      </c>
      <c r="AX1806" t="s">
        <v>1754</v>
      </c>
    </row>
    <row r="1807" spans="1:50">
      <c r="A1807" s="1" t="s">
        <v>135</v>
      </c>
      <c r="B1807" t="s">
        <v>163</v>
      </c>
      <c r="C1807" t="s">
        <v>5017</v>
      </c>
      <c r="D1807" t="s">
        <v>269</v>
      </c>
      <c r="F1807" t="s">
        <v>7537</v>
      </c>
      <c r="G1807" t="s">
        <v>8722</v>
      </c>
      <c r="H1807" t="s">
        <v>10205</v>
      </c>
      <c r="I1807" t="s">
        <v>1509</v>
      </c>
      <c r="J1807" t="s">
        <v>1644</v>
      </c>
      <c r="K1807">
        <v>11233</v>
      </c>
      <c r="L1807" t="s">
        <v>1670</v>
      </c>
      <c r="M1807" t="s">
        <v>1670</v>
      </c>
      <c r="O1807" t="s">
        <v>1945</v>
      </c>
      <c r="P1807" t="s">
        <v>1962</v>
      </c>
      <c r="R1807" t="s">
        <v>50</v>
      </c>
      <c r="S1807" t="s">
        <v>1671</v>
      </c>
      <c r="U1807" t="s">
        <v>1972</v>
      </c>
      <c r="V1807" t="s">
        <v>1984</v>
      </c>
      <c r="W1807" t="s">
        <v>203</v>
      </c>
      <c r="X1807" t="s">
        <v>13051</v>
      </c>
      <c r="Y1807" t="s">
        <v>2009</v>
      </c>
      <c r="AB1807" t="s">
        <v>14326</v>
      </c>
      <c r="AD1807" t="s">
        <v>16741</v>
      </c>
      <c r="AE1807">
        <v>6</v>
      </c>
      <c r="AF1807" t="s">
        <v>2902</v>
      </c>
      <c r="AH1807" t="s">
        <v>13051</v>
      </c>
      <c r="AI1807">
        <v>1</v>
      </c>
      <c r="AJ1807">
        <v>0</v>
      </c>
      <c r="AK1807">
        <v>80.06</v>
      </c>
      <c r="AN1807" t="s">
        <v>2926</v>
      </c>
      <c r="AO1807">
        <v>10000</v>
      </c>
      <c r="AP1807" t="s">
        <v>18309</v>
      </c>
      <c r="AU1807" t="s">
        <v>13051</v>
      </c>
      <c r="AW1807" t="s">
        <v>3060</v>
      </c>
    </row>
    <row r="1808" spans="1:50">
      <c r="A1808" s="1" t="s">
        <v>125</v>
      </c>
      <c r="B1808" t="s">
        <v>163</v>
      </c>
      <c r="C1808" t="s">
        <v>5018</v>
      </c>
      <c r="D1808" t="s">
        <v>277</v>
      </c>
      <c r="F1808" t="s">
        <v>7539</v>
      </c>
      <c r="G1808" t="s">
        <v>8499</v>
      </c>
      <c r="H1808" t="s">
        <v>9428</v>
      </c>
      <c r="I1808" t="s">
        <v>11050</v>
      </c>
      <c r="J1808" t="s">
        <v>1644</v>
      </c>
      <c r="K1808">
        <v>11226</v>
      </c>
      <c r="L1808" t="s">
        <v>1671</v>
      </c>
      <c r="M1808" t="s">
        <v>1670</v>
      </c>
      <c r="O1808" t="s">
        <v>1938</v>
      </c>
      <c r="P1808" t="s">
        <v>1959</v>
      </c>
      <c r="R1808" t="s">
        <v>50</v>
      </c>
      <c r="S1808" t="s">
        <v>1670</v>
      </c>
      <c r="U1808" t="s">
        <v>1972</v>
      </c>
      <c r="W1808" t="s">
        <v>307</v>
      </c>
      <c r="X1808">
        <v>916</v>
      </c>
      <c r="Y1808" t="s">
        <v>2009</v>
      </c>
      <c r="AB1808" t="s">
        <v>223</v>
      </c>
      <c r="AE1808" t="s">
        <v>13051</v>
      </c>
      <c r="AH1808">
        <v>33</v>
      </c>
      <c r="AI1808">
        <v>1</v>
      </c>
      <c r="AJ1808">
        <v>0</v>
      </c>
      <c r="AK1808">
        <v>80.06</v>
      </c>
      <c r="AN1808" t="s">
        <v>2926</v>
      </c>
      <c r="AO1808">
        <v>10000</v>
      </c>
      <c r="AU1808" t="s">
        <v>13051</v>
      </c>
      <c r="AW1808" t="s">
        <v>158</v>
      </c>
    </row>
    <row r="1809" spans="1:50">
      <c r="A1809" s="1" t="s">
        <v>54</v>
      </c>
      <c r="B1809" t="s">
        <v>163</v>
      </c>
      <c r="C1809" t="s">
        <v>5019</v>
      </c>
      <c r="D1809" t="s">
        <v>369</v>
      </c>
      <c r="F1809" t="s">
        <v>415</v>
      </c>
      <c r="G1809" t="s">
        <v>8723</v>
      </c>
      <c r="H1809" t="s">
        <v>10004</v>
      </c>
      <c r="I1809" t="s">
        <v>1522</v>
      </c>
      <c r="J1809" t="s">
        <v>1643</v>
      </c>
      <c r="K1809">
        <v>10034</v>
      </c>
      <c r="L1809" t="s">
        <v>1670</v>
      </c>
      <c r="M1809" t="s">
        <v>1672</v>
      </c>
      <c r="O1809" t="s">
        <v>1936</v>
      </c>
      <c r="P1809" t="s">
        <v>1959</v>
      </c>
      <c r="R1809" t="s">
        <v>50</v>
      </c>
      <c r="S1809" t="s">
        <v>1670</v>
      </c>
      <c r="U1809" t="s">
        <v>1972</v>
      </c>
      <c r="W1809" t="s">
        <v>369</v>
      </c>
      <c r="X1809">
        <v>1270</v>
      </c>
      <c r="Y1809" t="s">
        <v>2008</v>
      </c>
      <c r="Z1809" t="s">
        <v>2013</v>
      </c>
      <c r="AB1809" t="s">
        <v>14328</v>
      </c>
      <c r="AC1809" t="s">
        <v>15216</v>
      </c>
      <c r="AD1809" t="s">
        <v>16742</v>
      </c>
      <c r="AE1809">
        <v>44</v>
      </c>
      <c r="AF1809" t="s">
        <v>2902</v>
      </c>
      <c r="AG1809" t="s">
        <v>1754</v>
      </c>
      <c r="AH1809">
        <v>5</v>
      </c>
      <c r="AI1809">
        <v>1</v>
      </c>
      <c r="AJ1809">
        <v>0</v>
      </c>
      <c r="AK1809">
        <v>80.06</v>
      </c>
      <c r="AN1809" t="s">
        <v>2926</v>
      </c>
      <c r="AO1809">
        <v>10000</v>
      </c>
      <c r="AU1809">
        <v>6.4</v>
      </c>
      <c r="AV1809" t="s">
        <v>397</v>
      </c>
      <c r="AW1809" t="s">
        <v>3042</v>
      </c>
      <c r="AX1809" t="s">
        <v>18685</v>
      </c>
    </row>
    <row r="1810" spans="1:50">
      <c r="A1810" s="1" t="s">
        <v>135</v>
      </c>
      <c r="B1810" t="s">
        <v>163</v>
      </c>
      <c r="C1810" t="s">
        <v>5020</v>
      </c>
      <c r="D1810" t="s">
        <v>219</v>
      </c>
      <c r="F1810" t="s">
        <v>7537</v>
      </c>
      <c r="G1810" t="s">
        <v>8722</v>
      </c>
      <c r="H1810" t="s">
        <v>10205</v>
      </c>
      <c r="I1810" t="s">
        <v>1509</v>
      </c>
      <c r="J1810" t="s">
        <v>1644</v>
      </c>
      <c r="K1810">
        <v>11233</v>
      </c>
      <c r="L1810" t="s">
        <v>1670</v>
      </c>
      <c r="M1810" t="s">
        <v>1670</v>
      </c>
      <c r="O1810" t="s">
        <v>1938</v>
      </c>
      <c r="P1810" t="s">
        <v>1961</v>
      </c>
      <c r="R1810" t="s">
        <v>50</v>
      </c>
      <c r="U1810" t="s">
        <v>1972</v>
      </c>
      <c r="W1810" t="s">
        <v>219</v>
      </c>
      <c r="X1810">
        <v>606</v>
      </c>
      <c r="Y1810" t="s">
        <v>2009</v>
      </c>
      <c r="AB1810" t="s">
        <v>14326</v>
      </c>
      <c r="AD1810" t="s">
        <v>16741</v>
      </c>
      <c r="AE1810">
        <v>6</v>
      </c>
      <c r="AF1810" t="s">
        <v>2902</v>
      </c>
      <c r="AG1810" t="s">
        <v>1754</v>
      </c>
      <c r="AH1810">
        <v>40</v>
      </c>
      <c r="AI1810">
        <v>1</v>
      </c>
      <c r="AJ1810">
        <v>0</v>
      </c>
      <c r="AK1810">
        <v>80.06</v>
      </c>
      <c r="AN1810" t="s">
        <v>2926</v>
      </c>
      <c r="AO1810">
        <v>10000</v>
      </c>
      <c r="AU1810">
        <v>0.2</v>
      </c>
      <c r="AV1810" t="s">
        <v>219</v>
      </c>
      <c r="AW1810" t="s">
        <v>135</v>
      </c>
    </row>
    <row r="1811" spans="1:50">
      <c r="A1811" s="1" t="s">
        <v>82</v>
      </c>
      <c r="B1811" t="s">
        <v>163</v>
      </c>
      <c r="C1811" t="s">
        <v>5021</v>
      </c>
      <c r="D1811" t="s">
        <v>179</v>
      </c>
      <c r="F1811" t="s">
        <v>7538</v>
      </c>
      <c r="G1811" t="s">
        <v>999</v>
      </c>
      <c r="H1811" t="s">
        <v>9442</v>
      </c>
      <c r="I1811" t="s">
        <v>11301</v>
      </c>
      <c r="J1811" t="s">
        <v>1644</v>
      </c>
      <c r="K1811">
        <v>11233</v>
      </c>
      <c r="L1811" t="s">
        <v>1670</v>
      </c>
      <c r="M1811" t="s">
        <v>1672</v>
      </c>
      <c r="N1811" t="s">
        <v>1754</v>
      </c>
      <c r="O1811" t="s">
        <v>1938</v>
      </c>
      <c r="P1811" t="s">
        <v>1961</v>
      </c>
      <c r="R1811" t="s">
        <v>50</v>
      </c>
      <c r="S1811" t="s">
        <v>1670</v>
      </c>
      <c r="U1811" t="s">
        <v>1972</v>
      </c>
      <c r="V1811" t="s">
        <v>1984</v>
      </c>
      <c r="W1811" t="s">
        <v>248</v>
      </c>
      <c r="X1811">
        <v>1099.98</v>
      </c>
      <c r="Y1811" t="s">
        <v>2009</v>
      </c>
      <c r="Z1811" t="s">
        <v>2017</v>
      </c>
      <c r="AB1811" t="s">
        <v>14327</v>
      </c>
      <c r="AE1811">
        <v>359</v>
      </c>
      <c r="AF1811" t="s">
        <v>2902</v>
      </c>
      <c r="AH1811">
        <v>51</v>
      </c>
      <c r="AI1811">
        <v>1</v>
      </c>
      <c r="AJ1811">
        <v>0</v>
      </c>
      <c r="AK1811">
        <v>80.06</v>
      </c>
      <c r="AN1811" t="s">
        <v>2926</v>
      </c>
      <c r="AO1811">
        <v>10000</v>
      </c>
      <c r="AP1811" t="s">
        <v>18071</v>
      </c>
      <c r="AU1811" t="s">
        <v>13051</v>
      </c>
      <c r="AW1811" t="s">
        <v>3059</v>
      </c>
      <c r="AX1811" t="s">
        <v>1754</v>
      </c>
    </row>
    <row r="1812" spans="1:50">
      <c r="A1812" s="1" t="s">
        <v>96</v>
      </c>
      <c r="B1812" t="s">
        <v>163</v>
      </c>
      <c r="C1812" t="s">
        <v>5022</v>
      </c>
      <c r="D1812" t="s">
        <v>277</v>
      </c>
      <c r="F1812" t="s">
        <v>7539</v>
      </c>
      <c r="G1812" t="s">
        <v>8499</v>
      </c>
      <c r="H1812" t="s">
        <v>9428</v>
      </c>
      <c r="J1812" t="s">
        <v>1644</v>
      </c>
      <c r="K1812">
        <v>11226</v>
      </c>
      <c r="L1812" t="s">
        <v>1671</v>
      </c>
      <c r="M1812" t="s">
        <v>1670</v>
      </c>
      <c r="P1812" t="s">
        <v>1961</v>
      </c>
      <c r="R1812" t="s">
        <v>50</v>
      </c>
      <c r="S1812" t="s">
        <v>1670</v>
      </c>
      <c r="U1812" t="s">
        <v>1972</v>
      </c>
      <c r="W1812" t="s">
        <v>223</v>
      </c>
      <c r="X1812">
        <v>916</v>
      </c>
      <c r="Y1812" t="s">
        <v>2009</v>
      </c>
      <c r="AB1812" t="s">
        <v>223</v>
      </c>
      <c r="AE1812" t="s">
        <v>13051</v>
      </c>
      <c r="AH1812">
        <v>33</v>
      </c>
      <c r="AI1812">
        <v>1</v>
      </c>
      <c r="AJ1812">
        <v>0</v>
      </c>
      <c r="AK1812">
        <v>80.06</v>
      </c>
      <c r="AN1812" t="s">
        <v>2926</v>
      </c>
      <c r="AO1812">
        <v>10000</v>
      </c>
      <c r="AU1812" t="s">
        <v>13051</v>
      </c>
      <c r="AW1812" t="s">
        <v>158</v>
      </c>
    </row>
    <row r="1813" spans="1:50">
      <c r="A1813" s="1" t="s">
        <v>135</v>
      </c>
      <c r="B1813" t="s">
        <v>163</v>
      </c>
      <c r="C1813" t="s">
        <v>5023</v>
      </c>
      <c r="D1813" t="s">
        <v>269</v>
      </c>
      <c r="F1813" t="s">
        <v>7537</v>
      </c>
      <c r="G1813" t="s">
        <v>8722</v>
      </c>
      <c r="H1813" t="s">
        <v>10205</v>
      </c>
      <c r="I1813" t="s">
        <v>1509</v>
      </c>
      <c r="J1813" t="s">
        <v>1644</v>
      </c>
      <c r="K1813">
        <v>11233</v>
      </c>
      <c r="L1813" t="s">
        <v>1670</v>
      </c>
      <c r="M1813" t="s">
        <v>1670</v>
      </c>
      <c r="O1813" t="s">
        <v>1939</v>
      </c>
      <c r="P1813" t="s">
        <v>1960</v>
      </c>
      <c r="R1813" t="s">
        <v>50</v>
      </c>
      <c r="S1813" t="s">
        <v>1671</v>
      </c>
      <c r="U1813" t="s">
        <v>1972</v>
      </c>
      <c r="V1813" t="s">
        <v>1984</v>
      </c>
      <c r="W1813" t="s">
        <v>203</v>
      </c>
      <c r="X1813" t="s">
        <v>13051</v>
      </c>
      <c r="Y1813" t="s">
        <v>2009</v>
      </c>
      <c r="AB1813" t="s">
        <v>14326</v>
      </c>
      <c r="AD1813" t="s">
        <v>16741</v>
      </c>
      <c r="AE1813">
        <v>6</v>
      </c>
      <c r="AF1813" t="s">
        <v>2902</v>
      </c>
      <c r="AH1813" t="s">
        <v>13051</v>
      </c>
      <c r="AI1813">
        <v>1</v>
      </c>
      <c r="AJ1813">
        <v>0</v>
      </c>
      <c r="AK1813">
        <v>80.06</v>
      </c>
      <c r="AN1813" t="s">
        <v>2926</v>
      </c>
      <c r="AO1813">
        <v>10000</v>
      </c>
      <c r="AP1813" t="s">
        <v>18309</v>
      </c>
      <c r="AU1813" t="s">
        <v>13051</v>
      </c>
      <c r="AW1813" t="s">
        <v>3060</v>
      </c>
    </row>
    <row r="1814" spans="1:50">
      <c r="A1814" s="1" t="s">
        <v>97</v>
      </c>
      <c r="B1814" t="s">
        <v>163</v>
      </c>
      <c r="C1814" t="s">
        <v>5024</v>
      </c>
      <c r="D1814" t="s">
        <v>364</v>
      </c>
      <c r="F1814" t="s">
        <v>7540</v>
      </c>
      <c r="G1814" t="s">
        <v>907</v>
      </c>
      <c r="H1814" t="s">
        <v>10206</v>
      </c>
      <c r="I1814" t="s">
        <v>11302</v>
      </c>
      <c r="J1814" t="s">
        <v>1643</v>
      </c>
      <c r="K1814">
        <v>10034</v>
      </c>
      <c r="L1814" t="s">
        <v>1670</v>
      </c>
      <c r="M1814" t="s">
        <v>1672</v>
      </c>
      <c r="O1814" t="s">
        <v>1941</v>
      </c>
      <c r="P1814" t="s">
        <v>1958</v>
      </c>
      <c r="R1814" t="s">
        <v>50</v>
      </c>
      <c r="S1814" t="s">
        <v>1671</v>
      </c>
      <c r="U1814" t="s">
        <v>1972</v>
      </c>
      <c r="W1814" t="s">
        <v>364</v>
      </c>
      <c r="X1814">
        <v>215.56</v>
      </c>
      <c r="Y1814" t="s">
        <v>2008</v>
      </c>
      <c r="Z1814" t="s">
        <v>2020</v>
      </c>
      <c r="AB1814" t="s">
        <v>14329</v>
      </c>
      <c r="AD1814" t="s">
        <v>16743</v>
      </c>
      <c r="AE1814">
        <v>21</v>
      </c>
      <c r="AF1814" t="s">
        <v>2902</v>
      </c>
      <c r="AG1814" t="s">
        <v>2919</v>
      </c>
      <c r="AH1814">
        <v>25</v>
      </c>
      <c r="AI1814">
        <v>1</v>
      </c>
      <c r="AJ1814">
        <v>0</v>
      </c>
      <c r="AK1814">
        <v>80.22</v>
      </c>
      <c r="AN1814" t="s">
        <v>2927</v>
      </c>
      <c r="AO1814">
        <v>10020</v>
      </c>
      <c r="AU1814">
        <v>3.2</v>
      </c>
      <c r="AV1814" t="s">
        <v>188</v>
      </c>
      <c r="AW1814" t="s">
        <v>3042</v>
      </c>
      <c r="AX1814" t="s">
        <v>18685</v>
      </c>
    </row>
    <row r="1815" spans="1:50">
      <c r="A1815" s="1" t="s">
        <v>104</v>
      </c>
      <c r="B1815" t="s">
        <v>164</v>
      </c>
      <c r="C1815" t="s">
        <v>5025</v>
      </c>
      <c r="D1815" t="s">
        <v>216</v>
      </c>
      <c r="E1815" t="s">
        <v>191</v>
      </c>
      <c r="F1815" t="s">
        <v>6996</v>
      </c>
      <c r="G1815" t="s">
        <v>8724</v>
      </c>
      <c r="H1815" t="s">
        <v>10207</v>
      </c>
      <c r="J1815" t="s">
        <v>1646</v>
      </c>
      <c r="K1815">
        <v>10312</v>
      </c>
      <c r="L1815" t="s">
        <v>1670</v>
      </c>
      <c r="M1815" t="s">
        <v>1670</v>
      </c>
      <c r="N1815" t="s">
        <v>12367</v>
      </c>
      <c r="O1815" t="s">
        <v>1940</v>
      </c>
      <c r="P1815" t="s">
        <v>1960</v>
      </c>
      <c r="Q1815" t="s">
        <v>1969</v>
      </c>
      <c r="R1815" t="s">
        <v>51</v>
      </c>
      <c r="S1815" t="s">
        <v>1671</v>
      </c>
      <c r="U1815" t="s">
        <v>1972</v>
      </c>
      <c r="V1815" t="s">
        <v>1984</v>
      </c>
      <c r="W1815" t="s">
        <v>216</v>
      </c>
      <c r="X1815" t="s">
        <v>13051</v>
      </c>
      <c r="Y1815" t="s">
        <v>2010</v>
      </c>
      <c r="Z1815" t="s">
        <v>2012</v>
      </c>
      <c r="AA1815" t="s">
        <v>2032</v>
      </c>
      <c r="AB1815" t="s">
        <v>14330</v>
      </c>
      <c r="AD1815" t="s">
        <v>16744</v>
      </c>
      <c r="AE1815">
        <v>44</v>
      </c>
      <c r="AF1815" t="s">
        <v>2903</v>
      </c>
      <c r="AG1815" t="s">
        <v>1754</v>
      </c>
      <c r="AH1815">
        <v>4</v>
      </c>
      <c r="AI1815">
        <v>1</v>
      </c>
      <c r="AJ1815">
        <v>0</v>
      </c>
      <c r="AK1815">
        <v>80.26000000000001</v>
      </c>
      <c r="AL1815" t="s">
        <v>2923</v>
      </c>
      <c r="AM1815" t="s">
        <v>2924</v>
      </c>
      <c r="AN1815" t="s">
        <v>2926</v>
      </c>
      <c r="AO1815">
        <v>9744</v>
      </c>
      <c r="AQ1815" t="s">
        <v>2979</v>
      </c>
      <c r="AR1815" t="s">
        <v>2017</v>
      </c>
      <c r="AS1815" t="s">
        <v>2992</v>
      </c>
      <c r="AT1815" t="s">
        <v>18572</v>
      </c>
      <c r="AU1815">
        <v>5.9</v>
      </c>
      <c r="AV1815" t="s">
        <v>191</v>
      </c>
      <c r="AW1815" t="s">
        <v>112</v>
      </c>
      <c r="AX1815" t="s">
        <v>18685</v>
      </c>
    </row>
    <row r="1816" spans="1:50">
      <c r="A1816" s="1" t="s">
        <v>127</v>
      </c>
      <c r="B1816" t="s">
        <v>164</v>
      </c>
      <c r="C1816" t="s">
        <v>5026</v>
      </c>
      <c r="D1816" t="s">
        <v>288</v>
      </c>
      <c r="E1816" t="s">
        <v>385</v>
      </c>
      <c r="F1816" t="s">
        <v>7520</v>
      </c>
      <c r="G1816" t="s">
        <v>8698</v>
      </c>
      <c r="H1816" t="s">
        <v>9783</v>
      </c>
      <c r="J1816" t="s">
        <v>1644</v>
      </c>
      <c r="K1816">
        <v>11208</v>
      </c>
      <c r="L1816" t="s">
        <v>1670</v>
      </c>
      <c r="M1816" t="s">
        <v>1670</v>
      </c>
      <c r="N1816" t="s">
        <v>12185</v>
      </c>
      <c r="O1816" t="s">
        <v>1940</v>
      </c>
      <c r="P1816" t="s">
        <v>1960</v>
      </c>
      <c r="Q1816" t="s">
        <v>1965</v>
      </c>
      <c r="R1816" t="s">
        <v>50</v>
      </c>
      <c r="S1816" t="s">
        <v>1670</v>
      </c>
      <c r="U1816" t="s">
        <v>1972</v>
      </c>
      <c r="V1816" t="s">
        <v>1984</v>
      </c>
      <c r="W1816" t="s">
        <v>284</v>
      </c>
      <c r="X1816">
        <v>320</v>
      </c>
      <c r="Y1816" t="s">
        <v>2009</v>
      </c>
      <c r="AA1816" t="s">
        <v>2033</v>
      </c>
      <c r="AB1816" t="s">
        <v>14284</v>
      </c>
      <c r="AD1816" t="s">
        <v>16706</v>
      </c>
      <c r="AE1816">
        <v>7</v>
      </c>
      <c r="AH1816">
        <v>4</v>
      </c>
      <c r="AI1816">
        <v>1</v>
      </c>
      <c r="AJ1816">
        <v>0</v>
      </c>
      <c r="AK1816">
        <v>80.26000000000001</v>
      </c>
      <c r="AN1816" t="s">
        <v>18045</v>
      </c>
      <c r="AO1816">
        <v>9744</v>
      </c>
      <c r="AP1816" t="s">
        <v>18310</v>
      </c>
      <c r="AU1816">
        <v>3.7</v>
      </c>
      <c r="AV1816" t="s">
        <v>186</v>
      </c>
      <c r="AW1816" t="s">
        <v>3060</v>
      </c>
    </row>
    <row r="1817" spans="1:50">
      <c r="A1817" s="1" t="s">
        <v>130</v>
      </c>
      <c r="B1817" t="s">
        <v>164</v>
      </c>
      <c r="C1817" t="s">
        <v>5027</v>
      </c>
      <c r="D1817" t="s">
        <v>407</v>
      </c>
      <c r="E1817" t="s">
        <v>283</v>
      </c>
      <c r="F1817" t="s">
        <v>7520</v>
      </c>
      <c r="G1817" t="s">
        <v>8698</v>
      </c>
      <c r="H1817" t="s">
        <v>9783</v>
      </c>
      <c r="J1817" t="s">
        <v>1644</v>
      </c>
      <c r="K1817">
        <v>11208</v>
      </c>
      <c r="L1817" t="s">
        <v>1670</v>
      </c>
      <c r="M1817" t="s">
        <v>1670</v>
      </c>
      <c r="N1817" t="s">
        <v>12368</v>
      </c>
      <c r="O1817" t="s">
        <v>1939</v>
      </c>
      <c r="P1817" t="s">
        <v>1960</v>
      </c>
      <c r="Q1817" t="s">
        <v>1969</v>
      </c>
      <c r="R1817" t="s">
        <v>50</v>
      </c>
      <c r="S1817" t="s">
        <v>1670</v>
      </c>
      <c r="U1817" t="s">
        <v>1972</v>
      </c>
      <c r="W1817" t="s">
        <v>13045</v>
      </c>
      <c r="X1817">
        <v>320</v>
      </c>
      <c r="Y1817" t="s">
        <v>2009</v>
      </c>
      <c r="AA1817" t="s">
        <v>2029</v>
      </c>
      <c r="AB1817" t="s">
        <v>14284</v>
      </c>
      <c r="AD1817" t="s">
        <v>16706</v>
      </c>
      <c r="AE1817">
        <v>7</v>
      </c>
      <c r="AF1817" t="s">
        <v>2903</v>
      </c>
      <c r="AH1817">
        <v>4</v>
      </c>
      <c r="AI1817">
        <v>1</v>
      </c>
      <c r="AJ1817">
        <v>0</v>
      </c>
      <c r="AK1817">
        <v>80.26000000000001</v>
      </c>
      <c r="AN1817" t="s">
        <v>18045</v>
      </c>
      <c r="AO1817">
        <v>9744</v>
      </c>
      <c r="AR1817" t="s">
        <v>18474</v>
      </c>
      <c r="AU1817">
        <v>0.5</v>
      </c>
      <c r="AV1817" t="s">
        <v>384</v>
      </c>
      <c r="AW1817" t="s">
        <v>130</v>
      </c>
    </row>
    <row r="1818" spans="1:50">
      <c r="A1818" s="1" t="s">
        <v>79</v>
      </c>
      <c r="B1818" t="s">
        <v>163</v>
      </c>
      <c r="C1818" t="s">
        <v>5028</v>
      </c>
      <c r="D1818" t="s">
        <v>176</v>
      </c>
      <c r="F1818" t="s">
        <v>7522</v>
      </c>
      <c r="G1818" t="s">
        <v>8156</v>
      </c>
      <c r="H1818" t="s">
        <v>10179</v>
      </c>
      <c r="I1818" t="s">
        <v>1538</v>
      </c>
      <c r="J1818" t="s">
        <v>1644</v>
      </c>
      <c r="K1818">
        <v>11212</v>
      </c>
      <c r="L1818" t="s">
        <v>1670</v>
      </c>
      <c r="M1818" t="s">
        <v>1670</v>
      </c>
      <c r="N1818" t="s">
        <v>12369</v>
      </c>
      <c r="O1818" t="s">
        <v>1936</v>
      </c>
      <c r="P1818" t="s">
        <v>1960</v>
      </c>
      <c r="R1818" t="s">
        <v>50</v>
      </c>
      <c r="S1818" t="s">
        <v>1671</v>
      </c>
      <c r="U1818" t="s">
        <v>1972</v>
      </c>
      <c r="V1818" t="s">
        <v>1984</v>
      </c>
      <c r="W1818" t="s">
        <v>176</v>
      </c>
      <c r="X1818" t="s">
        <v>13051</v>
      </c>
      <c r="Y1818" t="s">
        <v>2009</v>
      </c>
      <c r="Z1818" t="s">
        <v>2015</v>
      </c>
      <c r="AB1818" t="s">
        <v>14287</v>
      </c>
      <c r="AC1818" t="s">
        <v>15155</v>
      </c>
      <c r="AD1818" t="s">
        <v>16709</v>
      </c>
      <c r="AE1818">
        <v>96</v>
      </c>
      <c r="AF1818" t="s">
        <v>2902</v>
      </c>
      <c r="AG1818" t="s">
        <v>2919</v>
      </c>
      <c r="AH1818">
        <v>35</v>
      </c>
      <c r="AI1818">
        <v>1</v>
      </c>
      <c r="AJ1818">
        <v>0</v>
      </c>
      <c r="AK1818">
        <v>80.36</v>
      </c>
      <c r="AN1818" t="s">
        <v>2926</v>
      </c>
      <c r="AO1818">
        <v>9756</v>
      </c>
      <c r="AP1818" t="s">
        <v>18311</v>
      </c>
      <c r="AU1818">
        <v>37.2</v>
      </c>
      <c r="AV1818" t="s">
        <v>357</v>
      </c>
      <c r="AW1818" t="s">
        <v>3060</v>
      </c>
    </row>
    <row r="1819" spans="1:50">
      <c r="A1819" s="1" t="s">
        <v>139</v>
      </c>
      <c r="B1819" t="s">
        <v>163</v>
      </c>
      <c r="C1819" t="s">
        <v>5029</v>
      </c>
      <c r="D1819" t="s">
        <v>372</v>
      </c>
      <c r="F1819" t="s">
        <v>7541</v>
      </c>
      <c r="G1819" t="s">
        <v>8725</v>
      </c>
      <c r="H1819" t="s">
        <v>10208</v>
      </c>
      <c r="I1819" t="s">
        <v>11303</v>
      </c>
      <c r="J1819" t="s">
        <v>1643</v>
      </c>
      <c r="K1819">
        <v>10029</v>
      </c>
      <c r="L1819" t="s">
        <v>1670</v>
      </c>
      <c r="M1819" t="s">
        <v>1670</v>
      </c>
      <c r="N1819" t="s">
        <v>12370</v>
      </c>
      <c r="O1819" t="s">
        <v>1936</v>
      </c>
      <c r="P1819" t="s">
        <v>1960</v>
      </c>
      <c r="R1819" t="s">
        <v>50</v>
      </c>
      <c r="S1819" t="s">
        <v>1670</v>
      </c>
      <c r="U1819" t="s">
        <v>1972</v>
      </c>
      <c r="V1819" t="s">
        <v>1984</v>
      </c>
      <c r="W1819" t="s">
        <v>2005</v>
      </c>
      <c r="X1819">
        <v>3958</v>
      </c>
      <c r="Y1819" t="s">
        <v>2008</v>
      </c>
      <c r="Z1819" t="s">
        <v>2016</v>
      </c>
      <c r="AB1819" t="s">
        <v>14331</v>
      </c>
      <c r="AD1819" t="s">
        <v>16745</v>
      </c>
      <c r="AE1819">
        <v>758</v>
      </c>
      <c r="AF1819" t="s">
        <v>2909</v>
      </c>
      <c r="AG1819" t="s">
        <v>2915</v>
      </c>
      <c r="AH1819">
        <v>38</v>
      </c>
      <c r="AI1819">
        <v>1</v>
      </c>
      <c r="AJ1819">
        <v>0</v>
      </c>
      <c r="AK1819">
        <v>80.45999999999999</v>
      </c>
      <c r="AN1819" t="s">
        <v>2926</v>
      </c>
      <c r="AO1819">
        <v>9768</v>
      </c>
      <c r="AU1819">
        <v>31.25</v>
      </c>
      <c r="AV1819" t="s">
        <v>399</v>
      </c>
      <c r="AW1819" t="s">
        <v>3066</v>
      </c>
      <c r="AX1819" t="s">
        <v>18685</v>
      </c>
    </row>
    <row r="1820" spans="1:50">
      <c r="A1820" s="1" t="s">
        <v>96</v>
      </c>
      <c r="B1820" t="s">
        <v>164</v>
      </c>
      <c r="C1820" t="s">
        <v>5030</v>
      </c>
      <c r="D1820" t="s">
        <v>192</v>
      </c>
      <c r="E1820" t="s">
        <v>328</v>
      </c>
      <c r="F1820" t="s">
        <v>7273</v>
      </c>
      <c r="G1820" t="s">
        <v>8092</v>
      </c>
      <c r="H1820" t="s">
        <v>10209</v>
      </c>
      <c r="I1820" t="s">
        <v>1490</v>
      </c>
      <c r="J1820" t="s">
        <v>1644</v>
      </c>
      <c r="K1820">
        <v>11210</v>
      </c>
      <c r="L1820" t="s">
        <v>1670</v>
      </c>
      <c r="M1820" t="s">
        <v>1670</v>
      </c>
      <c r="N1820" t="s">
        <v>12371</v>
      </c>
      <c r="O1820" t="s">
        <v>1936</v>
      </c>
      <c r="P1820" t="s">
        <v>1960</v>
      </c>
      <c r="Q1820" t="s">
        <v>1969</v>
      </c>
      <c r="R1820" t="s">
        <v>50</v>
      </c>
      <c r="S1820" t="s">
        <v>1670</v>
      </c>
      <c r="U1820" t="s">
        <v>1972</v>
      </c>
      <c r="V1820" t="s">
        <v>1984</v>
      </c>
      <c r="W1820" t="s">
        <v>256</v>
      </c>
      <c r="X1820">
        <v>993.5</v>
      </c>
      <c r="Y1820" t="s">
        <v>2009</v>
      </c>
      <c r="Z1820" t="s">
        <v>2020</v>
      </c>
      <c r="AA1820" t="s">
        <v>2032</v>
      </c>
      <c r="AB1820" t="s">
        <v>13570</v>
      </c>
      <c r="AC1820" t="s">
        <v>15217</v>
      </c>
      <c r="AD1820" t="s">
        <v>16746</v>
      </c>
      <c r="AE1820">
        <v>42</v>
      </c>
      <c r="AF1820" t="s">
        <v>2902</v>
      </c>
      <c r="AG1820" t="s">
        <v>2921</v>
      </c>
      <c r="AH1820">
        <v>19</v>
      </c>
      <c r="AI1820">
        <v>1</v>
      </c>
      <c r="AJ1820">
        <v>0</v>
      </c>
      <c r="AK1820">
        <v>80.53</v>
      </c>
      <c r="AN1820" t="s">
        <v>2926</v>
      </c>
      <c r="AO1820">
        <v>9776</v>
      </c>
      <c r="AQ1820" t="s">
        <v>2979</v>
      </c>
      <c r="AR1820" t="s">
        <v>2988</v>
      </c>
      <c r="AS1820" t="s">
        <v>2992</v>
      </c>
      <c r="AT1820" t="s">
        <v>18573</v>
      </c>
      <c r="AU1820">
        <v>30.95</v>
      </c>
      <c r="AV1820" t="s">
        <v>328</v>
      </c>
      <c r="AW1820" t="s">
        <v>69</v>
      </c>
      <c r="AX1820" t="s">
        <v>18685</v>
      </c>
    </row>
    <row r="1821" spans="1:50">
      <c r="A1821" s="1" t="s">
        <v>118</v>
      </c>
      <c r="B1821" t="s">
        <v>163</v>
      </c>
      <c r="C1821" t="s">
        <v>5031</v>
      </c>
      <c r="D1821" t="s">
        <v>245</v>
      </c>
      <c r="F1821" t="s">
        <v>7542</v>
      </c>
      <c r="G1821" t="s">
        <v>8726</v>
      </c>
      <c r="H1821" t="s">
        <v>9700</v>
      </c>
      <c r="I1821" t="s">
        <v>1478</v>
      </c>
      <c r="J1821" t="s">
        <v>1641</v>
      </c>
      <c r="K1821">
        <v>10452</v>
      </c>
      <c r="L1821" t="s">
        <v>1670</v>
      </c>
      <c r="M1821" t="s">
        <v>1670</v>
      </c>
      <c r="N1821" t="s">
        <v>12372</v>
      </c>
      <c r="O1821" t="s">
        <v>1939</v>
      </c>
      <c r="P1821" t="s">
        <v>1960</v>
      </c>
      <c r="R1821" t="s">
        <v>50</v>
      </c>
      <c r="S1821" t="s">
        <v>1670</v>
      </c>
      <c r="U1821" t="s">
        <v>1972</v>
      </c>
      <c r="W1821" t="s">
        <v>359</v>
      </c>
      <c r="X1821">
        <v>1042</v>
      </c>
      <c r="Y1821" t="s">
        <v>2006</v>
      </c>
      <c r="Z1821" t="s">
        <v>2015</v>
      </c>
      <c r="AB1821" t="s">
        <v>14332</v>
      </c>
      <c r="AD1821" t="s">
        <v>16747</v>
      </c>
      <c r="AE1821">
        <v>149</v>
      </c>
      <c r="AF1821" t="s">
        <v>2902</v>
      </c>
      <c r="AG1821" t="s">
        <v>1754</v>
      </c>
      <c r="AH1821">
        <v>14</v>
      </c>
      <c r="AI1821">
        <v>1</v>
      </c>
      <c r="AJ1821">
        <v>0</v>
      </c>
      <c r="AK1821">
        <v>80.53</v>
      </c>
      <c r="AN1821" t="s">
        <v>2926</v>
      </c>
      <c r="AO1821">
        <v>9776</v>
      </c>
      <c r="AU1821" t="s">
        <v>13051</v>
      </c>
      <c r="AW1821" t="s">
        <v>3054</v>
      </c>
    </row>
    <row r="1822" spans="1:50">
      <c r="A1822" s="1" t="s">
        <v>91</v>
      </c>
      <c r="B1822" t="s">
        <v>164</v>
      </c>
      <c r="C1822" t="s">
        <v>5032</v>
      </c>
      <c r="D1822" t="s">
        <v>176</v>
      </c>
      <c r="E1822" t="s">
        <v>285</v>
      </c>
      <c r="F1822" t="s">
        <v>604</v>
      </c>
      <c r="G1822" t="s">
        <v>8184</v>
      </c>
      <c r="H1822" t="s">
        <v>10210</v>
      </c>
      <c r="I1822" t="s">
        <v>1491</v>
      </c>
      <c r="J1822" t="s">
        <v>1643</v>
      </c>
      <c r="K1822">
        <v>10034</v>
      </c>
      <c r="L1822" t="s">
        <v>1670</v>
      </c>
      <c r="M1822" t="s">
        <v>1670</v>
      </c>
      <c r="O1822" t="s">
        <v>1941</v>
      </c>
      <c r="P1822" t="s">
        <v>1958</v>
      </c>
      <c r="Q1822" t="s">
        <v>1965</v>
      </c>
      <c r="R1822" t="s">
        <v>50</v>
      </c>
      <c r="S1822" t="s">
        <v>1671</v>
      </c>
      <c r="U1822" t="s">
        <v>1972</v>
      </c>
      <c r="W1822" t="s">
        <v>176</v>
      </c>
      <c r="X1822">
        <v>776</v>
      </c>
      <c r="Y1822" t="s">
        <v>2008</v>
      </c>
      <c r="Z1822" t="s">
        <v>2013</v>
      </c>
      <c r="AA1822" t="s">
        <v>2029</v>
      </c>
      <c r="AB1822" t="s">
        <v>14333</v>
      </c>
      <c r="AE1822" t="s">
        <v>13051</v>
      </c>
      <c r="AF1822" t="s">
        <v>2902</v>
      </c>
      <c r="AG1822" t="s">
        <v>1754</v>
      </c>
      <c r="AH1822">
        <v>36</v>
      </c>
      <c r="AI1822">
        <v>1</v>
      </c>
      <c r="AJ1822">
        <v>0</v>
      </c>
      <c r="AK1822">
        <v>80.56</v>
      </c>
      <c r="AN1822" t="s">
        <v>2926</v>
      </c>
      <c r="AO1822">
        <v>9780</v>
      </c>
      <c r="AU1822">
        <v>2.7</v>
      </c>
      <c r="AV1822" t="s">
        <v>214</v>
      </c>
      <c r="AW1822" t="s">
        <v>3042</v>
      </c>
      <c r="AX1822" t="s">
        <v>18685</v>
      </c>
    </row>
    <row r="1823" spans="1:50">
      <c r="A1823" s="1" t="s">
        <v>64</v>
      </c>
      <c r="B1823" t="s">
        <v>164</v>
      </c>
      <c r="C1823" t="s">
        <v>5033</v>
      </c>
      <c r="D1823" t="s">
        <v>178</v>
      </c>
      <c r="E1823" t="s">
        <v>236</v>
      </c>
      <c r="F1823" t="s">
        <v>7543</v>
      </c>
      <c r="G1823" t="s">
        <v>8530</v>
      </c>
      <c r="H1823" t="s">
        <v>10211</v>
      </c>
      <c r="I1823">
        <v>24</v>
      </c>
      <c r="J1823" t="s">
        <v>1643</v>
      </c>
      <c r="K1823">
        <v>10034</v>
      </c>
      <c r="L1823" t="s">
        <v>1670</v>
      </c>
      <c r="M1823" t="s">
        <v>1670</v>
      </c>
      <c r="O1823" t="s">
        <v>1936</v>
      </c>
      <c r="P1823" t="s">
        <v>1958</v>
      </c>
      <c r="Q1823" t="s">
        <v>1965</v>
      </c>
      <c r="R1823" t="s">
        <v>50</v>
      </c>
      <c r="S1823" t="s">
        <v>1671</v>
      </c>
      <c r="U1823" t="s">
        <v>1972</v>
      </c>
      <c r="W1823" t="s">
        <v>178</v>
      </c>
      <c r="X1823">
        <v>730.5599999999999</v>
      </c>
      <c r="Y1823" t="s">
        <v>2008</v>
      </c>
      <c r="Z1823" t="s">
        <v>2013</v>
      </c>
      <c r="AA1823" t="s">
        <v>2029</v>
      </c>
      <c r="AB1823" t="s">
        <v>13602</v>
      </c>
      <c r="AD1823" t="s">
        <v>16748</v>
      </c>
      <c r="AE1823">
        <v>30</v>
      </c>
      <c r="AF1823" t="s">
        <v>2902</v>
      </c>
      <c r="AG1823" t="s">
        <v>1754</v>
      </c>
      <c r="AH1823">
        <v>40</v>
      </c>
      <c r="AI1823">
        <v>1</v>
      </c>
      <c r="AJ1823">
        <v>0</v>
      </c>
      <c r="AK1823">
        <v>80.66</v>
      </c>
      <c r="AN1823" t="s">
        <v>2926</v>
      </c>
      <c r="AO1823">
        <v>9792</v>
      </c>
      <c r="AU1823">
        <v>1.6</v>
      </c>
      <c r="AV1823" t="s">
        <v>236</v>
      </c>
      <c r="AW1823" t="s">
        <v>3042</v>
      </c>
      <c r="AX1823" t="s">
        <v>18685</v>
      </c>
    </row>
    <row r="1824" spans="1:50">
      <c r="A1824" s="1" t="s">
        <v>101</v>
      </c>
      <c r="B1824" t="s">
        <v>163</v>
      </c>
      <c r="C1824" t="s">
        <v>5034</v>
      </c>
      <c r="D1824" t="s">
        <v>213</v>
      </c>
      <c r="F1824" t="s">
        <v>7544</v>
      </c>
      <c r="G1824" t="s">
        <v>8727</v>
      </c>
      <c r="H1824" t="s">
        <v>1173</v>
      </c>
      <c r="I1824" t="s">
        <v>1637</v>
      </c>
      <c r="J1824" t="s">
        <v>1643</v>
      </c>
      <c r="K1824">
        <v>10035</v>
      </c>
      <c r="L1824" t="s">
        <v>1670</v>
      </c>
      <c r="M1824" t="s">
        <v>1670</v>
      </c>
      <c r="O1824" t="s">
        <v>1675</v>
      </c>
      <c r="P1824" t="s">
        <v>1962</v>
      </c>
      <c r="R1824" t="s">
        <v>50</v>
      </c>
      <c r="S1824" t="s">
        <v>1670</v>
      </c>
      <c r="U1824" t="s">
        <v>1972</v>
      </c>
      <c r="V1824" t="s">
        <v>1984</v>
      </c>
      <c r="W1824" t="s">
        <v>186</v>
      </c>
      <c r="X1824">
        <v>2500</v>
      </c>
      <c r="Y1824" t="s">
        <v>2008</v>
      </c>
      <c r="Z1824" t="s">
        <v>2019</v>
      </c>
      <c r="AB1824" t="s">
        <v>14334</v>
      </c>
      <c r="AD1824" t="s">
        <v>16749</v>
      </c>
      <c r="AE1824">
        <v>60</v>
      </c>
      <c r="AF1824" t="s">
        <v>2902</v>
      </c>
      <c r="AG1824" t="s">
        <v>2915</v>
      </c>
      <c r="AH1824">
        <v>14</v>
      </c>
      <c r="AI1824">
        <v>1</v>
      </c>
      <c r="AJ1824">
        <v>0</v>
      </c>
      <c r="AK1824">
        <v>80.8</v>
      </c>
      <c r="AN1824" t="s">
        <v>2927</v>
      </c>
      <c r="AO1824">
        <v>10092</v>
      </c>
      <c r="AU1824" t="s">
        <v>13051</v>
      </c>
      <c r="AW1824" t="s">
        <v>3051</v>
      </c>
    </row>
    <row r="1825" spans="1:50">
      <c r="A1825" s="1" t="s">
        <v>78</v>
      </c>
      <c r="B1825" t="s">
        <v>164</v>
      </c>
      <c r="C1825" t="s">
        <v>5035</v>
      </c>
      <c r="D1825" t="s">
        <v>6188</v>
      </c>
      <c r="E1825" t="s">
        <v>324</v>
      </c>
      <c r="F1825" t="s">
        <v>695</v>
      </c>
      <c r="G1825" t="s">
        <v>8029</v>
      </c>
      <c r="H1825" t="s">
        <v>10212</v>
      </c>
      <c r="I1825" t="s">
        <v>11304</v>
      </c>
      <c r="J1825" t="s">
        <v>1646</v>
      </c>
      <c r="K1825">
        <v>10304</v>
      </c>
      <c r="L1825" t="s">
        <v>1670</v>
      </c>
      <c r="M1825" t="s">
        <v>1670</v>
      </c>
      <c r="N1825" t="s">
        <v>12373</v>
      </c>
      <c r="O1825" t="s">
        <v>1936</v>
      </c>
      <c r="P1825" t="s">
        <v>1960</v>
      </c>
      <c r="Q1825" t="s">
        <v>1969</v>
      </c>
      <c r="R1825" t="s">
        <v>50</v>
      </c>
      <c r="S1825" t="s">
        <v>1671</v>
      </c>
      <c r="U1825" t="s">
        <v>1972</v>
      </c>
      <c r="V1825" t="s">
        <v>1984</v>
      </c>
      <c r="W1825" t="s">
        <v>386</v>
      </c>
      <c r="X1825">
        <v>1900</v>
      </c>
      <c r="Y1825" t="s">
        <v>2010</v>
      </c>
      <c r="Z1825" t="s">
        <v>2020</v>
      </c>
      <c r="AA1825" t="s">
        <v>2032</v>
      </c>
      <c r="AB1825" t="s">
        <v>14335</v>
      </c>
      <c r="AD1825" t="s">
        <v>16750</v>
      </c>
      <c r="AE1825">
        <v>3</v>
      </c>
      <c r="AF1825" t="s">
        <v>2903</v>
      </c>
      <c r="AH1825">
        <v>5</v>
      </c>
      <c r="AI1825">
        <v>2</v>
      </c>
      <c r="AJ1825">
        <v>0</v>
      </c>
      <c r="AK1825">
        <v>80.91</v>
      </c>
      <c r="AN1825" t="s">
        <v>2926</v>
      </c>
      <c r="AO1825">
        <v>13140</v>
      </c>
      <c r="AQ1825" t="s">
        <v>2979</v>
      </c>
      <c r="AR1825" t="s">
        <v>2017</v>
      </c>
      <c r="AS1825" t="s">
        <v>2993</v>
      </c>
      <c r="AT1825" t="s">
        <v>18574</v>
      </c>
      <c r="AU1825">
        <v>3.3</v>
      </c>
      <c r="AV1825" t="s">
        <v>386</v>
      </c>
      <c r="AW1825" t="s">
        <v>3056</v>
      </c>
    </row>
    <row r="1826" spans="1:50">
      <c r="A1826" s="1" t="s">
        <v>53</v>
      </c>
      <c r="B1826" t="s">
        <v>164</v>
      </c>
      <c r="C1826" t="s">
        <v>5036</v>
      </c>
      <c r="D1826" t="s">
        <v>181</v>
      </c>
      <c r="E1826" t="s">
        <v>230</v>
      </c>
      <c r="F1826" t="s">
        <v>6845</v>
      </c>
      <c r="G1826" t="s">
        <v>8728</v>
      </c>
      <c r="H1826" t="s">
        <v>10213</v>
      </c>
      <c r="I1826" t="s">
        <v>1539</v>
      </c>
      <c r="J1826" t="s">
        <v>1668</v>
      </c>
      <c r="K1826">
        <v>11354</v>
      </c>
      <c r="L1826" t="s">
        <v>1670</v>
      </c>
      <c r="M1826" t="s">
        <v>1670</v>
      </c>
      <c r="N1826" t="s">
        <v>1754</v>
      </c>
      <c r="O1826" t="s">
        <v>1675</v>
      </c>
      <c r="P1826" t="s">
        <v>1962</v>
      </c>
      <c r="Q1826" t="s">
        <v>1968</v>
      </c>
      <c r="R1826" t="s">
        <v>50</v>
      </c>
      <c r="S1826" t="s">
        <v>1671</v>
      </c>
      <c r="U1826" t="s">
        <v>1972</v>
      </c>
      <c r="V1826" t="s">
        <v>1984</v>
      </c>
      <c r="W1826" t="s">
        <v>181</v>
      </c>
      <c r="X1826">
        <v>1214</v>
      </c>
      <c r="Y1826" t="s">
        <v>2007</v>
      </c>
      <c r="Z1826" t="s">
        <v>2020</v>
      </c>
      <c r="AA1826" t="s">
        <v>2034</v>
      </c>
      <c r="AB1826" t="s">
        <v>14336</v>
      </c>
      <c r="AC1826" t="s">
        <v>15218</v>
      </c>
      <c r="AD1826" t="s">
        <v>16751</v>
      </c>
      <c r="AE1826">
        <v>8</v>
      </c>
      <c r="AF1826" t="s">
        <v>2903</v>
      </c>
      <c r="AG1826" t="s">
        <v>2920</v>
      </c>
      <c r="AH1826">
        <v>6</v>
      </c>
      <c r="AI1826">
        <v>1</v>
      </c>
      <c r="AJ1826">
        <v>0</v>
      </c>
      <c r="AK1826">
        <v>80.98999999999999</v>
      </c>
      <c r="AN1826" t="s">
        <v>2926</v>
      </c>
      <c r="AO1826">
        <v>10116</v>
      </c>
      <c r="AR1826" t="s">
        <v>2017</v>
      </c>
      <c r="AS1826" t="s">
        <v>2992</v>
      </c>
      <c r="AT1826" t="s">
        <v>18550</v>
      </c>
      <c r="AU1826">
        <v>2.15</v>
      </c>
      <c r="AV1826" t="s">
        <v>199</v>
      </c>
      <c r="AW1826" t="s">
        <v>53</v>
      </c>
      <c r="AX1826" t="s">
        <v>18685</v>
      </c>
    </row>
    <row r="1827" spans="1:50">
      <c r="A1827" s="1" t="s">
        <v>91</v>
      </c>
      <c r="B1827" t="s">
        <v>164</v>
      </c>
      <c r="C1827" t="s">
        <v>5037</v>
      </c>
      <c r="D1827" t="s">
        <v>176</v>
      </c>
      <c r="E1827" t="s">
        <v>285</v>
      </c>
      <c r="F1827" t="s">
        <v>427</v>
      </c>
      <c r="G1827" t="s">
        <v>8212</v>
      </c>
      <c r="H1827" t="s">
        <v>10214</v>
      </c>
      <c r="I1827" t="s">
        <v>1506</v>
      </c>
      <c r="J1827" t="s">
        <v>1643</v>
      </c>
      <c r="K1827">
        <v>10034</v>
      </c>
      <c r="L1827" t="s">
        <v>1670</v>
      </c>
      <c r="M1827" t="s">
        <v>1670</v>
      </c>
      <c r="O1827" t="s">
        <v>1675</v>
      </c>
      <c r="P1827" t="s">
        <v>1958</v>
      </c>
      <c r="Q1827" t="s">
        <v>1965</v>
      </c>
      <c r="R1827" t="s">
        <v>50</v>
      </c>
      <c r="S1827" t="s">
        <v>1671</v>
      </c>
      <c r="U1827" t="s">
        <v>1972</v>
      </c>
      <c r="W1827" t="s">
        <v>176</v>
      </c>
      <c r="X1827">
        <v>1208.23</v>
      </c>
      <c r="Y1827" t="s">
        <v>2008</v>
      </c>
      <c r="Z1827" t="s">
        <v>2013</v>
      </c>
      <c r="AA1827" t="s">
        <v>2029</v>
      </c>
      <c r="AB1827" t="s">
        <v>14337</v>
      </c>
      <c r="AE1827" t="s">
        <v>13051</v>
      </c>
      <c r="AF1827" t="s">
        <v>2902</v>
      </c>
      <c r="AG1827" t="s">
        <v>1754</v>
      </c>
      <c r="AH1827">
        <v>12</v>
      </c>
      <c r="AI1827">
        <v>1</v>
      </c>
      <c r="AJ1827">
        <v>0</v>
      </c>
      <c r="AK1827">
        <v>81.05</v>
      </c>
      <c r="AN1827" t="s">
        <v>2926</v>
      </c>
      <c r="AO1827">
        <v>9840</v>
      </c>
      <c r="AU1827">
        <v>1.6</v>
      </c>
      <c r="AV1827" t="s">
        <v>174</v>
      </c>
      <c r="AW1827" t="s">
        <v>3042</v>
      </c>
    </row>
    <row r="1828" spans="1:50">
      <c r="A1828" s="1" t="s">
        <v>71</v>
      </c>
      <c r="B1828" t="s">
        <v>164</v>
      </c>
      <c r="C1828" t="s">
        <v>5038</v>
      </c>
      <c r="D1828" t="s">
        <v>408</v>
      </c>
      <c r="E1828" t="s">
        <v>372</v>
      </c>
      <c r="F1828" t="s">
        <v>7006</v>
      </c>
      <c r="G1828" t="s">
        <v>8729</v>
      </c>
      <c r="H1828" t="s">
        <v>1183</v>
      </c>
      <c r="I1828" t="s">
        <v>11305</v>
      </c>
      <c r="J1828" t="s">
        <v>1646</v>
      </c>
      <c r="K1828">
        <v>10301</v>
      </c>
      <c r="L1828" t="s">
        <v>1670</v>
      </c>
      <c r="M1828" t="s">
        <v>1670</v>
      </c>
      <c r="N1828" t="s">
        <v>1693</v>
      </c>
      <c r="O1828" t="s">
        <v>1942</v>
      </c>
      <c r="P1828" t="s">
        <v>1962</v>
      </c>
      <c r="Q1828" t="s">
        <v>1968</v>
      </c>
      <c r="R1828" t="s">
        <v>50</v>
      </c>
      <c r="S1828" t="s">
        <v>1671</v>
      </c>
      <c r="U1828" t="s">
        <v>1972</v>
      </c>
      <c r="V1828" t="s">
        <v>1984</v>
      </c>
      <c r="W1828" t="s">
        <v>408</v>
      </c>
      <c r="X1828">
        <v>1995.5</v>
      </c>
      <c r="Y1828" t="s">
        <v>2010</v>
      </c>
      <c r="Z1828" t="s">
        <v>2019</v>
      </c>
      <c r="AA1828" t="s">
        <v>2029</v>
      </c>
      <c r="AB1828" t="s">
        <v>14338</v>
      </c>
      <c r="AD1828" t="s">
        <v>16752</v>
      </c>
      <c r="AE1828">
        <v>227</v>
      </c>
      <c r="AF1828" t="s">
        <v>2903</v>
      </c>
      <c r="AG1828" t="s">
        <v>2915</v>
      </c>
      <c r="AH1828">
        <v>27</v>
      </c>
      <c r="AI1828">
        <v>1</v>
      </c>
      <c r="AJ1828">
        <v>0</v>
      </c>
      <c r="AK1828">
        <v>81.05</v>
      </c>
      <c r="AN1828" t="s">
        <v>2926</v>
      </c>
      <c r="AO1828">
        <v>9840</v>
      </c>
      <c r="AU1828">
        <v>3.3</v>
      </c>
      <c r="AV1828" t="s">
        <v>6186</v>
      </c>
      <c r="AW1828" t="s">
        <v>3058</v>
      </c>
    </row>
    <row r="1829" spans="1:50">
      <c r="A1829" s="1" t="s">
        <v>102</v>
      </c>
      <c r="B1829" t="s">
        <v>164</v>
      </c>
      <c r="C1829" t="s">
        <v>5039</v>
      </c>
      <c r="D1829" t="s">
        <v>185</v>
      </c>
      <c r="E1829" t="s">
        <v>341</v>
      </c>
      <c r="F1829" t="s">
        <v>7084</v>
      </c>
      <c r="G1829" t="s">
        <v>877</v>
      </c>
      <c r="H1829" t="s">
        <v>10215</v>
      </c>
      <c r="I1829">
        <v>8</v>
      </c>
      <c r="J1829" t="s">
        <v>1643</v>
      </c>
      <c r="K1829">
        <v>10029</v>
      </c>
      <c r="L1829" t="s">
        <v>1670</v>
      </c>
      <c r="M1829" t="s">
        <v>1670</v>
      </c>
      <c r="N1829" t="s">
        <v>12374</v>
      </c>
      <c r="O1829" t="s">
        <v>1936</v>
      </c>
      <c r="P1829" t="s">
        <v>1962</v>
      </c>
      <c r="Q1829" t="s">
        <v>1968</v>
      </c>
      <c r="R1829" t="s">
        <v>50</v>
      </c>
      <c r="S1829" t="s">
        <v>1671</v>
      </c>
      <c r="U1829" t="s">
        <v>1972</v>
      </c>
      <c r="V1829" t="s">
        <v>1984</v>
      </c>
      <c r="W1829" t="s">
        <v>321</v>
      </c>
      <c r="X1829">
        <v>1250</v>
      </c>
      <c r="Y1829" t="s">
        <v>2008</v>
      </c>
      <c r="Z1829" t="s">
        <v>2014</v>
      </c>
      <c r="AA1829" t="s">
        <v>2030</v>
      </c>
      <c r="AB1829" t="s">
        <v>14339</v>
      </c>
      <c r="AD1829" t="s">
        <v>16753</v>
      </c>
      <c r="AE1829">
        <v>25</v>
      </c>
      <c r="AF1829" t="s">
        <v>2904</v>
      </c>
      <c r="AG1829" t="s">
        <v>2915</v>
      </c>
      <c r="AH1829">
        <v>16</v>
      </c>
      <c r="AI1829">
        <v>1</v>
      </c>
      <c r="AJ1829">
        <v>0</v>
      </c>
      <c r="AK1829">
        <v>81.05</v>
      </c>
      <c r="AN1829" t="s">
        <v>2926</v>
      </c>
      <c r="AO1829">
        <v>9840</v>
      </c>
      <c r="AU1829">
        <v>2.65</v>
      </c>
      <c r="AV1829" t="s">
        <v>242</v>
      </c>
      <c r="AW1829" t="s">
        <v>3048</v>
      </c>
    </row>
    <row r="1830" spans="1:50">
      <c r="A1830" s="1" t="s">
        <v>105</v>
      </c>
      <c r="B1830" t="s">
        <v>163</v>
      </c>
      <c r="C1830" t="s">
        <v>5040</v>
      </c>
      <c r="D1830" t="s">
        <v>223</v>
      </c>
      <c r="F1830" t="s">
        <v>7545</v>
      </c>
      <c r="G1830" t="s">
        <v>8684</v>
      </c>
      <c r="H1830" t="s">
        <v>10216</v>
      </c>
      <c r="I1830" t="s">
        <v>11306</v>
      </c>
      <c r="J1830" t="s">
        <v>1641</v>
      </c>
      <c r="K1830">
        <v>10452</v>
      </c>
      <c r="L1830" t="s">
        <v>1670</v>
      </c>
      <c r="M1830" t="s">
        <v>1670</v>
      </c>
      <c r="N1830" t="s">
        <v>12375</v>
      </c>
      <c r="O1830" t="s">
        <v>1939</v>
      </c>
      <c r="P1830" t="s">
        <v>1960</v>
      </c>
      <c r="R1830" t="s">
        <v>50</v>
      </c>
      <c r="S1830" t="s">
        <v>1670</v>
      </c>
      <c r="U1830" t="s">
        <v>1972</v>
      </c>
      <c r="W1830" t="s">
        <v>189</v>
      </c>
      <c r="X1830">
        <v>1063</v>
      </c>
      <c r="Y1830" t="s">
        <v>2006</v>
      </c>
      <c r="Z1830" t="s">
        <v>2020</v>
      </c>
      <c r="AB1830" t="s">
        <v>14340</v>
      </c>
      <c r="AD1830" t="s">
        <v>16754</v>
      </c>
      <c r="AE1830">
        <v>63</v>
      </c>
      <c r="AF1830" t="s">
        <v>2902</v>
      </c>
      <c r="AG1830" t="s">
        <v>2920</v>
      </c>
      <c r="AH1830">
        <v>22</v>
      </c>
      <c r="AI1830">
        <v>1</v>
      </c>
      <c r="AJ1830">
        <v>0</v>
      </c>
      <c r="AK1830">
        <v>81.05</v>
      </c>
      <c r="AN1830" t="s">
        <v>2927</v>
      </c>
      <c r="AO1830">
        <v>9840</v>
      </c>
      <c r="AU1830">
        <v>29.1</v>
      </c>
      <c r="AV1830" t="s">
        <v>254</v>
      </c>
      <c r="AW1830" t="s">
        <v>3047</v>
      </c>
    </row>
    <row r="1831" spans="1:50">
      <c r="A1831" s="1" t="s">
        <v>94</v>
      </c>
      <c r="B1831" t="s">
        <v>163</v>
      </c>
      <c r="C1831" t="s">
        <v>5041</v>
      </c>
      <c r="D1831" t="s">
        <v>167</v>
      </c>
      <c r="F1831" t="s">
        <v>6802</v>
      </c>
      <c r="G1831" t="s">
        <v>995</v>
      </c>
      <c r="H1831" t="s">
        <v>9407</v>
      </c>
      <c r="I1831" t="s">
        <v>1589</v>
      </c>
      <c r="J1831" t="s">
        <v>1643</v>
      </c>
      <c r="K1831">
        <v>10040</v>
      </c>
      <c r="L1831" t="s">
        <v>1670</v>
      </c>
      <c r="M1831" t="s">
        <v>1671</v>
      </c>
      <c r="O1831" t="s">
        <v>1938</v>
      </c>
      <c r="P1831" t="s">
        <v>1960</v>
      </c>
      <c r="R1831" t="s">
        <v>50</v>
      </c>
      <c r="S1831" t="s">
        <v>1670</v>
      </c>
      <c r="U1831" t="s">
        <v>1972</v>
      </c>
      <c r="W1831" t="s">
        <v>167</v>
      </c>
      <c r="X1831">
        <v>959</v>
      </c>
      <c r="Y1831" t="s">
        <v>2008</v>
      </c>
      <c r="Z1831" t="s">
        <v>2020</v>
      </c>
      <c r="AB1831" t="s">
        <v>14341</v>
      </c>
      <c r="AD1831" t="s">
        <v>16755</v>
      </c>
      <c r="AE1831">
        <v>88</v>
      </c>
      <c r="AF1831" t="s">
        <v>2902</v>
      </c>
      <c r="AG1831" t="s">
        <v>2919</v>
      </c>
      <c r="AH1831">
        <v>37</v>
      </c>
      <c r="AI1831">
        <v>1</v>
      </c>
      <c r="AJ1831">
        <v>0</v>
      </c>
      <c r="AK1831">
        <v>81.05</v>
      </c>
      <c r="AN1831" t="s">
        <v>2927</v>
      </c>
      <c r="AO1831">
        <v>9840</v>
      </c>
      <c r="AU1831" t="s">
        <v>13051</v>
      </c>
      <c r="AW1831" t="s">
        <v>3042</v>
      </c>
    </row>
    <row r="1832" spans="1:50">
      <c r="A1832" s="1" t="s">
        <v>115</v>
      </c>
      <c r="B1832" t="s">
        <v>163</v>
      </c>
      <c r="C1832" t="s">
        <v>5042</v>
      </c>
      <c r="D1832" t="s">
        <v>381</v>
      </c>
      <c r="F1832" t="s">
        <v>752</v>
      </c>
      <c r="G1832" t="s">
        <v>8730</v>
      </c>
      <c r="H1832" t="s">
        <v>10217</v>
      </c>
      <c r="I1832" t="s">
        <v>1534</v>
      </c>
      <c r="J1832" t="s">
        <v>1641</v>
      </c>
      <c r="K1832">
        <v>10452</v>
      </c>
      <c r="L1832" t="s">
        <v>1670</v>
      </c>
      <c r="M1832" t="s">
        <v>1670</v>
      </c>
      <c r="O1832" t="s">
        <v>1675</v>
      </c>
      <c r="P1832" t="s">
        <v>1962</v>
      </c>
      <c r="R1832" t="s">
        <v>50</v>
      </c>
      <c r="S1832" t="s">
        <v>1671</v>
      </c>
      <c r="U1832" t="s">
        <v>1972</v>
      </c>
      <c r="W1832" t="s">
        <v>381</v>
      </c>
      <c r="X1832">
        <v>1743.88</v>
      </c>
      <c r="Y1832" t="s">
        <v>2006</v>
      </c>
      <c r="Z1832" t="s">
        <v>2015</v>
      </c>
      <c r="AB1832" t="s">
        <v>13814</v>
      </c>
      <c r="AE1832">
        <v>63</v>
      </c>
      <c r="AF1832" t="s">
        <v>2902</v>
      </c>
      <c r="AG1832" t="s">
        <v>2915</v>
      </c>
      <c r="AH1832">
        <v>28</v>
      </c>
      <c r="AI1832">
        <v>1</v>
      </c>
      <c r="AJ1832">
        <v>0</v>
      </c>
      <c r="AK1832">
        <v>81.09</v>
      </c>
      <c r="AN1832" t="s">
        <v>2927</v>
      </c>
      <c r="AO1832">
        <v>10128</v>
      </c>
      <c r="AU1832">
        <v>1.2</v>
      </c>
      <c r="AV1832" t="s">
        <v>338</v>
      </c>
      <c r="AW1832" t="s">
        <v>115</v>
      </c>
    </row>
    <row r="1833" spans="1:50">
      <c r="A1833" s="1" t="s">
        <v>82</v>
      </c>
      <c r="B1833" t="s">
        <v>163</v>
      </c>
      <c r="C1833" t="s">
        <v>5043</v>
      </c>
      <c r="D1833" t="s">
        <v>181</v>
      </c>
      <c r="F1833" t="s">
        <v>530</v>
      </c>
      <c r="G1833" t="s">
        <v>8731</v>
      </c>
      <c r="H1833" t="s">
        <v>1144</v>
      </c>
      <c r="I1833" t="s">
        <v>1483</v>
      </c>
      <c r="J1833" t="s">
        <v>1644</v>
      </c>
      <c r="K1833">
        <v>11233</v>
      </c>
      <c r="L1833" t="s">
        <v>1670</v>
      </c>
      <c r="M1833" t="s">
        <v>1670</v>
      </c>
      <c r="N1833" t="s">
        <v>1754</v>
      </c>
      <c r="O1833" t="s">
        <v>1937</v>
      </c>
      <c r="P1833" t="s">
        <v>1962</v>
      </c>
      <c r="R1833" t="s">
        <v>50</v>
      </c>
      <c r="S1833" t="s">
        <v>1670</v>
      </c>
      <c r="U1833" t="s">
        <v>1972</v>
      </c>
      <c r="V1833" t="s">
        <v>1984</v>
      </c>
      <c r="W1833" t="s">
        <v>221</v>
      </c>
      <c r="X1833">
        <v>995.08</v>
      </c>
      <c r="Y1833" t="s">
        <v>2009</v>
      </c>
      <c r="AB1833" t="s">
        <v>2382</v>
      </c>
      <c r="AC1833" t="s">
        <v>15219</v>
      </c>
      <c r="AD1833" t="s">
        <v>16756</v>
      </c>
      <c r="AE1833">
        <v>359</v>
      </c>
      <c r="AF1833" t="s">
        <v>2902</v>
      </c>
      <c r="AH1833">
        <v>16</v>
      </c>
      <c r="AI1833">
        <v>2</v>
      </c>
      <c r="AJ1833">
        <v>0</v>
      </c>
      <c r="AK1833">
        <v>81.15000000000001</v>
      </c>
      <c r="AN1833" t="s">
        <v>2926</v>
      </c>
      <c r="AO1833">
        <v>13722.36</v>
      </c>
      <c r="AP1833" t="s">
        <v>18312</v>
      </c>
      <c r="AU1833">
        <v>104.6</v>
      </c>
      <c r="AV1833" t="s">
        <v>389</v>
      </c>
      <c r="AW1833" t="s">
        <v>3060</v>
      </c>
    </row>
    <row r="1834" spans="1:50">
      <c r="A1834" s="1" t="s">
        <v>57</v>
      </c>
      <c r="B1834" t="s">
        <v>163</v>
      </c>
      <c r="C1834" t="s">
        <v>5044</v>
      </c>
      <c r="D1834" t="s">
        <v>351</v>
      </c>
      <c r="F1834" t="s">
        <v>7546</v>
      </c>
      <c r="G1834" t="s">
        <v>8732</v>
      </c>
      <c r="H1834" t="s">
        <v>1193</v>
      </c>
      <c r="I1834" t="s">
        <v>1519</v>
      </c>
      <c r="J1834" t="s">
        <v>1641</v>
      </c>
      <c r="K1834">
        <v>10456</v>
      </c>
      <c r="L1834" t="s">
        <v>1670</v>
      </c>
      <c r="M1834" t="s">
        <v>1670</v>
      </c>
      <c r="N1834" t="s">
        <v>1789</v>
      </c>
      <c r="O1834" t="s">
        <v>1938</v>
      </c>
      <c r="P1834" t="s">
        <v>1961</v>
      </c>
      <c r="R1834" t="s">
        <v>50</v>
      </c>
      <c r="S1834" t="s">
        <v>1670</v>
      </c>
      <c r="U1834" t="s">
        <v>1972</v>
      </c>
      <c r="W1834" t="s">
        <v>1992</v>
      </c>
      <c r="X1834">
        <v>1243.51</v>
      </c>
      <c r="Y1834" t="s">
        <v>2006</v>
      </c>
      <c r="Z1834" t="s">
        <v>2015</v>
      </c>
      <c r="AB1834" t="s">
        <v>14342</v>
      </c>
      <c r="AC1834" t="s">
        <v>15220</v>
      </c>
      <c r="AD1834" t="s">
        <v>16757</v>
      </c>
      <c r="AE1834">
        <v>61</v>
      </c>
      <c r="AF1834" t="s">
        <v>2902</v>
      </c>
      <c r="AG1834" t="s">
        <v>2915</v>
      </c>
      <c r="AH1834">
        <v>22</v>
      </c>
      <c r="AI1834">
        <v>1</v>
      </c>
      <c r="AJ1834">
        <v>0</v>
      </c>
      <c r="AK1834">
        <v>81.25</v>
      </c>
      <c r="AN1834" t="s">
        <v>2926</v>
      </c>
      <c r="AO1834">
        <v>9864</v>
      </c>
      <c r="AU1834">
        <v>14.3</v>
      </c>
      <c r="AV1834" t="s">
        <v>198</v>
      </c>
      <c r="AW1834" t="s">
        <v>3047</v>
      </c>
    </row>
    <row r="1835" spans="1:50">
      <c r="A1835" s="1" t="s">
        <v>57</v>
      </c>
      <c r="B1835" t="s">
        <v>163</v>
      </c>
      <c r="C1835" t="s">
        <v>5045</v>
      </c>
      <c r="D1835" t="s">
        <v>245</v>
      </c>
      <c r="F1835" t="s">
        <v>7546</v>
      </c>
      <c r="G1835" t="s">
        <v>8732</v>
      </c>
      <c r="H1835" t="s">
        <v>1193</v>
      </c>
      <c r="I1835" t="s">
        <v>1519</v>
      </c>
      <c r="J1835" t="s">
        <v>1641</v>
      </c>
      <c r="K1835">
        <v>10456</v>
      </c>
      <c r="L1835" t="s">
        <v>1670</v>
      </c>
      <c r="M1835" t="s">
        <v>1670</v>
      </c>
      <c r="N1835" t="s">
        <v>1736</v>
      </c>
      <c r="O1835" t="s">
        <v>1938</v>
      </c>
      <c r="P1835" t="s">
        <v>1961</v>
      </c>
      <c r="R1835" t="s">
        <v>50</v>
      </c>
      <c r="S1835" t="s">
        <v>1670</v>
      </c>
      <c r="U1835" t="s">
        <v>1972</v>
      </c>
      <c r="W1835" t="s">
        <v>219</v>
      </c>
      <c r="X1835">
        <v>1243.51</v>
      </c>
      <c r="Y1835" t="s">
        <v>2006</v>
      </c>
      <c r="Z1835" t="s">
        <v>2015</v>
      </c>
      <c r="AB1835" t="s">
        <v>14342</v>
      </c>
      <c r="AC1835" t="s">
        <v>15220</v>
      </c>
      <c r="AD1835" t="s">
        <v>16757</v>
      </c>
      <c r="AE1835">
        <v>61</v>
      </c>
      <c r="AF1835" t="s">
        <v>2902</v>
      </c>
      <c r="AG1835" t="s">
        <v>2915</v>
      </c>
      <c r="AH1835">
        <v>22</v>
      </c>
      <c r="AI1835">
        <v>1</v>
      </c>
      <c r="AJ1835">
        <v>0</v>
      </c>
      <c r="AK1835">
        <v>81.25</v>
      </c>
      <c r="AN1835" t="s">
        <v>2926</v>
      </c>
      <c r="AO1835">
        <v>9864</v>
      </c>
      <c r="AU1835">
        <v>9.199999999999999</v>
      </c>
      <c r="AV1835" t="s">
        <v>237</v>
      </c>
      <c r="AW1835" t="s">
        <v>3046</v>
      </c>
    </row>
    <row r="1836" spans="1:50">
      <c r="A1836" s="1" t="s">
        <v>115</v>
      </c>
      <c r="B1836" t="s">
        <v>164</v>
      </c>
      <c r="C1836" t="s">
        <v>5046</v>
      </c>
      <c r="D1836" t="s">
        <v>315</v>
      </c>
      <c r="E1836" t="s">
        <v>297</v>
      </c>
      <c r="F1836" t="s">
        <v>7133</v>
      </c>
      <c r="G1836" t="s">
        <v>8733</v>
      </c>
      <c r="H1836" t="s">
        <v>10218</v>
      </c>
      <c r="I1836" t="s">
        <v>11307</v>
      </c>
      <c r="J1836" t="s">
        <v>1641</v>
      </c>
      <c r="K1836">
        <v>10467</v>
      </c>
      <c r="L1836" t="s">
        <v>1670</v>
      </c>
      <c r="M1836" t="s">
        <v>1670</v>
      </c>
      <c r="O1836" t="s">
        <v>1675</v>
      </c>
      <c r="P1836" t="s">
        <v>1962</v>
      </c>
      <c r="Q1836" t="s">
        <v>1968</v>
      </c>
      <c r="R1836" t="s">
        <v>50</v>
      </c>
      <c r="S1836" t="s">
        <v>1671</v>
      </c>
      <c r="U1836" t="s">
        <v>1972</v>
      </c>
      <c r="W1836" t="s">
        <v>315</v>
      </c>
      <c r="X1836">
        <v>1246</v>
      </c>
      <c r="Y1836" t="s">
        <v>2006</v>
      </c>
      <c r="Z1836" t="s">
        <v>2015</v>
      </c>
      <c r="AA1836" t="s">
        <v>2030</v>
      </c>
      <c r="AB1836" t="s">
        <v>14343</v>
      </c>
      <c r="AD1836" t="s">
        <v>16758</v>
      </c>
      <c r="AE1836">
        <v>1</v>
      </c>
      <c r="AF1836" t="s">
        <v>2904</v>
      </c>
      <c r="AG1836" t="s">
        <v>1754</v>
      </c>
      <c r="AH1836">
        <v>1</v>
      </c>
      <c r="AI1836">
        <v>2</v>
      </c>
      <c r="AJ1836">
        <v>0</v>
      </c>
      <c r="AK1836">
        <v>81.34999999999999</v>
      </c>
      <c r="AN1836" t="s">
        <v>2926</v>
      </c>
      <c r="AO1836">
        <v>13390.8</v>
      </c>
      <c r="AU1836">
        <v>2.7</v>
      </c>
      <c r="AV1836" t="s">
        <v>297</v>
      </c>
      <c r="AW1836" t="s">
        <v>115</v>
      </c>
    </row>
    <row r="1837" spans="1:50">
      <c r="A1837" s="1" t="s">
        <v>65</v>
      </c>
      <c r="B1837" t="s">
        <v>163</v>
      </c>
      <c r="C1837" t="s">
        <v>5047</v>
      </c>
      <c r="D1837" t="s">
        <v>315</v>
      </c>
      <c r="F1837" t="s">
        <v>7174</v>
      </c>
      <c r="G1837" t="s">
        <v>943</v>
      </c>
      <c r="H1837" t="s">
        <v>1438</v>
      </c>
      <c r="I1837" t="s">
        <v>1484</v>
      </c>
      <c r="J1837" t="s">
        <v>1644</v>
      </c>
      <c r="K1837">
        <v>11220</v>
      </c>
      <c r="L1837" t="s">
        <v>1670</v>
      </c>
      <c r="M1837" t="s">
        <v>1670</v>
      </c>
      <c r="O1837" t="s">
        <v>1938</v>
      </c>
      <c r="P1837" t="s">
        <v>1961</v>
      </c>
      <c r="R1837" t="s">
        <v>50</v>
      </c>
      <c r="S1837" t="s">
        <v>1670</v>
      </c>
      <c r="U1837" t="s">
        <v>1972</v>
      </c>
      <c r="W1837" t="s">
        <v>315</v>
      </c>
      <c r="X1837" t="s">
        <v>13051</v>
      </c>
      <c r="Y1837" t="s">
        <v>2009</v>
      </c>
      <c r="AB1837" t="s">
        <v>14344</v>
      </c>
      <c r="AD1837" t="s">
        <v>16759</v>
      </c>
      <c r="AE1837">
        <v>28</v>
      </c>
      <c r="AH1837" t="s">
        <v>13051</v>
      </c>
      <c r="AI1837">
        <v>1</v>
      </c>
      <c r="AJ1837">
        <v>0</v>
      </c>
      <c r="AK1837">
        <v>81.45</v>
      </c>
      <c r="AN1837" t="s">
        <v>2927</v>
      </c>
      <c r="AO1837">
        <v>9888</v>
      </c>
      <c r="AU1837">
        <v>1.2</v>
      </c>
      <c r="AV1837" t="s">
        <v>315</v>
      </c>
      <c r="AW1837" t="s">
        <v>3085</v>
      </c>
    </row>
    <row r="1838" spans="1:50">
      <c r="A1838" s="1" t="s">
        <v>138</v>
      </c>
      <c r="B1838" t="s">
        <v>163</v>
      </c>
      <c r="C1838" t="s">
        <v>5048</v>
      </c>
      <c r="D1838" t="s">
        <v>237</v>
      </c>
      <c r="F1838" t="s">
        <v>6927</v>
      </c>
      <c r="G1838" t="s">
        <v>8481</v>
      </c>
      <c r="H1838" t="s">
        <v>10219</v>
      </c>
      <c r="I1838" t="s">
        <v>1542</v>
      </c>
      <c r="J1838" t="s">
        <v>1646</v>
      </c>
      <c r="K1838">
        <v>10304</v>
      </c>
      <c r="L1838" t="s">
        <v>1670</v>
      </c>
      <c r="M1838" t="s">
        <v>1670</v>
      </c>
      <c r="N1838" t="s">
        <v>1754</v>
      </c>
      <c r="O1838" t="s">
        <v>1940</v>
      </c>
      <c r="P1838" t="s">
        <v>1959</v>
      </c>
      <c r="R1838" t="s">
        <v>50</v>
      </c>
      <c r="S1838" t="s">
        <v>1671</v>
      </c>
      <c r="U1838" t="s">
        <v>1972</v>
      </c>
      <c r="V1838" t="s">
        <v>1984</v>
      </c>
      <c r="W1838" t="s">
        <v>294</v>
      </c>
      <c r="X1838">
        <v>1060</v>
      </c>
      <c r="Y1838" t="s">
        <v>2010</v>
      </c>
      <c r="Z1838" t="s">
        <v>2017</v>
      </c>
      <c r="AB1838" t="s">
        <v>14345</v>
      </c>
      <c r="AD1838" t="s">
        <v>16760</v>
      </c>
      <c r="AE1838">
        <v>2</v>
      </c>
      <c r="AF1838" t="s">
        <v>2907</v>
      </c>
      <c r="AG1838" t="s">
        <v>2921</v>
      </c>
      <c r="AH1838">
        <v>4</v>
      </c>
      <c r="AI1838">
        <v>1</v>
      </c>
      <c r="AJ1838">
        <v>0</v>
      </c>
      <c r="AK1838">
        <v>81.47</v>
      </c>
      <c r="AN1838" t="s">
        <v>2926</v>
      </c>
      <c r="AO1838">
        <v>10176</v>
      </c>
      <c r="AU1838">
        <v>8.9</v>
      </c>
      <c r="AV1838" t="s">
        <v>392</v>
      </c>
      <c r="AW1838" t="s">
        <v>3043</v>
      </c>
      <c r="AX1838" t="s">
        <v>18685</v>
      </c>
    </row>
    <row r="1839" spans="1:50">
      <c r="A1839" s="1" t="s">
        <v>57</v>
      </c>
      <c r="B1839" t="s">
        <v>163</v>
      </c>
      <c r="C1839" t="s">
        <v>5049</v>
      </c>
      <c r="D1839" t="s">
        <v>347</v>
      </c>
      <c r="F1839" t="s">
        <v>670</v>
      </c>
      <c r="G1839" t="s">
        <v>843</v>
      </c>
      <c r="H1839" t="s">
        <v>1434</v>
      </c>
      <c r="I1839">
        <v>53</v>
      </c>
      <c r="J1839" t="s">
        <v>1641</v>
      </c>
      <c r="K1839">
        <v>10453</v>
      </c>
      <c r="L1839" t="s">
        <v>1670</v>
      </c>
      <c r="M1839" t="s">
        <v>1670</v>
      </c>
      <c r="N1839" t="s">
        <v>1911</v>
      </c>
      <c r="O1839" t="s">
        <v>1938</v>
      </c>
      <c r="P1839" t="s">
        <v>1961</v>
      </c>
      <c r="R1839" t="s">
        <v>50</v>
      </c>
      <c r="S1839" t="s">
        <v>1670</v>
      </c>
      <c r="U1839" t="s">
        <v>1972</v>
      </c>
      <c r="W1839" t="s">
        <v>283</v>
      </c>
      <c r="X1839">
        <v>761.16</v>
      </c>
      <c r="Y1839" t="s">
        <v>2006</v>
      </c>
      <c r="Z1839" t="s">
        <v>2016</v>
      </c>
      <c r="AB1839" t="s">
        <v>14346</v>
      </c>
      <c r="AD1839" t="s">
        <v>16761</v>
      </c>
      <c r="AE1839">
        <v>46</v>
      </c>
      <c r="AF1839" t="s">
        <v>2908</v>
      </c>
      <c r="AG1839" t="s">
        <v>2919</v>
      </c>
      <c r="AH1839">
        <v>38</v>
      </c>
      <c r="AI1839">
        <v>1</v>
      </c>
      <c r="AJ1839">
        <v>0</v>
      </c>
      <c r="AK1839">
        <v>81.55</v>
      </c>
      <c r="AO1839">
        <v>9900</v>
      </c>
      <c r="AU1839" t="s">
        <v>13051</v>
      </c>
      <c r="AW1839" t="s">
        <v>3054</v>
      </c>
    </row>
    <row r="1840" spans="1:50">
      <c r="A1840" s="1" t="s">
        <v>63</v>
      </c>
      <c r="B1840" t="s">
        <v>163</v>
      </c>
      <c r="C1840" t="s">
        <v>5050</v>
      </c>
      <c r="D1840" t="s">
        <v>231</v>
      </c>
      <c r="F1840" t="s">
        <v>454</v>
      </c>
      <c r="G1840" t="s">
        <v>780</v>
      </c>
      <c r="H1840" t="s">
        <v>1227</v>
      </c>
      <c r="I1840" t="s">
        <v>1544</v>
      </c>
      <c r="J1840" t="s">
        <v>1641</v>
      </c>
      <c r="K1840">
        <v>10463</v>
      </c>
      <c r="L1840" t="s">
        <v>1670</v>
      </c>
      <c r="M1840" t="s">
        <v>1670</v>
      </c>
      <c r="N1840" t="s">
        <v>1889</v>
      </c>
      <c r="O1840" t="s">
        <v>1939</v>
      </c>
      <c r="P1840" t="s">
        <v>1960</v>
      </c>
      <c r="R1840" t="s">
        <v>50</v>
      </c>
      <c r="S1840" t="s">
        <v>1670</v>
      </c>
      <c r="U1840" t="s">
        <v>1972</v>
      </c>
      <c r="W1840" t="s">
        <v>359</v>
      </c>
      <c r="X1840">
        <v>644</v>
      </c>
      <c r="Y1840" t="s">
        <v>2006</v>
      </c>
      <c r="Z1840" t="s">
        <v>2015</v>
      </c>
      <c r="AB1840" t="s">
        <v>14347</v>
      </c>
      <c r="AD1840" t="s">
        <v>16762</v>
      </c>
      <c r="AE1840">
        <v>55</v>
      </c>
      <c r="AF1840" t="s">
        <v>2908</v>
      </c>
      <c r="AG1840" t="s">
        <v>2919</v>
      </c>
      <c r="AH1840">
        <v>23</v>
      </c>
      <c r="AI1840">
        <v>1</v>
      </c>
      <c r="AJ1840">
        <v>0</v>
      </c>
      <c r="AK1840">
        <v>81.55</v>
      </c>
      <c r="AN1840" t="s">
        <v>2927</v>
      </c>
      <c r="AO1840">
        <v>9900</v>
      </c>
      <c r="AU1840" t="s">
        <v>13051</v>
      </c>
      <c r="AW1840" t="s">
        <v>3054</v>
      </c>
    </row>
    <row r="1841" spans="1:50">
      <c r="A1841" s="1" t="s">
        <v>74</v>
      </c>
      <c r="B1841" t="s">
        <v>163</v>
      </c>
      <c r="C1841" t="s">
        <v>5051</v>
      </c>
      <c r="D1841" t="s">
        <v>383</v>
      </c>
      <c r="F1841" t="s">
        <v>431</v>
      </c>
      <c r="G1841" t="s">
        <v>8717</v>
      </c>
      <c r="H1841" t="s">
        <v>1131</v>
      </c>
      <c r="I1841" t="s">
        <v>11297</v>
      </c>
      <c r="J1841" t="s">
        <v>1641</v>
      </c>
      <c r="K1841">
        <v>10460</v>
      </c>
      <c r="L1841" t="s">
        <v>1670</v>
      </c>
      <c r="M1841" t="s">
        <v>1670</v>
      </c>
      <c r="N1841" t="s">
        <v>1692</v>
      </c>
      <c r="O1841" t="s">
        <v>1939</v>
      </c>
      <c r="P1841" t="s">
        <v>1960</v>
      </c>
      <c r="R1841" t="s">
        <v>50</v>
      </c>
      <c r="S1841" t="s">
        <v>1670</v>
      </c>
      <c r="U1841" t="s">
        <v>1972</v>
      </c>
      <c r="W1841" t="s">
        <v>283</v>
      </c>
      <c r="X1841">
        <v>238</v>
      </c>
      <c r="Y1841" t="s">
        <v>2006</v>
      </c>
      <c r="Z1841" t="s">
        <v>2015</v>
      </c>
      <c r="AB1841" t="s">
        <v>14314</v>
      </c>
      <c r="AC1841" t="s">
        <v>15214</v>
      </c>
      <c r="AD1841" t="s">
        <v>16731</v>
      </c>
      <c r="AE1841">
        <v>169</v>
      </c>
      <c r="AF1841" t="s">
        <v>2910</v>
      </c>
      <c r="AG1841" t="s">
        <v>2915</v>
      </c>
      <c r="AH1841">
        <v>24</v>
      </c>
      <c r="AI1841">
        <v>1</v>
      </c>
      <c r="AJ1841">
        <v>0</v>
      </c>
      <c r="AK1841">
        <v>81.65000000000001</v>
      </c>
      <c r="AN1841" t="s">
        <v>2926</v>
      </c>
      <c r="AO1841">
        <v>9912</v>
      </c>
      <c r="AU1841">
        <v>0.5</v>
      </c>
      <c r="AV1841" t="s">
        <v>381</v>
      </c>
      <c r="AW1841" t="s">
        <v>76</v>
      </c>
    </row>
    <row r="1842" spans="1:50">
      <c r="A1842" s="1" t="s">
        <v>79</v>
      </c>
      <c r="B1842" t="s">
        <v>163</v>
      </c>
      <c r="C1842" t="s">
        <v>5052</v>
      </c>
      <c r="D1842" t="s">
        <v>384</v>
      </c>
      <c r="F1842" t="s">
        <v>530</v>
      </c>
      <c r="G1842" t="s">
        <v>890</v>
      </c>
      <c r="H1842" t="s">
        <v>9438</v>
      </c>
      <c r="I1842" t="s">
        <v>11308</v>
      </c>
      <c r="J1842" t="s">
        <v>1644</v>
      </c>
      <c r="K1842">
        <v>11208</v>
      </c>
      <c r="L1842" t="s">
        <v>1670</v>
      </c>
      <c r="M1842" t="s">
        <v>1670</v>
      </c>
      <c r="O1842" t="s">
        <v>1937</v>
      </c>
      <c r="P1842" t="s">
        <v>1962</v>
      </c>
      <c r="R1842" t="s">
        <v>50</v>
      </c>
      <c r="S1842" t="s">
        <v>1670</v>
      </c>
      <c r="U1842" t="s">
        <v>1972</v>
      </c>
      <c r="W1842" t="s">
        <v>196</v>
      </c>
      <c r="X1842">
        <v>400</v>
      </c>
      <c r="Y1842" t="s">
        <v>2009</v>
      </c>
      <c r="Z1842" t="s">
        <v>2017</v>
      </c>
      <c r="AB1842" t="s">
        <v>14348</v>
      </c>
      <c r="AD1842" t="s">
        <v>16763</v>
      </c>
      <c r="AE1842">
        <v>9</v>
      </c>
      <c r="AG1842" t="s">
        <v>1754</v>
      </c>
      <c r="AH1842" t="s">
        <v>13051</v>
      </c>
      <c r="AI1842">
        <v>1</v>
      </c>
      <c r="AJ1842">
        <v>0</v>
      </c>
      <c r="AK1842">
        <v>81.67</v>
      </c>
      <c r="AN1842" t="s">
        <v>2926</v>
      </c>
      <c r="AO1842">
        <v>10200</v>
      </c>
      <c r="AU1842">
        <v>4.8</v>
      </c>
      <c r="AV1842" t="s">
        <v>272</v>
      </c>
      <c r="AW1842" t="s">
        <v>3059</v>
      </c>
    </row>
    <row r="1843" spans="1:50">
      <c r="A1843" s="1" t="s">
        <v>79</v>
      </c>
      <c r="B1843" t="s">
        <v>163</v>
      </c>
      <c r="C1843" t="s">
        <v>5053</v>
      </c>
      <c r="D1843" t="s">
        <v>384</v>
      </c>
      <c r="F1843" t="s">
        <v>7009</v>
      </c>
      <c r="G1843" t="s">
        <v>835</v>
      </c>
      <c r="H1843" t="s">
        <v>10220</v>
      </c>
      <c r="J1843" t="s">
        <v>1644</v>
      </c>
      <c r="K1843">
        <v>11208</v>
      </c>
      <c r="L1843" t="s">
        <v>1670</v>
      </c>
      <c r="M1843" t="s">
        <v>1670</v>
      </c>
      <c r="O1843" t="s">
        <v>1937</v>
      </c>
      <c r="P1843" t="s">
        <v>1962</v>
      </c>
      <c r="R1843" t="s">
        <v>50</v>
      </c>
      <c r="S1843" t="s">
        <v>1670</v>
      </c>
      <c r="U1843" t="s">
        <v>1972</v>
      </c>
      <c r="W1843" t="s">
        <v>196</v>
      </c>
      <c r="X1843" t="s">
        <v>13051</v>
      </c>
      <c r="Y1843" t="s">
        <v>2009</v>
      </c>
      <c r="AB1843" t="s">
        <v>14349</v>
      </c>
      <c r="AE1843">
        <v>9</v>
      </c>
      <c r="AH1843" t="s">
        <v>13051</v>
      </c>
      <c r="AI1843">
        <v>1</v>
      </c>
      <c r="AJ1843">
        <v>0</v>
      </c>
      <c r="AK1843">
        <v>81.67</v>
      </c>
      <c r="AN1843" t="s">
        <v>2926</v>
      </c>
      <c r="AO1843">
        <v>10200</v>
      </c>
      <c r="AU1843" t="s">
        <v>13051</v>
      </c>
      <c r="AW1843" t="s">
        <v>3059</v>
      </c>
    </row>
    <row r="1844" spans="1:50">
      <c r="A1844" s="1" t="s">
        <v>74</v>
      </c>
      <c r="B1844" t="s">
        <v>163</v>
      </c>
      <c r="C1844" t="s">
        <v>5054</v>
      </c>
      <c r="D1844" t="s">
        <v>390</v>
      </c>
      <c r="F1844" t="s">
        <v>6796</v>
      </c>
      <c r="G1844" t="s">
        <v>8092</v>
      </c>
      <c r="H1844" t="s">
        <v>1131</v>
      </c>
      <c r="I1844" t="s">
        <v>1504</v>
      </c>
      <c r="J1844" t="s">
        <v>1641</v>
      </c>
      <c r="K1844">
        <v>10460</v>
      </c>
      <c r="L1844" t="s">
        <v>1670</v>
      </c>
      <c r="M1844" t="s">
        <v>1672</v>
      </c>
      <c r="N1844" t="s">
        <v>1691</v>
      </c>
      <c r="O1844" t="s">
        <v>1675</v>
      </c>
      <c r="P1844" t="s">
        <v>1959</v>
      </c>
      <c r="R1844" t="s">
        <v>50</v>
      </c>
      <c r="S1844" t="s">
        <v>1670</v>
      </c>
      <c r="U1844" t="s">
        <v>1972</v>
      </c>
      <c r="W1844" t="s">
        <v>1991</v>
      </c>
      <c r="X1844">
        <v>1200</v>
      </c>
      <c r="Y1844" t="s">
        <v>2006</v>
      </c>
      <c r="Z1844" t="s">
        <v>2015</v>
      </c>
      <c r="AB1844" t="s">
        <v>14350</v>
      </c>
      <c r="AD1844" t="s">
        <v>16764</v>
      </c>
      <c r="AE1844">
        <v>168</v>
      </c>
      <c r="AF1844" t="s">
        <v>2902</v>
      </c>
      <c r="AG1844" t="s">
        <v>2915</v>
      </c>
      <c r="AH1844">
        <v>4</v>
      </c>
      <c r="AI1844">
        <v>1</v>
      </c>
      <c r="AJ1844">
        <v>0</v>
      </c>
      <c r="AK1844">
        <v>81.67</v>
      </c>
      <c r="AN1844" t="s">
        <v>2926</v>
      </c>
      <c r="AO1844">
        <v>10200</v>
      </c>
      <c r="AU1844" t="s">
        <v>13051</v>
      </c>
      <c r="AW1844" t="s">
        <v>3054</v>
      </c>
      <c r="AX1844" t="s">
        <v>18685</v>
      </c>
    </row>
    <row r="1845" spans="1:50">
      <c r="A1845" s="1" t="s">
        <v>57</v>
      </c>
      <c r="B1845" t="s">
        <v>163</v>
      </c>
      <c r="C1845" t="s">
        <v>5055</v>
      </c>
      <c r="D1845" t="s">
        <v>182</v>
      </c>
      <c r="F1845" t="s">
        <v>6855</v>
      </c>
      <c r="G1845" t="s">
        <v>8734</v>
      </c>
      <c r="H1845" t="s">
        <v>1112</v>
      </c>
      <c r="I1845" t="s">
        <v>11305</v>
      </c>
      <c r="J1845" t="s">
        <v>1641</v>
      </c>
      <c r="K1845">
        <v>10453</v>
      </c>
      <c r="L1845" t="s">
        <v>1670</v>
      </c>
      <c r="M1845" t="s">
        <v>1670</v>
      </c>
      <c r="O1845" t="s">
        <v>1938</v>
      </c>
      <c r="P1845" t="s">
        <v>1961</v>
      </c>
      <c r="R1845" t="s">
        <v>50</v>
      </c>
      <c r="S1845" t="s">
        <v>1670</v>
      </c>
      <c r="U1845" t="s">
        <v>1972</v>
      </c>
      <c r="W1845" t="s">
        <v>392</v>
      </c>
      <c r="X1845">
        <v>97</v>
      </c>
      <c r="Y1845" t="s">
        <v>2006</v>
      </c>
      <c r="Z1845" t="s">
        <v>2015</v>
      </c>
      <c r="AB1845" t="s">
        <v>14351</v>
      </c>
      <c r="AD1845" t="s">
        <v>16765</v>
      </c>
      <c r="AE1845">
        <v>170</v>
      </c>
      <c r="AF1845" t="s">
        <v>2902</v>
      </c>
      <c r="AG1845" t="s">
        <v>2915</v>
      </c>
      <c r="AH1845">
        <v>35</v>
      </c>
      <c r="AI1845">
        <v>1</v>
      </c>
      <c r="AJ1845">
        <v>0</v>
      </c>
      <c r="AK1845">
        <v>81.67</v>
      </c>
      <c r="AN1845" t="s">
        <v>2927</v>
      </c>
      <c r="AO1845">
        <v>10200</v>
      </c>
      <c r="AU1845" t="s">
        <v>13051</v>
      </c>
      <c r="AW1845" t="s">
        <v>3047</v>
      </c>
      <c r="AX1845" t="s">
        <v>18685</v>
      </c>
    </row>
    <row r="1846" spans="1:50">
      <c r="A1846" s="1" t="s">
        <v>107</v>
      </c>
      <c r="B1846" t="s">
        <v>163</v>
      </c>
      <c r="C1846" t="s">
        <v>5056</v>
      </c>
      <c r="D1846" t="s">
        <v>265</v>
      </c>
      <c r="F1846" t="s">
        <v>7547</v>
      </c>
      <c r="G1846" t="s">
        <v>6782</v>
      </c>
      <c r="H1846" t="s">
        <v>10221</v>
      </c>
      <c r="J1846" t="s">
        <v>1644</v>
      </c>
      <c r="K1846">
        <v>11208</v>
      </c>
      <c r="L1846" t="s">
        <v>1670</v>
      </c>
      <c r="M1846" t="s">
        <v>1671</v>
      </c>
      <c r="N1846" t="s">
        <v>12376</v>
      </c>
      <c r="O1846" t="s">
        <v>1940</v>
      </c>
      <c r="P1846" t="s">
        <v>1960</v>
      </c>
      <c r="R1846" t="s">
        <v>50</v>
      </c>
      <c r="S1846" t="s">
        <v>1671</v>
      </c>
      <c r="U1846" t="s">
        <v>1972</v>
      </c>
      <c r="V1846" t="s">
        <v>1985</v>
      </c>
      <c r="W1846" t="s">
        <v>249</v>
      </c>
      <c r="X1846">
        <v>1234</v>
      </c>
      <c r="Y1846" t="s">
        <v>2009</v>
      </c>
      <c r="Z1846" t="s">
        <v>2024</v>
      </c>
      <c r="AB1846" t="s">
        <v>14352</v>
      </c>
      <c r="AD1846" t="s">
        <v>16766</v>
      </c>
      <c r="AE1846">
        <v>210</v>
      </c>
      <c r="AG1846" t="s">
        <v>1754</v>
      </c>
      <c r="AH1846">
        <v>5</v>
      </c>
      <c r="AI1846">
        <v>1</v>
      </c>
      <c r="AJ1846">
        <v>0</v>
      </c>
      <c r="AK1846">
        <v>81.67</v>
      </c>
      <c r="AN1846" t="s">
        <v>2926</v>
      </c>
      <c r="AO1846">
        <v>10200</v>
      </c>
      <c r="AU1846">
        <v>15.7</v>
      </c>
      <c r="AV1846" t="s">
        <v>179</v>
      </c>
      <c r="AW1846" t="s">
        <v>3059</v>
      </c>
      <c r="AX1846" t="s">
        <v>18685</v>
      </c>
    </row>
    <row r="1847" spans="1:50">
      <c r="A1847" s="1" t="s">
        <v>103</v>
      </c>
      <c r="B1847" t="s">
        <v>163</v>
      </c>
      <c r="C1847" t="s">
        <v>5057</v>
      </c>
      <c r="D1847" t="s">
        <v>177</v>
      </c>
      <c r="F1847" t="s">
        <v>6916</v>
      </c>
      <c r="G1847" t="s">
        <v>914</v>
      </c>
      <c r="H1847" t="s">
        <v>10222</v>
      </c>
      <c r="I1847">
        <v>382</v>
      </c>
      <c r="J1847" t="s">
        <v>1644</v>
      </c>
      <c r="K1847">
        <v>11208</v>
      </c>
      <c r="L1847" t="s">
        <v>1670</v>
      </c>
      <c r="M1847" t="s">
        <v>1671</v>
      </c>
      <c r="N1847" t="s">
        <v>12377</v>
      </c>
      <c r="O1847" t="s">
        <v>1936</v>
      </c>
      <c r="P1847" t="s">
        <v>1960</v>
      </c>
      <c r="R1847" t="s">
        <v>50</v>
      </c>
      <c r="S1847" t="s">
        <v>1671</v>
      </c>
      <c r="U1847" t="s">
        <v>1972</v>
      </c>
      <c r="V1847" t="s">
        <v>1984</v>
      </c>
      <c r="W1847" t="s">
        <v>295</v>
      </c>
      <c r="X1847">
        <v>913.65</v>
      </c>
      <c r="Y1847" t="s">
        <v>2009</v>
      </c>
      <c r="Z1847" t="s">
        <v>2015</v>
      </c>
      <c r="AB1847" t="s">
        <v>14353</v>
      </c>
      <c r="AC1847" t="s">
        <v>15221</v>
      </c>
      <c r="AD1847" t="s">
        <v>16767</v>
      </c>
      <c r="AE1847">
        <v>322</v>
      </c>
      <c r="AF1847" t="s">
        <v>2902</v>
      </c>
      <c r="AG1847" t="s">
        <v>2915</v>
      </c>
      <c r="AH1847">
        <v>10</v>
      </c>
      <c r="AI1847">
        <v>1</v>
      </c>
      <c r="AJ1847">
        <v>0</v>
      </c>
      <c r="AK1847">
        <v>81.67</v>
      </c>
      <c r="AN1847" t="s">
        <v>2926</v>
      </c>
      <c r="AO1847">
        <v>10200</v>
      </c>
      <c r="AU1847">
        <v>8.25</v>
      </c>
      <c r="AV1847" t="s">
        <v>275</v>
      </c>
      <c r="AW1847" t="s">
        <v>3060</v>
      </c>
      <c r="AX1847" t="s">
        <v>18685</v>
      </c>
    </row>
    <row r="1848" spans="1:50">
      <c r="A1848" s="1" t="s">
        <v>57</v>
      </c>
      <c r="B1848" t="s">
        <v>163</v>
      </c>
      <c r="C1848" t="s">
        <v>5058</v>
      </c>
      <c r="D1848" t="s">
        <v>182</v>
      </c>
      <c r="F1848" t="s">
        <v>6855</v>
      </c>
      <c r="G1848" t="s">
        <v>8734</v>
      </c>
      <c r="H1848" t="s">
        <v>1112</v>
      </c>
      <c r="I1848" t="s">
        <v>11305</v>
      </c>
      <c r="J1848" t="s">
        <v>1641</v>
      </c>
      <c r="K1848">
        <v>10453</v>
      </c>
      <c r="L1848" t="s">
        <v>1670</v>
      </c>
      <c r="M1848" t="s">
        <v>1670</v>
      </c>
      <c r="N1848" t="s">
        <v>1677</v>
      </c>
      <c r="O1848" t="s">
        <v>1939</v>
      </c>
      <c r="P1848" t="s">
        <v>1960</v>
      </c>
      <c r="R1848" t="s">
        <v>50</v>
      </c>
      <c r="S1848" t="s">
        <v>1670</v>
      </c>
      <c r="U1848" t="s">
        <v>1972</v>
      </c>
      <c r="W1848" t="s">
        <v>283</v>
      </c>
      <c r="X1848">
        <v>97</v>
      </c>
      <c r="Y1848" t="s">
        <v>2006</v>
      </c>
      <c r="Z1848" t="s">
        <v>2015</v>
      </c>
      <c r="AB1848" t="s">
        <v>14351</v>
      </c>
      <c r="AD1848" t="s">
        <v>16765</v>
      </c>
      <c r="AE1848">
        <v>170</v>
      </c>
      <c r="AF1848" t="s">
        <v>2902</v>
      </c>
      <c r="AG1848" t="s">
        <v>2915</v>
      </c>
      <c r="AH1848">
        <v>35</v>
      </c>
      <c r="AI1848">
        <v>1</v>
      </c>
      <c r="AJ1848">
        <v>0</v>
      </c>
      <c r="AK1848">
        <v>81.67</v>
      </c>
      <c r="AN1848" t="s">
        <v>2927</v>
      </c>
      <c r="AO1848">
        <v>10200</v>
      </c>
      <c r="AU1848" t="s">
        <v>13051</v>
      </c>
      <c r="AW1848" t="s">
        <v>3047</v>
      </c>
    </row>
    <row r="1849" spans="1:50">
      <c r="A1849" s="1" t="s">
        <v>74</v>
      </c>
      <c r="B1849" t="s">
        <v>163</v>
      </c>
      <c r="C1849" t="s">
        <v>5059</v>
      </c>
      <c r="D1849" t="s">
        <v>191</v>
      </c>
      <c r="F1849" t="s">
        <v>7367</v>
      </c>
      <c r="G1849" t="s">
        <v>8501</v>
      </c>
      <c r="H1849" t="s">
        <v>1131</v>
      </c>
      <c r="I1849" t="s">
        <v>11037</v>
      </c>
      <c r="J1849" t="s">
        <v>1641</v>
      </c>
      <c r="K1849">
        <v>10460</v>
      </c>
      <c r="L1849" t="s">
        <v>1670</v>
      </c>
      <c r="M1849" t="s">
        <v>1672</v>
      </c>
      <c r="N1849" t="s">
        <v>1691</v>
      </c>
      <c r="O1849" t="s">
        <v>1675</v>
      </c>
      <c r="P1849" t="s">
        <v>1959</v>
      </c>
      <c r="R1849" t="s">
        <v>50</v>
      </c>
      <c r="S1849" t="s">
        <v>1670</v>
      </c>
      <c r="U1849" t="s">
        <v>1972</v>
      </c>
      <c r="W1849" t="s">
        <v>1991</v>
      </c>
      <c r="X1849">
        <v>391</v>
      </c>
      <c r="Y1849" t="s">
        <v>2006</v>
      </c>
      <c r="Z1849" t="s">
        <v>2015</v>
      </c>
      <c r="AB1849" t="s">
        <v>14354</v>
      </c>
      <c r="AD1849" t="s">
        <v>16768</v>
      </c>
      <c r="AE1849">
        <v>168</v>
      </c>
      <c r="AF1849" t="s">
        <v>2902</v>
      </c>
      <c r="AG1849" t="s">
        <v>2915</v>
      </c>
      <c r="AH1849">
        <v>10</v>
      </c>
      <c r="AI1849">
        <v>2</v>
      </c>
      <c r="AJ1849">
        <v>0</v>
      </c>
      <c r="AK1849">
        <v>81.75</v>
      </c>
      <c r="AN1849" t="s">
        <v>2927</v>
      </c>
      <c r="AO1849">
        <v>13824</v>
      </c>
      <c r="AU1849">
        <v>1.5</v>
      </c>
      <c r="AV1849" t="s">
        <v>3034</v>
      </c>
      <c r="AW1849" t="s">
        <v>3047</v>
      </c>
      <c r="AX1849" t="s">
        <v>18685</v>
      </c>
    </row>
    <row r="1850" spans="1:50">
      <c r="A1850" s="1" t="s">
        <v>54</v>
      </c>
      <c r="B1850" t="s">
        <v>163</v>
      </c>
      <c r="C1850" t="s">
        <v>5060</v>
      </c>
      <c r="D1850" t="s">
        <v>337</v>
      </c>
      <c r="F1850" t="s">
        <v>7179</v>
      </c>
      <c r="G1850" t="s">
        <v>8735</v>
      </c>
      <c r="H1850" t="s">
        <v>9945</v>
      </c>
      <c r="I1850" t="s">
        <v>1562</v>
      </c>
      <c r="J1850" t="s">
        <v>1643</v>
      </c>
      <c r="K1850">
        <v>10033</v>
      </c>
      <c r="L1850" t="s">
        <v>1670</v>
      </c>
      <c r="M1850" t="s">
        <v>1672</v>
      </c>
      <c r="O1850" t="s">
        <v>1947</v>
      </c>
      <c r="P1850" t="s">
        <v>1962</v>
      </c>
      <c r="R1850" t="s">
        <v>50</v>
      </c>
      <c r="S1850" t="s">
        <v>1671</v>
      </c>
      <c r="U1850" t="s">
        <v>1974</v>
      </c>
      <c r="W1850" t="s">
        <v>337</v>
      </c>
      <c r="X1850">
        <v>798</v>
      </c>
      <c r="Y1850" t="s">
        <v>2008</v>
      </c>
      <c r="Z1850" t="s">
        <v>2020</v>
      </c>
      <c r="AB1850" t="s">
        <v>14355</v>
      </c>
      <c r="AD1850" t="s">
        <v>16769</v>
      </c>
      <c r="AE1850">
        <v>39</v>
      </c>
      <c r="AF1850" t="s">
        <v>2902</v>
      </c>
      <c r="AG1850" t="s">
        <v>2918</v>
      </c>
      <c r="AH1850">
        <v>43</v>
      </c>
      <c r="AI1850">
        <v>1</v>
      </c>
      <c r="AJ1850">
        <v>0</v>
      </c>
      <c r="AK1850">
        <v>81.76000000000001</v>
      </c>
      <c r="AN1850" t="s">
        <v>2926</v>
      </c>
      <c r="AO1850">
        <v>10212</v>
      </c>
      <c r="AU1850" t="s">
        <v>13051</v>
      </c>
      <c r="AW1850" t="s">
        <v>3042</v>
      </c>
      <c r="AX1850" t="s">
        <v>18685</v>
      </c>
    </row>
    <row r="1851" spans="1:50">
      <c r="A1851" s="1" t="s">
        <v>53</v>
      </c>
      <c r="B1851" t="s">
        <v>163</v>
      </c>
      <c r="C1851" t="s">
        <v>5061</v>
      </c>
      <c r="D1851" t="s">
        <v>239</v>
      </c>
      <c r="F1851" t="s">
        <v>605</v>
      </c>
      <c r="G1851" t="s">
        <v>8736</v>
      </c>
      <c r="H1851" t="s">
        <v>10223</v>
      </c>
      <c r="J1851" t="s">
        <v>1655</v>
      </c>
      <c r="K1851">
        <v>11369</v>
      </c>
      <c r="L1851" t="s">
        <v>1670</v>
      </c>
      <c r="M1851" t="s">
        <v>1670</v>
      </c>
      <c r="N1851" t="s">
        <v>12378</v>
      </c>
      <c r="O1851" t="s">
        <v>1940</v>
      </c>
      <c r="P1851" t="s">
        <v>1960</v>
      </c>
      <c r="R1851" t="s">
        <v>50</v>
      </c>
      <c r="S1851" t="s">
        <v>1671</v>
      </c>
      <c r="U1851" t="s">
        <v>1972</v>
      </c>
      <c r="V1851" t="s">
        <v>1984</v>
      </c>
      <c r="W1851" t="s">
        <v>239</v>
      </c>
      <c r="X1851">
        <v>800</v>
      </c>
      <c r="Y1851" t="s">
        <v>2007</v>
      </c>
      <c r="Z1851" t="s">
        <v>2014</v>
      </c>
      <c r="AB1851" t="s">
        <v>14356</v>
      </c>
      <c r="AD1851" t="s">
        <v>16770</v>
      </c>
      <c r="AE1851" t="s">
        <v>13051</v>
      </c>
      <c r="AH1851">
        <v>10</v>
      </c>
      <c r="AI1851">
        <v>1</v>
      </c>
      <c r="AJ1851">
        <v>0</v>
      </c>
      <c r="AK1851">
        <v>81.76000000000001</v>
      </c>
      <c r="AN1851" t="s">
        <v>2927</v>
      </c>
      <c r="AO1851">
        <v>10212</v>
      </c>
      <c r="AU1851">
        <v>17</v>
      </c>
      <c r="AV1851" t="s">
        <v>346</v>
      </c>
      <c r="AW1851" t="s">
        <v>3073</v>
      </c>
    </row>
    <row r="1852" spans="1:50">
      <c r="A1852" s="1" t="s">
        <v>54</v>
      </c>
      <c r="B1852" t="s">
        <v>163</v>
      </c>
      <c r="C1852" t="s">
        <v>5062</v>
      </c>
      <c r="D1852" t="s">
        <v>317</v>
      </c>
      <c r="F1852" t="s">
        <v>7179</v>
      </c>
      <c r="G1852" t="s">
        <v>8735</v>
      </c>
      <c r="H1852" t="s">
        <v>9945</v>
      </c>
      <c r="I1852" t="s">
        <v>1562</v>
      </c>
      <c r="J1852" t="s">
        <v>1643</v>
      </c>
      <c r="K1852">
        <v>10033</v>
      </c>
      <c r="L1852" t="s">
        <v>1670</v>
      </c>
      <c r="M1852" t="s">
        <v>1670</v>
      </c>
      <c r="O1852" t="s">
        <v>1936</v>
      </c>
      <c r="P1852" t="s">
        <v>1960</v>
      </c>
      <c r="R1852" t="s">
        <v>50</v>
      </c>
      <c r="S1852" t="s">
        <v>1671</v>
      </c>
      <c r="U1852" t="s">
        <v>1972</v>
      </c>
      <c r="W1852" t="s">
        <v>317</v>
      </c>
      <c r="X1852">
        <v>798</v>
      </c>
      <c r="Y1852" t="s">
        <v>2008</v>
      </c>
      <c r="Z1852" t="s">
        <v>2013</v>
      </c>
      <c r="AB1852" t="s">
        <v>14355</v>
      </c>
      <c r="AD1852" t="s">
        <v>16769</v>
      </c>
      <c r="AE1852">
        <v>39</v>
      </c>
      <c r="AF1852" t="s">
        <v>2902</v>
      </c>
      <c r="AG1852" t="s">
        <v>1754</v>
      </c>
      <c r="AH1852">
        <v>43</v>
      </c>
      <c r="AI1852">
        <v>1</v>
      </c>
      <c r="AJ1852">
        <v>0</v>
      </c>
      <c r="AK1852">
        <v>81.76000000000001</v>
      </c>
      <c r="AN1852" t="s">
        <v>2926</v>
      </c>
      <c r="AO1852">
        <v>10212</v>
      </c>
      <c r="AU1852">
        <v>44.1</v>
      </c>
      <c r="AV1852" t="s">
        <v>3034</v>
      </c>
      <c r="AW1852" t="s">
        <v>3042</v>
      </c>
      <c r="AX1852" t="s">
        <v>18685</v>
      </c>
    </row>
    <row r="1853" spans="1:50">
      <c r="A1853" s="1" t="s">
        <v>74</v>
      </c>
      <c r="B1853" t="s">
        <v>164</v>
      </c>
      <c r="C1853" t="s">
        <v>5063</v>
      </c>
      <c r="D1853" t="s">
        <v>194</v>
      </c>
      <c r="E1853" t="s">
        <v>359</v>
      </c>
      <c r="F1853" t="s">
        <v>7548</v>
      </c>
      <c r="G1853" t="s">
        <v>614</v>
      </c>
      <c r="H1853" t="s">
        <v>10224</v>
      </c>
      <c r="I1853" t="s">
        <v>1488</v>
      </c>
      <c r="J1853" t="s">
        <v>1641</v>
      </c>
      <c r="K1853">
        <v>10459</v>
      </c>
      <c r="L1853" t="s">
        <v>1670</v>
      </c>
      <c r="M1853" t="s">
        <v>1670</v>
      </c>
      <c r="O1853" t="s">
        <v>1936</v>
      </c>
      <c r="P1853" t="s">
        <v>1958</v>
      </c>
      <c r="Q1853" t="s">
        <v>1965</v>
      </c>
      <c r="R1853" t="s">
        <v>50</v>
      </c>
      <c r="S1853" t="s">
        <v>1671</v>
      </c>
      <c r="U1853" t="s">
        <v>1972</v>
      </c>
      <c r="W1853" t="s">
        <v>194</v>
      </c>
      <c r="X1853">
        <v>830</v>
      </c>
      <c r="Y1853" t="s">
        <v>2006</v>
      </c>
      <c r="Z1853" t="s">
        <v>2017</v>
      </c>
      <c r="AA1853" t="s">
        <v>2037</v>
      </c>
      <c r="AB1853" t="s">
        <v>13467</v>
      </c>
      <c r="AD1853" t="s">
        <v>16771</v>
      </c>
      <c r="AE1853">
        <v>10</v>
      </c>
      <c r="AF1853" t="s">
        <v>2902</v>
      </c>
      <c r="AG1853" t="s">
        <v>1754</v>
      </c>
      <c r="AH1853">
        <v>1</v>
      </c>
      <c r="AI1853">
        <v>1</v>
      </c>
      <c r="AJ1853">
        <v>0</v>
      </c>
      <c r="AK1853">
        <v>81.81</v>
      </c>
      <c r="AN1853" t="s">
        <v>2926</v>
      </c>
      <c r="AO1853">
        <v>9932</v>
      </c>
      <c r="AP1853" t="s">
        <v>18313</v>
      </c>
      <c r="AU1853">
        <v>0.9</v>
      </c>
      <c r="AV1853" t="s">
        <v>344</v>
      </c>
      <c r="AW1853" t="s">
        <v>3083</v>
      </c>
    </row>
    <row r="1854" spans="1:50">
      <c r="A1854" s="1" t="s">
        <v>130</v>
      </c>
      <c r="B1854" t="s">
        <v>164</v>
      </c>
      <c r="C1854" t="s">
        <v>5064</v>
      </c>
      <c r="D1854" t="s">
        <v>200</v>
      </c>
      <c r="E1854" t="s">
        <v>206</v>
      </c>
      <c r="F1854" t="s">
        <v>7297</v>
      </c>
      <c r="G1854" t="s">
        <v>843</v>
      </c>
      <c r="H1854" t="s">
        <v>10225</v>
      </c>
      <c r="I1854" t="s">
        <v>10957</v>
      </c>
      <c r="J1854" t="s">
        <v>1644</v>
      </c>
      <c r="K1854">
        <v>11237</v>
      </c>
      <c r="L1854" t="s">
        <v>1670</v>
      </c>
      <c r="M1854" t="s">
        <v>1670</v>
      </c>
      <c r="O1854" t="s">
        <v>1937</v>
      </c>
      <c r="P1854" t="s">
        <v>1959</v>
      </c>
      <c r="Q1854" t="s">
        <v>1966</v>
      </c>
      <c r="R1854" t="s">
        <v>50</v>
      </c>
      <c r="S1854" t="s">
        <v>1670</v>
      </c>
      <c r="U1854" t="s">
        <v>1972</v>
      </c>
      <c r="W1854" t="s">
        <v>252</v>
      </c>
      <c r="X1854">
        <v>972</v>
      </c>
      <c r="Y1854" t="s">
        <v>2009</v>
      </c>
      <c r="Z1854" t="s">
        <v>2020</v>
      </c>
      <c r="AA1854" t="s">
        <v>2030</v>
      </c>
      <c r="AB1854" t="s">
        <v>14357</v>
      </c>
      <c r="AE1854">
        <v>6</v>
      </c>
      <c r="AF1854" t="s">
        <v>2902</v>
      </c>
      <c r="AG1854" t="s">
        <v>1754</v>
      </c>
      <c r="AH1854">
        <v>19</v>
      </c>
      <c r="AI1854">
        <v>3</v>
      </c>
      <c r="AJ1854">
        <v>0</v>
      </c>
      <c r="AK1854">
        <v>81.81</v>
      </c>
      <c r="AN1854" t="s">
        <v>2927</v>
      </c>
      <c r="AO1854">
        <v>17000</v>
      </c>
      <c r="AU1854">
        <v>0.1</v>
      </c>
      <c r="AV1854" t="s">
        <v>208</v>
      </c>
      <c r="AW1854" t="s">
        <v>3060</v>
      </c>
      <c r="AX1854" t="s">
        <v>18685</v>
      </c>
    </row>
    <row r="1855" spans="1:50">
      <c r="A1855" s="1" t="s">
        <v>70</v>
      </c>
      <c r="B1855" t="s">
        <v>164</v>
      </c>
      <c r="C1855" t="s">
        <v>5065</v>
      </c>
      <c r="D1855" t="s">
        <v>224</v>
      </c>
      <c r="E1855" t="s">
        <v>273</v>
      </c>
      <c r="F1855" t="s">
        <v>7032</v>
      </c>
      <c r="G1855" t="s">
        <v>8737</v>
      </c>
      <c r="H1855" t="s">
        <v>10226</v>
      </c>
      <c r="I1855" t="s">
        <v>11309</v>
      </c>
      <c r="J1855" t="s">
        <v>1641</v>
      </c>
      <c r="K1855">
        <v>10451</v>
      </c>
      <c r="L1855" t="s">
        <v>1670</v>
      </c>
      <c r="M1855" t="s">
        <v>1670</v>
      </c>
      <c r="O1855" t="s">
        <v>1675</v>
      </c>
      <c r="P1855" t="s">
        <v>1958</v>
      </c>
      <c r="Q1855" t="s">
        <v>1965</v>
      </c>
      <c r="R1855" t="s">
        <v>50</v>
      </c>
      <c r="U1855" t="s">
        <v>1972</v>
      </c>
      <c r="V1855" t="s">
        <v>1984</v>
      </c>
      <c r="W1855" t="s">
        <v>273</v>
      </c>
      <c r="X1855">
        <v>502</v>
      </c>
      <c r="Y1855" t="s">
        <v>2006</v>
      </c>
      <c r="Z1855" t="s">
        <v>2015</v>
      </c>
      <c r="AA1855" t="s">
        <v>2029</v>
      </c>
      <c r="AB1855" t="s">
        <v>14358</v>
      </c>
      <c r="AD1855" t="s">
        <v>16772</v>
      </c>
      <c r="AE1855">
        <v>298</v>
      </c>
      <c r="AF1855" t="s">
        <v>2909</v>
      </c>
      <c r="AG1855" t="s">
        <v>1754</v>
      </c>
      <c r="AH1855" t="s">
        <v>13051</v>
      </c>
      <c r="AI1855">
        <v>1</v>
      </c>
      <c r="AJ1855">
        <v>0</v>
      </c>
      <c r="AK1855">
        <v>81.84999999999999</v>
      </c>
      <c r="AN1855" t="s">
        <v>2926</v>
      </c>
      <c r="AO1855">
        <v>9936</v>
      </c>
      <c r="AU1855">
        <v>0.25</v>
      </c>
      <c r="AV1855" t="s">
        <v>273</v>
      </c>
      <c r="AW1855" t="s">
        <v>3047</v>
      </c>
    </row>
    <row r="1856" spans="1:50">
      <c r="A1856" s="1" t="s">
        <v>115</v>
      </c>
      <c r="B1856" t="s">
        <v>164</v>
      </c>
      <c r="C1856" t="s">
        <v>5066</v>
      </c>
      <c r="D1856" t="s">
        <v>376</v>
      </c>
      <c r="E1856" t="s">
        <v>286</v>
      </c>
      <c r="F1856" t="s">
        <v>7032</v>
      </c>
      <c r="G1856" t="s">
        <v>8737</v>
      </c>
      <c r="H1856" t="s">
        <v>10226</v>
      </c>
      <c r="I1856" t="s">
        <v>11309</v>
      </c>
      <c r="J1856" t="s">
        <v>1641</v>
      </c>
      <c r="K1856">
        <v>10451</v>
      </c>
      <c r="L1856" t="s">
        <v>1670</v>
      </c>
      <c r="M1856" t="s">
        <v>1670</v>
      </c>
      <c r="O1856" t="s">
        <v>1675</v>
      </c>
      <c r="P1856" t="s">
        <v>1958</v>
      </c>
      <c r="Q1856" t="s">
        <v>1965</v>
      </c>
      <c r="R1856" t="s">
        <v>50</v>
      </c>
      <c r="S1856" t="s">
        <v>1671</v>
      </c>
      <c r="U1856" t="s">
        <v>1972</v>
      </c>
      <c r="W1856" t="s">
        <v>376</v>
      </c>
      <c r="X1856">
        <v>1425</v>
      </c>
      <c r="Y1856" t="s">
        <v>2006</v>
      </c>
      <c r="Z1856" t="s">
        <v>2015</v>
      </c>
      <c r="AA1856" t="s">
        <v>2029</v>
      </c>
      <c r="AB1856" t="s">
        <v>14358</v>
      </c>
      <c r="AD1856" t="s">
        <v>16772</v>
      </c>
      <c r="AE1856">
        <v>298</v>
      </c>
      <c r="AF1856" t="s">
        <v>2909</v>
      </c>
      <c r="AG1856" t="s">
        <v>2915</v>
      </c>
      <c r="AH1856">
        <v>1</v>
      </c>
      <c r="AI1856">
        <v>1</v>
      </c>
      <c r="AJ1856">
        <v>0</v>
      </c>
      <c r="AK1856">
        <v>81.84999999999999</v>
      </c>
      <c r="AN1856" t="s">
        <v>2926</v>
      </c>
      <c r="AO1856">
        <v>9936</v>
      </c>
      <c r="AU1856">
        <v>1.4</v>
      </c>
      <c r="AV1856" t="s">
        <v>286</v>
      </c>
      <c r="AW1856" t="s">
        <v>115</v>
      </c>
    </row>
    <row r="1857" spans="1:50">
      <c r="A1857" s="1" t="s">
        <v>3159</v>
      </c>
      <c r="B1857" t="s">
        <v>164</v>
      </c>
      <c r="C1857" t="s">
        <v>5067</v>
      </c>
      <c r="D1857" t="s">
        <v>231</v>
      </c>
      <c r="E1857" t="s">
        <v>177</v>
      </c>
      <c r="F1857" t="s">
        <v>7535</v>
      </c>
      <c r="G1857" t="s">
        <v>8718</v>
      </c>
      <c r="H1857" t="s">
        <v>9652</v>
      </c>
      <c r="I1857" t="s">
        <v>1517</v>
      </c>
      <c r="J1857" t="s">
        <v>1641</v>
      </c>
      <c r="K1857">
        <v>10461</v>
      </c>
      <c r="L1857" t="s">
        <v>1670</v>
      </c>
      <c r="M1857" t="s">
        <v>1670</v>
      </c>
      <c r="O1857" t="s">
        <v>1945</v>
      </c>
      <c r="P1857" t="s">
        <v>1962</v>
      </c>
      <c r="Q1857" t="s">
        <v>1968</v>
      </c>
      <c r="R1857" t="s">
        <v>50</v>
      </c>
      <c r="U1857" t="s">
        <v>1980</v>
      </c>
      <c r="V1857" t="s">
        <v>1984</v>
      </c>
      <c r="W1857" t="s">
        <v>231</v>
      </c>
      <c r="X1857">
        <v>800</v>
      </c>
      <c r="Y1857" t="s">
        <v>2006</v>
      </c>
      <c r="Z1857" t="s">
        <v>2020</v>
      </c>
      <c r="AA1857" t="s">
        <v>2030</v>
      </c>
      <c r="AB1857" t="s">
        <v>14318</v>
      </c>
      <c r="AC1857" t="s">
        <v>15215</v>
      </c>
      <c r="AD1857" t="s">
        <v>16734</v>
      </c>
      <c r="AE1857" t="s">
        <v>13051</v>
      </c>
      <c r="AF1857" t="s">
        <v>2902</v>
      </c>
      <c r="AG1857" t="s">
        <v>1754</v>
      </c>
      <c r="AH1857">
        <v>22</v>
      </c>
      <c r="AI1857">
        <v>1</v>
      </c>
      <c r="AJ1857">
        <v>0</v>
      </c>
      <c r="AK1857">
        <v>81.84999999999999</v>
      </c>
      <c r="AN1857" t="s">
        <v>2926</v>
      </c>
      <c r="AO1857">
        <v>9936</v>
      </c>
      <c r="AU1857">
        <v>1.8</v>
      </c>
      <c r="AV1857" t="s">
        <v>177</v>
      </c>
      <c r="AW1857" t="s">
        <v>18655</v>
      </c>
    </row>
    <row r="1858" spans="1:50">
      <c r="A1858" s="1" t="s">
        <v>118</v>
      </c>
      <c r="B1858" t="s">
        <v>163</v>
      </c>
      <c r="C1858" t="s">
        <v>5068</v>
      </c>
      <c r="D1858" t="s">
        <v>311</v>
      </c>
      <c r="F1858" t="s">
        <v>6796</v>
      </c>
      <c r="G1858" t="s">
        <v>897</v>
      </c>
      <c r="H1858" t="s">
        <v>9700</v>
      </c>
      <c r="I1858" t="s">
        <v>1488</v>
      </c>
      <c r="J1858" t="s">
        <v>1641</v>
      </c>
      <c r="K1858">
        <v>10452</v>
      </c>
      <c r="L1858" t="s">
        <v>1670</v>
      </c>
      <c r="M1858" t="s">
        <v>1670</v>
      </c>
      <c r="O1858" t="s">
        <v>1675</v>
      </c>
      <c r="P1858" t="s">
        <v>1959</v>
      </c>
      <c r="R1858" t="s">
        <v>50</v>
      </c>
      <c r="S1858" t="s">
        <v>1670</v>
      </c>
      <c r="U1858" t="s">
        <v>1972</v>
      </c>
      <c r="W1858" t="s">
        <v>359</v>
      </c>
      <c r="X1858">
        <v>828</v>
      </c>
      <c r="Y1858" t="s">
        <v>2006</v>
      </c>
      <c r="Z1858" t="s">
        <v>2015</v>
      </c>
      <c r="AB1858" t="s">
        <v>14359</v>
      </c>
      <c r="AC1858" t="s">
        <v>15222</v>
      </c>
      <c r="AE1858">
        <v>149</v>
      </c>
      <c r="AF1858" t="s">
        <v>2902</v>
      </c>
      <c r="AG1858" t="s">
        <v>2017</v>
      </c>
      <c r="AH1858">
        <v>2</v>
      </c>
      <c r="AI1858">
        <v>1</v>
      </c>
      <c r="AJ1858">
        <v>0</v>
      </c>
      <c r="AK1858">
        <v>81.84999999999999</v>
      </c>
      <c r="AN1858" t="s">
        <v>2926</v>
      </c>
      <c r="AO1858">
        <v>9936</v>
      </c>
      <c r="AU1858" t="s">
        <v>13051</v>
      </c>
      <c r="AW1858" t="s">
        <v>3054</v>
      </c>
    </row>
    <row r="1859" spans="1:50">
      <c r="A1859" s="1" t="s">
        <v>118</v>
      </c>
      <c r="B1859" t="s">
        <v>163</v>
      </c>
      <c r="C1859" t="s">
        <v>5069</v>
      </c>
      <c r="D1859" t="s">
        <v>302</v>
      </c>
      <c r="F1859" t="s">
        <v>6796</v>
      </c>
      <c r="G1859" t="s">
        <v>897</v>
      </c>
      <c r="H1859" t="s">
        <v>9700</v>
      </c>
      <c r="I1859" t="s">
        <v>1488</v>
      </c>
      <c r="J1859" t="s">
        <v>1641</v>
      </c>
      <c r="K1859">
        <v>10452</v>
      </c>
      <c r="L1859" t="s">
        <v>1670</v>
      </c>
      <c r="M1859" t="s">
        <v>1670</v>
      </c>
      <c r="N1859" t="s">
        <v>12379</v>
      </c>
      <c r="O1859" t="s">
        <v>1941</v>
      </c>
      <c r="P1859" t="s">
        <v>1964</v>
      </c>
      <c r="R1859" t="s">
        <v>50</v>
      </c>
      <c r="S1859" t="s">
        <v>1670</v>
      </c>
      <c r="U1859" t="s">
        <v>1972</v>
      </c>
      <c r="W1859" t="s">
        <v>1994</v>
      </c>
      <c r="X1859">
        <v>828</v>
      </c>
      <c r="Y1859" t="s">
        <v>2006</v>
      </c>
      <c r="Z1859" t="s">
        <v>2015</v>
      </c>
      <c r="AB1859" t="s">
        <v>14359</v>
      </c>
      <c r="AC1859" t="s">
        <v>15222</v>
      </c>
      <c r="AE1859">
        <v>149</v>
      </c>
      <c r="AF1859" t="s">
        <v>2902</v>
      </c>
      <c r="AH1859">
        <v>2</v>
      </c>
      <c r="AI1859">
        <v>1</v>
      </c>
      <c r="AJ1859">
        <v>0</v>
      </c>
      <c r="AK1859">
        <v>81.84999999999999</v>
      </c>
      <c r="AN1859" t="s">
        <v>2926</v>
      </c>
      <c r="AO1859">
        <v>9936</v>
      </c>
      <c r="AU1859" t="s">
        <v>13051</v>
      </c>
      <c r="AW1859" t="s">
        <v>3054</v>
      </c>
      <c r="AX1859" t="s">
        <v>18685</v>
      </c>
    </row>
    <row r="1860" spans="1:50">
      <c r="A1860" s="1" t="s">
        <v>74</v>
      </c>
      <c r="B1860" t="s">
        <v>163</v>
      </c>
      <c r="C1860" t="s">
        <v>5070</v>
      </c>
      <c r="D1860" t="s">
        <v>281</v>
      </c>
      <c r="F1860" t="s">
        <v>427</v>
      </c>
      <c r="G1860" t="s">
        <v>780</v>
      </c>
      <c r="H1860" t="s">
        <v>1131</v>
      </c>
      <c r="I1860" t="s">
        <v>11300</v>
      </c>
      <c r="J1860" t="s">
        <v>1641</v>
      </c>
      <c r="K1860">
        <v>10460</v>
      </c>
      <c r="L1860" t="s">
        <v>1670</v>
      </c>
      <c r="M1860" t="s">
        <v>1670</v>
      </c>
      <c r="N1860" t="s">
        <v>1692</v>
      </c>
      <c r="O1860" t="s">
        <v>1939</v>
      </c>
      <c r="P1860" t="s">
        <v>1960</v>
      </c>
      <c r="R1860" t="s">
        <v>50</v>
      </c>
      <c r="S1860" t="s">
        <v>1670</v>
      </c>
      <c r="U1860" t="s">
        <v>1972</v>
      </c>
      <c r="W1860" t="s">
        <v>283</v>
      </c>
      <c r="X1860">
        <v>1500</v>
      </c>
      <c r="Y1860" t="s">
        <v>2006</v>
      </c>
      <c r="Z1860" t="s">
        <v>2015</v>
      </c>
      <c r="AB1860" t="s">
        <v>14319</v>
      </c>
      <c r="AD1860" t="s">
        <v>16735</v>
      </c>
      <c r="AE1860">
        <v>168</v>
      </c>
      <c r="AF1860" t="s">
        <v>2902</v>
      </c>
      <c r="AG1860" t="s">
        <v>2919</v>
      </c>
      <c r="AH1860">
        <v>1</v>
      </c>
      <c r="AI1860">
        <v>1</v>
      </c>
      <c r="AJ1860">
        <v>0</v>
      </c>
      <c r="AK1860">
        <v>81.84999999999999</v>
      </c>
      <c r="AN1860" t="s">
        <v>2927</v>
      </c>
      <c r="AO1860">
        <v>9936</v>
      </c>
      <c r="AU1860" t="s">
        <v>13051</v>
      </c>
      <c r="AW1860" t="s">
        <v>3047</v>
      </c>
    </row>
    <row r="1861" spans="1:50">
      <c r="A1861" s="1" t="s">
        <v>118</v>
      </c>
      <c r="B1861" t="s">
        <v>163</v>
      </c>
      <c r="C1861" t="s">
        <v>5071</v>
      </c>
      <c r="D1861" t="s">
        <v>245</v>
      </c>
      <c r="F1861" t="s">
        <v>6796</v>
      </c>
      <c r="G1861" t="s">
        <v>897</v>
      </c>
      <c r="H1861" t="s">
        <v>9700</v>
      </c>
      <c r="I1861" t="s">
        <v>1488</v>
      </c>
      <c r="J1861" t="s">
        <v>1641</v>
      </c>
      <c r="K1861">
        <v>10452</v>
      </c>
      <c r="L1861" t="s">
        <v>1670</v>
      </c>
      <c r="M1861" t="s">
        <v>1670</v>
      </c>
      <c r="N1861" t="s">
        <v>12372</v>
      </c>
      <c r="O1861" t="s">
        <v>1939</v>
      </c>
      <c r="P1861" t="s">
        <v>1960</v>
      </c>
      <c r="R1861" t="s">
        <v>50</v>
      </c>
      <c r="S1861" t="s">
        <v>1670</v>
      </c>
      <c r="U1861" t="s">
        <v>1972</v>
      </c>
      <c r="W1861" t="s">
        <v>359</v>
      </c>
      <c r="X1861">
        <v>828</v>
      </c>
      <c r="Y1861" t="s">
        <v>2006</v>
      </c>
      <c r="Z1861" t="s">
        <v>2015</v>
      </c>
      <c r="AB1861" t="s">
        <v>14359</v>
      </c>
      <c r="AC1861" t="s">
        <v>15223</v>
      </c>
      <c r="AE1861">
        <v>149</v>
      </c>
      <c r="AF1861" t="s">
        <v>2902</v>
      </c>
      <c r="AH1861">
        <v>2</v>
      </c>
      <c r="AI1861">
        <v>1</v>
      </c>
      <c r="AJ1861">
        <v>0</v>
      </c>
      <c r="AK1861">
        <v>81.84999999999999</v>
      </c>
      <c r="AN1861" t="s">
        <v>2926</v>
      </c>
      <c r="AO1861">
        <v>9936</v>
      </c>
      <c r="AU1861" t="s">
        <v>13051</v>
      </c>
      <c r="AW1861" t="s">
        <v>3054</v>
      </c>
    </row>
    <row r="1862" spans="1:50">
      <c r="A1862" s="1" t="s">
        <v>53</v>
      </c>
      <c r="B1862" t="s">
        <v>164</v>
      </c>
      <c r="C1862" t="s">
        <v>5072</v>
      </c>
      <c r="D1862" t="s">
        <v>167</v>
      </c>
      <c r="E1862" t="s">
        <v>247</v>
      </c>
      <c r="F1862" t="s">
        <v>6796</v>
      </c>
      <c r="G1862" t="s">
        <v>8654</v>
      </c>
      <c r="H1862" t="s">
        <v>10227</v>
      </c>
      <c r="I1862" t="s">
        <v>11310</v>
      </c>
      <c r="J1862" t="s">
        <v>11756</v>
      </c>
      <c r="K1862">
        <v>11001</v>
      </c>
      <c r="L1862" t="s">
        <v>1670</v>
      </c>
      <c r="M1862" t="s">
        <v>1670</v>
      </c>
      <c r="N1862" t="s">
        <v>12380</v>
      </c>
      <c r="O1862" t="s">
        <v>1936</v>
      </c>
      <c r="P1862" t="s">
        <v>1958</v>
      </c>
      <c r="Q1862" t="s">
        <v>1965</v>
      </c>
      <c r="R1862" t="s">
        <v>50</v>
      </c>
      <c r="S1862" t="s">
        <v>1671</v>
      </c>
      <c r="U1862" t="s">
        <v>1972</v>
      </c>
      <c r="V1862" t="s">
        <v>1984</v>
      </c>
      <c r="W1862" t="s">
        <v>167</v>
      </c>
      <c r="X1862">
        <v>1600</v>
      </c>
      <c r="Y1862" t="s">
        <v>2007</v>
      </c>
      <c r="Z1862" t="s">
        <v>2014</v>
      </c>
      <c r="AA1862" t="s">
        <v>2029</v>
      </c>
      <c r="AB1862" t="s">
        <v>14360</v>
      </c>
      <c r="AD1862" t="s">
        <v>16773</v>
      </c>
      <c r="AE1862">
        <v>2</v>
      </c>
      <c r="AF1862" t="s">
        <v>2903</v>
      </c>
      <c r="AG1862" t="s">
        <v>1754</v>
      </c>
      <c r="AH1862">
        <v>3</v>
      </c>
      <c r="AI1862">
        <v>3</v>
      </c>
      <c r="AJ1862">
        <v>0</v>
      </c>
      <c r="AK1862">
        <v>81.86</v>
      </c>
      <c r="AN1862" t="s">
        <v>2926</v>
      </c>
      <c r="AO1862">
        <v>17010</v>
      </c>
      <c r="AU1862">
        <v>1.8</v>
      </c>
      <c r="AV1862" t="s">
        <v>375</v>
      </c>
      <c r="AW1862" t="s">
        <v>85</v>
      </c>
    </row>
    <row r="1863" spans="1:50">
      <c r="A1863" s="1" t="s">
        <v>59</v>
      </c>
      <c r="B1863" t="s">
        <v>164</v>
      </c>
      <c r="C1863" t="s">
        <v>5073</v>
      </c>
      <c r="D1863" t="s">
        <v>264</v>
      </c>
      <c r="E1863" t="s">
        <v>391</v>
      </c>
      <c r="F1863" t="s">
        <v>687</v>
      </c>
      <c r="G1863" t="s">
        <v>8268</v>
      </c>
      <c r="H1863" t="s">
        <v>10228</v>
      </c>
      <c r="I1863">
        <v>1</v>
      </c>
      <c r="J1863" t="s">
        <v>1641</v>
      </c>
      <c r="K1863">
        <v>10457</v>
      </c>
      <c r="L1863" t="s">
        <v>1670</v>
      </c>
      <c r="M1863" t="s">
        <v>1670</v>
      </c>
      <c r="O1863" t="s">
        <v>1939</v>
      </c>
      <c r="P1863" t="s">
        <v>1958</v>
      </c>
      <c r="Q1863" t="s">
        <v>1965</v>
      </c>
      <c r="R1863" t="s">
        <v>50</v>
      </c>
      <c r="S1863" t="s">
        <v>1671</v>
      </c>
      <c r="U1863" t="s">
        <v>1972</v>
      </c>
      <c r="W1863" t="s">
        <v>238</v>
      </c>
      <c r="X1863">
        <v>800</v>
      </c>
      <c r="Y1863" t="s">
        <v>2006</v>
      </c>
      <c r="Z1863" t="s">
        <v>2015</v>
      </c>
      <c r="AA1863" t="s">
        <v>2029</v>
      </c>
      <c r="AB1863" t="s">
        <v>14361</v>
      </c>
      <c r="AD1863" t="s">
        <v>16774</v>
      </c>
      <c r="AE1863">
        <v>3</v>
      </c>
      <c r="AF1863" t="s">
        <v>2907</v>
      </c>
      <c r="AG1863" t="s">
        <v>2916</v>
      </c>
      <c r="AH1863">
        <v>1</v>
      </c>
      <c r="AI1863">
        <v>1</v>
      </c>
      <c r="AJ1863">
        <v>0</v>
      </c>
      <c r="AK1863">
        <v>82.04000000000001</v>
      </c>
      <c r="AN1863" t="s">
        <v>2926</v>
      </c>
      <c r="AO1863">
        <v>9960</v>
      </c>
      <c r="AU1863">
        <v>0.1</v>
      </c>
      <c r="AV1863" t="s">
        <v>391</v>
      </c>
      <c r="AW1863" t="s">
        <v>3047</v>
      </c>
    </row>
    <row r="1864" spans="1:50">
      <c r="A1864" s="1" t="s">
        <v>115</v>
      </c>
      <c r="B1864" t="s">
        <v>164</v>
      </c>
      <c r="C1864" t="s">
        <v>5074</v>
      </c>
      <c r="D1864" t="s">
        <v>209</v>
      </c>
      <c r="E1864" t="s">
        <v>359</v>
      </c>
      <c r="F1864" t="s">
        <v>7276</v>
      </c>
      <c r="G1864" t="s">
        <v>8738</v>
      </c>
      <c r="H1864" t="s">
        <v>9700</v>
      </c>
      <c r="I1864">
        <v>41</v>
      </c>
      <c r="J1864" t="s">
        <v>1641</v>
      </c>
      <c r="K1864">
        <v>10452</v>
      </c>
      <c r="L1864" t="s">
        <v>1670</v>
      </c>
      <c r="M1864" t="s">
        <v>1670</v>
      </c>
      <c r="O1864" t="s">
        <v>1939</v>
      </c>
      <c r="P1864" t="s">
        <v>1958</v>
      </c>
      <c r="Q1864" t="s">
        <v>1965</v>
      </c>
      <c r="R1864" t="s">
        <v>50</v>
      </c>
      <c r="S1864" t="s">
        <v>1670</v>
      </c>
      <c r="U1864" t="s">
        <v>1972</v>
      </c>
      <c r="W1864" t="s">
        <v>359</v>
      </c>
      <c r="X1864">
        <v>252</v>
      </c>
      <c r="Y1864" t="s">
        <v>2006</v>
      </c>
      <c r="Z1864" t="s">
        <v>2015</v>
      </c>
      <c r="AA1864" t="s">
        <v>2029</v>
      </c>
      <c r="AB1864" t="s">
        <v>14362</v>
      </c>
      <c r="AC1864" t="s">
        <v>15224</v>
      </c>
      <c r="AD1864" t="s">
        <v>16775</v>
      </c>
      <c r="AE1864">
        <v>149</v>
      </c>
      <c r="AF1864" t="s">
        <v>2902</v>
      </c>
      <c r="AG1864" t="s">
        <v>2921</v>
      </c>
      <c r="AH1864">
        <v>2</v>
      </c>
      <c r="AI1864">
        <v>1</v>
      </c>
      <c r="AJ1864">
        <v>0</v>
      </c>
      <c r="AK1864">
        <v>82.04000000000001</v>
      </c>
      <c r="AN1864" t="s">
        <v>2926</v>
      </c>
      <c r="AO1864">
        <v>9960</v>
      </c>
      <c r="AU1864">
        <v>0.2</v>
      </c>
      <c r="AV1864" t="s">
        <v>271</v>
      </c>
      <c r="AW1864" t="s">
        <v>3054</v>
      </c>
    </row>
    <row r="1865" spans="1:50">
      <c r="A1865" s="1" t="s">
        <v>94</v>
      </c>
      <c r="B1865" t="s">
        <v>164</v>
      </c>
      <c r="C1865" t="s">
        <v>5075</v>
      </c>
      <c r="D1865" t="s">
        <v>378</v>
      </c>
      <c r="E1865" t="s">
        <v>260</v>
      </c>
      <c r="F1865" t="s">
        <v>7549</v>
      </c>
      <c r="G1865" t="s">
        <v>8739</v>
      </c>
      <c r="H1865" t="s">
        <v>10229</v>
      </c>
      <c r="I1865" t="s">
        <v>1544</v>
      </c>
      <c r="J1865" t="s">
        <v>1643</v>
      </c>
      <c r="K1865">
        <v>10034</v>
      </c>
      <c r="L1865" t="s">
        <v>1670</v>
      </c>
      <c r="M1865" t="s">
        <v>1670</v>
      </c>
      <c r="O1865" t="s">
        <v>1936</v>
      </c>
      <c r="P1865" t="s">
        <v>1958</v>
      </c>
      <c r="Q1865" t="s">
        <v>1965</v>
      </c>
      <c r="R1865" t="s">
        <v>50</v>
      </c>
      <c r="S1865" t="s">
        <v>1671</v>
      </c>
      <c r="U1865" t="s">
        <v>1972</v>
      </c>
      <c r="W1865" t="s">
        <v>378</v>
      </c>
      <c r="X1865">
        <v>983.47</v>
      </c>
      <c r="Y1865" t="s">
        <v>2008</v>
      </c>
      <c r="Z1865" t="s">
        <v>2013</v>
      </c>
      <c r="AA1865" t="s">
        <v>2029</v>
      </c>
      <c r="AB1865" t="s">
        <v>14363</v>
      </c>
      <c r="AD1865" t="s">
        <v>16776</v>
      </c>
      <c r="AE1865">
        <v>48</v>
      </c>
      <c r="AF1865" t="s">
        <v>2902</v>
      </c>
      <c r="AG1865" t="s">
        <v>2919</v>
      </c>
      <c r="AH1865">
        <v>26</v>
      </c>
      <c r="AI1865">
        <v>1</v>
      </c>
      <c r="AJ1865">
        <v>0</v>
      </c>
      <c r="AK1865">
        <v>82.04000000000001</v>
      </c>
      <c r="AN1865" t="s">
        <v>2926</v>
      </c>
      <c r="AO1865">
        <v>9960</v>
      </c>
      <c r="AU1865">
        <v>1.65</v>
      </c>
      <c r="AV1865" t="s">
        <v>260</v>
      </c>
      <c r="AW1865" t="s">
        <v>3042</v>
      </c>
    </row>
    <row r="1866" spans="1:50">
      <c r="A1866" s="1" t="s">
        <v>103</v>
      </c>
      <c r="B1866" t="s">
        <v>163</v>
      </c>
      <c r="C1866" t="s">
        <v>5076</v>
      </c>
      <c r="D1866" t="s">
        <v>306</v>
      </c>
      <c r="F1866" t="s">
        <v>544</v>
      </c>
      <c r="G1866" t="s">
        <v>914</v>
      </c>
      <c r="H1866" t="s">
        <v>10230</v>
      </c>
      <c r="I1866" t="s">
        <v>11311</v>
      </c>
      <c r="J1866" t="s">
        <v>1644</v>
      </c>
      <c r="K1866">
        <v>11212</v>
      </c>
      <c r="L1866" t="s">
        <v>1670</v>
      </c>
      <c r="M1866" t="s">
        <v>1670</v>
      </c>
      <c r="N1866" t="s">
        <v>12381</v>
      </c>
      <c r="O1866" t="s">
        <v>1940</v>
      </c>
      <c r="P1866" t="s">
        <v>1958</v>
      </c>
      <c r="R1866" t="s">
        <v>50</v>
      </c>
      <c r="S1866" t="s">
        <v>1671</v>
      </c>
      <c r="U1866" t="s">
        <v>1972</v>
      </c>
      <c r="W1866" t="s">
        <v>270</v>
      </c>
      <c r="X1866">
        <v>1260</v>
      </c>
      <c r="Y1866" t="s">
        <v>2009</v>
      </c>
      <c r="Z1866" t="s">
        <v>2014</v>
      </c>
      <c r="AB1866" t="s">
        <v>14364</v>
      </c>
      <c r="AC1866" t="s">
        <v>15225</v>
      </c>
      <c r="AD1866" t="s">
        <v>16777</v>
      </c>
      <c r="AE1866">
        <v>7</v>
      </c>
      <c r="AF1866" t="s">
        <v>2903</v>
      </c>
      <c r="AG1866" t="s">
        <v>2916</v>
      </c>
      <c r="AH1866">
        <v>2</v>
      </c>
      <c r="AI1866">
        <v>1</v>
      </c>
      <c r="AJ1866">
        <v>0</v>
      </c>
      <c r="AK1866">
        <v>82.04000000000001</v>
      </c>
      <c r="AN1866" t="s">
        <v>2926</v>
      </c>
      <c r="AO1866">
        <v>9960</v>
      </c>
      <c r="AU1866">
        <v>15</v>
      </c>
      <c r="AV1866" t="s">
        <v>253</v>
      </c>
      <c r="AW1866" t="s">
        <v>3059</v>
      </c>
    </row>
    <row r="1867" spans="1:50">
      <c r="A1867" s="1" t="s">
        <v>65</v>
      </c>
      <c r="B1867" t="s">
        <v>163</v>
      </c>
      <c r="C1867" t="s">
        <v>5077</v>
      </c>
      <c r="D1867" t="s">
        <v>309</v>
      </c>
      <c r="F1867" t="s">
        <v>7550</v>
      </c>
      <c r="G1867" t="s">
        <v>8740</v>
      </c>
      <c r="H1867" t="s">
        <v>10231</v>
      </c>
      <c r="I1867" t="s">
        <v>1506</v>
      </c>
      <c r="J1867" t="s">
        <v>1644</v>
      </c>
      <c r="K1867">
        <v>11213</v>
      </c>
      <c r="L1867" t="s">
        <v>1670</v>
      </c>
      <c r="M1867" t="s">
        <v>1672</v>
      </c>
      <c r="P1867" t="s">
        <v>1959</v>
      </c>
      <c r="R1867" t="s">
        <v>50</v>
      </c>
      <c r="U1867" t="s">
        <v>1972</v>
      </c>
      <c r="W1867" t="s">
        <v>271</v>
      </c>
      <c r="X1867" t="s">
        <v>13051</v>
      </c>
      <c r="Y1867" t="s">
        <v>2009</v>
      </c>
      <c r="AB1867" t="s">
        <v>14365</v>
      </c>
      <c r="AD1867" t="s">
        <v>16778</v>
      </c>
      <c r="AE1867" t="s">
        <v>13051</v>
      </c>
      <c r="AF1867" t="s">
        <v>2902</v>
      </c>
      <c r="AH1867">
        <v>51</v>
      </c>
      <c r="AI1867">
        <v>1</v>
      </c>
      <c r="AJ1867">
        <v>0</v>
      </c>
      <c r="AK1867">
        <v>82.04000000000001</v>
      </c>
      <c r="AN1867" t="s">
        <v>2926</v>
      </c>
      <c r="AO1867">
        <v>9960</v>
      </c>
      <c r="AU1867">
        <v>7.3</v>
      </c>
      <c r="AV1867" t="s">
        <v>254</v>
      </c>
      <c r="AW1867" t="s">
        <v>3049</v>
      </c>
      <c r="AX1867" t="s">
        <v>18685</v>
      </c>
    </row>
    <row r="1868" spans="1:50">
      <c r="A1868" s="1" t="s">
        <v>118</v>
      </c>
      <c r="B1868" t="s">
        <v>163</v>
      </c>
      <c r="C1868" t="s">
        <v>5078</v>
      </c>
      <c r="D1868" t="s">
        <v>209</v>
      </c>
      <c r="F1868" t="s">
        <v>7276</v>
      </c>
      <c r="G1868" t="s">
        <v>8738</v>
      </c>
      <c r="H1868" t="s">
        <v>9700</v>
      </c>
      <c r="I1868">
        <v>41</v>
      </c>
      <c r="J1868" t="s">
        <v>1641</v>
      </c>
      <c r="K1868">
        <v>10452</v>
      </c>
      <c r="L1868" t="s">
        <v>1670</v>
      </c>
      <c r="M1868" t="s">
        <v>1670</v>
      </c>
      <c r="O1868" t="s">
        <v>1675</v>
      </c>
      <c r="P1868" t="s">
        <v>1959</v>
      </c>
      <c r="R1868" t="s">
        <v>50</v>
      </c>
      <c r="S1868" t="s">
        <v>1670</v>
      </c>
      <c r="U1868" t="s">
        <v>1972</v>
      </c>
      <c r="W1868" t="s">
        <v>359</v>
      </c>
      <c r="X1868">
        <v>252</v>
      </c>
      <c r="Y1868" t="s">
        <v>2006</v>
      </c>
      <c r="Z1868" t="s">
        <v>2015</v>
      </c>
      <c r="AB1868" t="s">
        <v>14362</v>
      </c>
      <c r="AC1868" t="s">
        <v>15224</v>
      </c>
      <c r="AD1868" t="s">
        <v>16775</v>
      </c>
      <c r="AE1868">
        <v>149</v>
      </c>
      <c r="AF1868" t="s">
        <v>2902</v>
      </c>
      <c r="AG1868" t="s">
        <v>2921</v>
      </c>
      <c r="AH1868">
        <v>2</v>
      </c>
      <c r="AI1868">
        <v>1</v>
      </c>
      <c r="AJ1868">
        <v>0</v>
      </c>
      <c r="AK1868">
        <v>82.04000000000001</v>
      </c>
      <c r="AN1868" t="s">
        <v>2926</v>
      </c>
      <c r="AO1868">
        <v>9960</v>
      </c>
      <c r="AU1868" t="s">
        <v>13051</v>
      </c>
      <c r="AW1868" t="s">
        <v>3054</v>
      </c>
    </row>
    <row r="1869" spans="1:50">
      <c r="A1869" s="1" t="s">
        <v>118</v>
      </c>
      <c r="B1869" t="s">
        <v>163</v>
      </c>
      <c r="C1869" t="s">
        <v>5079</v>
      </c>
      <c r="D1869" t="s">
        <v>302</v>
      </c>
      <c r="F1869" t="s">
        <v>7276</v>
      </c>
      <c r="G1869" t="s">
        <v>8738</v>
      </c>
      <c r="H1869" t="s">
        <v>9700</v>
      </c>
      <c r="I1869">
        <v>41</v>
      </c>
      <c r="J1869" t="s">
        <v>1641</v>
      </c>
      <c r="K1869">
        <v>10452</v>
      </c>
      <c r="L1869" t="s">
        <v>1670</v>
      </c>
      <c r="M1869" t="s">
        <v>1670</v>
      </c>
      <c r="N1869" t="s">
        <v>12379</v>
      </c>
      <c r="O1869" t="s">
        <v>1941</v>
      </c>
      <c r="P1869" t="s">
        <v>1964</v>
      </c>
      <c r="R1869" t="s">
        <v>50</v>
      </c>
      <c r="S1869" t="s">
        <v>1670</v>
      </c>
      <c r="U1869" t="s">
        <v>13033</v>
      </c>
      <c r="W1869" t="s">
        <v>1994</v>
      </c>
      <c r="X1869">
        <v>252</v>
      </c>
      <c r="Y1869" t="s">
        <v>2006</v>
      </c>
      <c r="Z1869" t="s">
        <v>2015</v>
      </c>
      <c r="AB1869" t="s">
        <v>14362</v>
      </c>
      <c r="AC1869" t="s">
        <v>15226</v>
      </c>
      <c r="AD1869" t="s">
        <v>16775</v>
      </c>
      <c r="AE1869">
        <v>149</v>
      </c>
      <c r="AF1869" t="s">
        <v>2902</v>
      </c>
      <c r="AG1869" t="s">
        <v>2921</v>
      </c>
      <c r="AH1869">
        <v>2</v>
      </c>
      <c r="AI1869">
        <v>1</v>
      </c>
      <c r="AJ1869">
        <v>0</v>
      </c>
      <c r="AK1869">
        <v>82.04000000000001</v>
      </c>
      <c r="AN1869" t="s">
        <v>2926</v>
      </c>
      <c r="AO1869">
        <v>9960</v>
      </c>
      <c r="AU1869" t="s">
        <v>13051</v>
      </c>
      <c r="AW1869" t="s">
        <v>3054</v>
      </c>
      <c r="AX1869" t="s">
        <v>18685</v>
      </c>
    </row>
    <row r="1870" spans="1:50">
      <c r="A1870" s="1" t="s">
        <v>82</v>
      </c>
      <c r="B1870" t="s">
        <v>164</v>
      </c>
      <c r="C1870" t="s">
        <v>5080</v>
      </c>
      <c r="D1870" t="s">
        <v>308</v>
      </c>
      <c r="E1870" t="s">
        <v>268</v>
      </c>
      <c r="F1870" t="s">
        <v>7551</v>
      </c>
      <c r="G1870" t="s">
        <v>8741</v>
      </c>
      <c r="H1870" t="s">
        <v>10232</v>
      </c>
      <c r="J1870" t="s">
        <v>1644</v>
      </c>
      <c r="K1870">
        <v>11233</v>
      </c>
      <c r="L1870" t="s">
        <v>1670</v>
      </c>
      <c r="M1870" t="s">
        <v>1670</v>
      </c>
      <c r="N1870" t="s">
        <v>12382</v>
      </c>
      <c r="O1870" t="s">
        <v>1936</v>
      </c>
      <c r="P1870" t="s">
        <v>1960</v>
      </c>
      <c r="Q1870" t="s">
        <v>1967</v>
      </c>
      <c r="R1870" t="s">
        <v>50</v>
      </c>
      <c r="S1870" t="s">
        <v>1671</v>
      </c>
      <c r="U1870" t="s">
        <v>1972</v>
      </c>
      <c r="W1870" t="s">
        <v>308</v>
      </c>
      <c r="X1870">
        <v>1236</v>
      </c>
      <c r="Y1870" t="s">
        <v>2009</v>
      </c>
      <c r="Z1870" t="s">
        <v>2020</v>
      </c>
      <c r="AA1870" t="s">
        <v>2032</v>
      </c>
      <c r="AB1870" t="s">
        <v>14366</v>
      </c>
      <c r="AC1870" t="s">
        <v>15155</v>
      </c>
      <c r="AD1870" t="s">
        <v>16779</v>
      </c>
      <c r="AE1870">
        <v>43</v>
      </c>
      <c r="AF1870" t="s">
        <v>2902</v>
      </c>
      <c r="AG1870" t="s">
        <v>2921</v>
      </c>
      <c r="AH1870">
        <v>10</v>
      </c>
      <c r="AI1870">
        <v>1</v>
      </c>
      <c r="AJ1870">
        <v>0</v>
      </c>
      <c r="AK1870">
        <v>82.14</v>
      </c>
      <c r="AN1870" t="s">
        <v>2926</v>
      </c>
      <c r="AO1870">
        <v>9972</v>
      </c>
      <c r="AP1870" t="s">
        <v>2953</v>
      </c>
      <c r="AU1870">
        <v>11.2</v>
      </c>
      <c r="AV1870" t="s">
        <v>248</v>
      </c>
      <c r="AW1870" t="s">
        <v>3060</v>
      </c>
    </row>
    <row r="1871" spans="1:50">
      <c r="A1871" s="1" t="s">
        <v>54</v>
      </c>
      <c r="B1871" t="s">
        <v>163</v>
      </c>
      <c r="C1871" t="s">
        <v>5081</v>
      </c>
      <c r="D1871" t="s">
        <v>369</v>
      </c>
      <c r="F1871" t="s">
        <v>685</v>
      </c>
      <c r="G1871" t="s">
        <v>8742</v>
      </c>
      <c r="H1871" t="s">
        <v>1324</v>
      </c>
      <c r="I1871" t="s">
        <v>11312</v>
      </c>
      <c r="J1871" t="s">
        <v>1643</v>
      </c>
      <c r="K1871">
        <v>10034</v>
      </c>
      <c r="L1871" t="s">
        <v>1670</v>
      </c>
      <c r="M1871" t="s">
        <v>1672</v>
      </c>
      <c r="O1871" t="s">
        <v>1936</v>
      </c>
      <c r="P1871" t="s">
        <v>1958</v>
      </c>
      <c r="R1871" t="s">
        <v>50</v>
      </c>
      <c r="S1871" t="s">
        <v>1670</v>
      </c>
      <c r="U1871" t="s">
        <v>1972</v>
      </c>
      <c r="W1871" t="s">
        <v>369</v>
      </c>
      <c r="X1871">
        <v>856</v>
      </c>
      <c r="Y1871" t="s">
        <v>2008</v>
      </c>
      <c r="Z1871" t="s">
        <v>2013</v>
      </c>
      <c r="AB1871" t="s">
        <v>14367</v>
      </c>
      <c r="AD1871" t="s">
        <v>16780</v>
      </c>
      <c r="AE1871">
        <v>44</v>
      </c>
      <c r="AF1871" t="s">
        <v>2902</v>
      </c>
      <c r="AG1871" t="s">
        <v>2915</v>
      </c>
      <c r="AH1871">
        <v>44</v>
      </c>
      <c r="AI1871">
        <v>1</v>
      </c>
      <c r="AJ1871">
        <v>0</v>
      </c>
      <c r="AK1871">
        <v>82.23999999999999</v>
      </c>
      <c r="AN1871" t="s">
        <v>2926</v>
      </c>
      <c r="AO1871">
        <v>10272</v>
      </c>
      <c r="AU1871">
        <v>0.01</v>
      </c>
      <c r="AV1871" t="s">
        <v>337</v>
      </c>
      <c r="AW1871" t="s">
        <v>3042</v>
      </c>
      <c r="AX1871" t="s">
        <v>18685</v>
      </c>
    </row>
    <row r="1872" spans="1:50">
      <c r="A1872" s="1" t="s">
        <v>103</v>
      </c>
      <c r="B1872" t="s">
        <v>163</v>
      </c>
      <c r="C1872" t="s">
        <v>5082</v>
      </c>
      <c r="D1872" t="s">
        <v>356</v>
      </c>
      <c r="F1872" t="s">
        <v>7467</v>
      </c>
      <c r="G1872" t="s">
        <v>8743</v>
      </c>
      <c r="H1872" t="s">
        <v>10233</v>
      </c>
      <c r="I1872" t="s">
        <v>1513</v>
      </c>
      <c r="J1872" t="s">
        <v>1644</v>
      </c>
      <c r="K1872">
        <v>11208</v>
      </c>
      <c r="L1872" t="s">
        <v>1670</v>
      </c>
      <c r="M1872" t="s">
        <v>1671</v>
      </c>
      <c r="N1872" t="s">
        <v>12383</v>
      </c>
      <c r="O1872" t="s">
        <v>1940</v>
      </c>
      <c r="P1872" t="s">
        <v>1960</v>
      </c>
      <c r="R1872" t="s">
        <v>50</v>
      </c>
      <c r="S1872" t="s">
        <v>1671</v>
      </c>
      <c r="U1872" t="s">
        <v>1972</v>
      </c>
      <c r="V1872" t="s">
        <v>1984</v>
      </c>
      <c r="W1872" t="s">
        <v>195</v>
      </c>
      <c r="X1872">
        <v>1700</v>
      </c>
      <c r="Y1872" t="s">
        <v>2009</v>
      </c>
      <c r="Z1872" t="s">
        <v>2024</v>
      </c>
      <c r="AA1872" t="s">
        <v>2029</v>
      </c>
      <c r="AB1872" t="s">
        <v>14368</v>
      </c>
      <c r="AC1872" t="s">
        <v>15227</v>
      </c>
      <c r="AE1872">
        <v>3</v>
      </c>
      <c r="AF1872" t="s">
        <v>2903</v>
      </c>
      <c r="AG1872" t="s">
        <v>1754</v>
      </c>
      <c r="AH1872">
        <v>6</v>
      </c>
      <c r="AI1872">
        <v>2</v>
      </c>
      <c r="AJ1872">
        <v>0</v>
      </c>
      <c r="AK1872">
        <v>82.27</v>
      </c>
      <c r="AN1872" t="s">
        <v>2926</v>
      </c>
      <c r="AO1872">
        <v>13542</v>
      </c>
      <c r="AU1872">
        <v>15.35</v>
      </c>
      <c r="AV1872" t="s">
        <v>354</v>
      </c>
      <c r="AW1872" t="s">
        <v>3084</v>
      </c>
      <c r="AX1872" t="s">
        <v>18685</v>
      </c>
    </row>
    <row r="1873" spans="1:50">
      <c r="A1873" s="1" t="s">
        <v>97</v>
      </c>
      <c r="B1873" t="s">
        <v>163</v>
      </c>
      <c r="C1873" t="s">
        <v>5083</v>
      </c>
      <c r="D1873" t="s">
        <v>218</v>
      </c>
      <c r="F1873" t="s">
        <v>7552</v>
      </c>
      <c r="G1873" t="s">
        <v>8744</v>
      </c>
      <c r="H1873" t="s">
        <v>9507</v>
      </c>
      <c r="I1873">
        <v>35</v>
      </c>
      <c r="J1873" t="s">
        <v>1643</v>
      </c>
      <c r="K1873">
        <v>10034</v>
      </c>
      <c r="L1873" t="s">
        <v>1670</v>
      </c>
      <c r="M1873" t="s">
        <v>1670</v>
      </c>
      <c r="O1873" t="s">
        <v>1943</v>
      </c>
      <c r="P1873" t="s">
        <v>1959</v>
      </c>
      <c r="R1873" t="s">
        <v>50</v>
      </c>
      <c r="S1873" t="s">
        <v>1671</v>
      </c>
      <c r="U1873" t="s">
        <v>1972</v>
      </c>
      <c r="W1873" t="s">
        <v>356</v>
      </c>
      <c r="X1873">
        <v>892.88</v>
      </c>
      <c r="Y1873" t="s">
        <v>2008</v>
      </c>
      <c r="Z1873" t="s">
        <v>2020</v>
      </c>
      <c r="AB1873" t="s">
        <v>14369</v>
      </c>
      <c r="AD1873" t="s">
        <v>16781</v>
      </c>
      <c r="AE1873">
        <v>25</v>
      </c>
      <c r="AF1873" t="s">
        <v>2902</v>
      </c>
      <c r="AG1873" t="s">
        <v>2915</v>
      </c>
      <c r="AH1873">
        <v>40</v>
      </c>
      <c r="AI1873">
        <v>1</v>
      </c>
      <c r="AJ1873">
        <v>0</v>
      </c>
      <c r="AK1873">
        <v>82.31</v>
      </c>
      <c r="AN1873" t="s">
        <v>18045</v>
      </c>
      <c r="AO1873">
        <v>9992.4</v>
      </c>
      <c r="AU1873">
        <v>7.3</v>
      </c>
      <c r="AV1873" t="s">
        <v>3036</v>
      </c>
      <c r="AW1873" t="s">
        <v>3042</v>
      </c>
      <c r="AX1873" t="s">
        <v>18685</v>
      </c>
    </row>
    <row r="1874" spans="1:50">
      <c r="A1874" s="1" t="s">
        <v>97</v>
      </c>
      <c r="B1874" t="s">
        <v>163</v>
      </c>
      <c r="C1874" t="s">
        <v>5084</v>
      </c>
      <c r="D1874" t="s">
        <v>218</v>
      </c>
      <c r="F1874" t="s">
        <v>7552</v>
      </c>
      <c r="G1874" t="s">
        <v>8744</v>
      </c>
      <c r="H1874" t="s">
        <v>9507</v>
      </c>
      <c r="I1874">
        <v>35</v>
      </c>
      <c r="J1874" t="s">
        <v>1643</v>
      </c>
      <c r="K1874">
        <v>10034</v>
      </c>
      <c r="L1874" t="s">
        <v>1670</v>
      </c>
      <c r="M1874" t="s">
        <v>1670</v>
      </c>
      <c r="N1874" t="s">
        <v>12384</v>
      </c>
      <c r="O1874" t="s">
        <v>1939</v>
      </c>
      <c r="P1874" t="s">
        <v>1960</v>
      </c>
      <c r="R1874" t="s">
        <v>50</v>
      </c>
      <c r="S1874" t="s">
        <v>1671</v>
      </c>
      <c r="U1874" t="s">
        <v>1972</v>
      </c>
      <c r="W1874" t="s">
        <v>356</v>
      </c>
      <c r="X1874">
        <v>891.88</v>
      </c>
      <c r="Y1874" t="s">
        <v>2008</v>
      </c>
      <c r="Z1874" t="s">
        <v>2020</v>
      </c>
      <c r="AB1874" t="s">
        <v>14369</v>
      </c>
      <c r="AD1874" t="s">
        <v>16781</v>
      </c>
      <c r="AE1874">
        <v>25</v>
      </c>
      <c r="AF1874" t="s">
        <v>2902</v>
      </c>
      <c r="AG1874" t="s">
        <v>2915</v>
      </c>
      <c r="AH1874">
        <v>40</v>
      </c>
      <c r="AI1874">
        <v>1</v>
      </c>
      <c r="AJ1874">
        <v>0</v>
      </c>
      <c r="AK1874">
        <v>82.31</v>
      </c>
      <c r="AN1874" t="s">
        <v>18045</v>
      </c>
      <c r="AO1874">
        <v>9992.4</v>
      </c>
      <c r="AU1874">
        <v>33.6</v>
      </c>
      <c r="AV1874" t="s">
        <v>190</v>
      </c>
      <c r="AW1874" t="s">
        <v>3042</v>
      </c>
    </row>
    <row r="1875" spans="1:50">
      <c r="A1875" s="1" t="s">
        <v>91</v>
      </c>
      <c r="B1875" t="s">
        <v>164</v>
      </c>
      <c r="C1875" t="s">
        <v>5085</v>
      </c>
      <c r="D1875" t="s">
        <v>236</v>
      </c>
      <c r="E1875" t="s">
        <v>258</v>
      </c>
      <c r="F1875" t="s">
        <v>7440</v>
      </c>
      <c r="G1875" t="s">
        <v>8585</v>
      </c>
      <c r="H1875" t="s">
        <v>10048</v>
      </c>
      <c r="I1875" t="s">
        <v>1520</v>
      </c>
      <c r="J1875" t="s">
        <v>1643</v>
      </c>
      <c r="K1875">
        <v>10034</v>
      </c>
      <c r="L1875" t="s">
        <v>1670</v>
      </c>
      <c r="M1875" t="s">
        <v>1670</v>
      </c>
      <c r="O1875" t="s">
        <v>1675</v>
      </c>
      <c r="P1875" t="s">
        <v>1958</v>
      </c>
      <c r="Q1875" t="s">
        <v>1965</v>
      </c>
      <c r="R1875" t="s">
        <v>50</v>
      </c>
      <c r="U1875" t="s">
        <v>1972</v>
      </c>
      <c r="V1875" t="s">
        <v>1984</v>
      </c>
      <c r="W1875" t="s">
        <v>236</v>
      </c>
      <c r="X1875">
        <v>871.59</v>
      </c>
      <c r="Y1875" t="s">
        <v>2008</v>
      </c>
      <c r="Z1875" t="s">
        <v>2020</v>
      </c>
      <c r="AA1875" t="s">
        <v>2029</v>
      </c>
      <c r="AB1875" t="s">
        <v>14103</v>
      </c>
      <c r="AD1875" t="s">
        <v>16534</v>
      </c>
      <c r="AE1875" t="s">
        <v>13051</v>
      </c>
      <c r="AF1875" t="s">
        <v>2902</v>
      </c>
      <c r="AG1875" t="s">
        <v>1754</v>
      </c>
      <c r="AH1875">
        <v>12</v>
      </c>
      <c r="AI1875">
        <v>1</v>
      </c>
      <c r="AJ1875">
        <v>0</v>
      </c>
      <c r="AK1875">
        <v>82.34</v>
      </c>
      <c r="AN1875" t="s">
        <v>2927</v>
      </c>
      <c r="AO1875">
        <v>10284</v>
      </c>
      <c r="AU1875">
        <v>1.5</v>
      </c>
      <c r="AV1875" t="s">
        <v>336</v>
      </c>
      <c r="AW1875" t="s">
        <v>3042</v>
      </c>
    </row>
    <row r="1876" spans="1:50">
      <c r="A1876" s="1" t="s">
        <v>107</v>
      </c>
      <c r="B1876" t="s">
        <v>163</v>
      </c>
      <c r="C1876" t="s">
        <v>5086</v>
      </c>
      <c r="D1876" t="s">
        <v>271</v>
      </c>
      <c r="F1876" t="s">
        <v>7236</v>
      </c>
      <c r="G1876" t="s">
        <v>8745</v>
      </c>
      <c r="H1876" t="s">
        <v>10234</v>
      </c>
      <c r="I1876" t="s">
        <v>1627</v>
      </c>
      <c r="J1876" t="s">
        <v>1644</v>
      </c>
      <c r="K1876">
        <v>11207</v>
      </c>
      <c r="L1876" t="s">
        <v>1671</v>
      </c>
      <c r="M1876" t="s">
        <v>1671</v>
      </c>
      <c r="N1876" t="s">
        <v>12385</v>
      </c>
      <c r="O1876" t="s">
        <v>1936</v>
      </c>
      <c r="P1876" t="s">
        <v>1960</v>
      </c>
      <c r="R1876" t="s">
        <v>50</v>
      </c>
      <c r="S1876" t="s">
        <v>1671</v>
      </c>
      <c r="U1876" t="s">
        <v>1972</v>
      </c>
      <c r="V1876" t="s">
        <v>1983</v>
      </c>
      <c r="W1876" t="s">
        <v>249</v>
      </c>
      <c r="X1876">
        <v>1200</v>
      </c>
      <c r="Y1876" t="s">
        <v>2009</v>
      </c>
      <c r="Z1876" t="s">
        <v>2014</v>
      </c>
      <c r="AB1876" t="s">
        <v>14370</v>
      </c>
      <c r="AC1876" t="s">
        <v>15228</v>
      </c>
      <c r="AD1876" t="s">
        <v>16782</v>
      </c>
      <c r="AE1876">
        <v>2</v>
      </c>
      <c r="AF1876" t="s">
        <v>2903</v>
      </c>
      <c r="AG1876" t="s">
        <v>2920</v>
      </c>
      <c r="AH1876">
        <v>4</v>
      </c>
      <c r="AI1876">
        <v>1</v>
      </c>
      <c r="AJ1876">
        <v>0</v>
      </c>
      <c r="AK1876">
        <v>82.34</v>
      </c>
      <c r="AN1876" t="s">
        <v>2926</v>
      </c>
      <c r="AO1876">
        <v>9996</v>
      </c>
      <c r="AU1876">
        <v>10.9</v>
      </c>
      <c r="AV1876" t="s">
        <v>357</v>
      </c>
      <c r="AW1876" t="s">
        <v>3060</v>
      </c>
    </row>
    <row r="1877" spans="1:50">
      <c r="A1877" s="1" t="s">
        <v>3193</v>
      </c>
      <c r="B1877" t="s">
        <v>164</v>
      </c>
      <c r="C1877" t="s">
        <v>5087</v>
      </c>
      <c r="D1877" t="s">
        <v>166</v>
      </c>
      <c r="E1877" t="s">
        <v>6767</v>
      </c>
      <c r="F1877" t="s">
        <v>7467</v>
      </c>
      <c r="G1877" t="s">
        <v>8746</v>
      </c>
      <c r="H1877" t="s">
        <v>10235</v>
      </c>
      <c r="J1877" t="s">
        <v>1645</v>
      </c>
      <c r="K1877">
        <v>11691</v>
      </c>
      <c r="L1877" t="s">
        <v>1670</v>
      </c>
      <c r="M1877" t="s">
        <v>1670</v>
      </c>
      <c r="N1877" t="s">
        <v>12386</v>
      </c>
      <c r="O1877" t="s">
        <v>1940</v>
      </c>
      <c r="P1877" t="s">
        <v>1958</v>
      </c>
      <c r="Q1877" t="s">
        <v>1965</v>
      </c>
      <c r="R1877" t="s">
        <v>50</v>
      </c>
      <c r="S1877" t="s">
        <v>1671</v>
      </c>
      <c r="U1877" t="s">
        <v>1972</v>
      </c>
      <c r="V1877" t="s">
        <v>1984</v>
      </c>
      <c r="W1877" t="s">
        <v>173</v>
      </c>
      <c r="X1877" t="s">
        <v>13051</v>
      </c>
      <c r="Y1877" t="s">
        <v>2007</v>
      </c>
      <c r="Z1877" t="s">
        <v>2021</v>
      </c>
      <c r="AA1877" t="s">
        <v>2029</v>
      </c>
      <c r="AB1877" t="s">
        <v>14371</v>
      </c>
      <c r="AC1877" t="s">
        <v>1754</v>
      </c>
      <c r="AD1877" t="s">
        <v>16783</v>
      </c>
      <c r="AE1877">
        <v>2</v>
      </c>
      <c r="AF1877" t="s">
        <v>2903</v>
      </c>
      <c r="AG1877" t="s">
        <v>1754</v>
      </c>
      <c r="AH1877">
        <v>20</v>
      </c>
      <c r="AI1877">
        <v>1</v>
      </c>
      <c r="AJ1877">
        <v>0</v>
      </c>
      <c r="AK1877">
        <v>82.37</v>
      </c>
      <c r="AN1877" t="s">
        <v>2926</v>
      </c>
      <c r="AO1877">
        <v>10000</v>
      </c>
      <c r="AU1877">
        <v>2.05</v>
      </c>
      <c r="AV1877" t="s">
        <v>199</v>
      </c>
      <c r="AW1877" t="s">
        <v>3084</v>
      </c>
    </row>
    <row r="1878" spans="1:50">
      <c r="A1878" s="1" t="s">
        <v>3147</v>
      </c>
      <c r="B1878" t="s">
        <v>164</v>
      </c>
      <c r="C1878" t="s">
        <v>5088</v>
      </c>
      <c r="D1878" t="s">
        <v>245</v>
      </c>
      <c r="E1878" t="s">
        <v>330</v>
      </c>
      <c r="F1878" t="s">
        <v>605</v>
      </c>
      <c r="G1878" t="s">
        <v>8747</v>
      </c>
      <c r="H1878" t="s">
        <v>10236</v>
      </c>
      <c r="I1878">
        <v>1</v>
      </c>
      <c r="J1878" t="s">
        <v>1645</v>
      </c>
      <c r="K1878">
        <v>11691</v>
      </c>
      <c r="L1878" t="s">
        <v>1670</v>
      </c>
      <c r="M1878" t="s">
        <v>1670</v>
      </c>
      <c r="N1878" t="s">
        <v>12387</v>
      </c>
      <c r="O1878" t="s">
        <v>1936</v>
      </c>
      <c r="P1878" t="s">
        <v>1958</v>
      </c>
      <c r="Q1878" t="s">
        <v>1965</v>
      </c>
      <c r="R1878" t="s">
        <v>50</v>
      </c>
      <c r="S1878" t="s">
        <v>1671</v>
      </c>
      <c r="U1878" t="s">
        <v>1972</v>
      </c>
      <c r="V1878" t="s">
        <v>1983</v>
      </c>
      <c r="W1878" t="s">
        <v>245</v>
      </c>
      <c r="X1878">
        <v>1200</v>
      </c>
      <c r="Y1878" t="s">
        <v>2007</v>
      </c>
      <c r="Z1878" t="s">
        <v>2014</v>
      </c>
      <c r="AA1878" t="s">
        <v>2029</v>
      </c>
      <c r="AB1878" t="s">
        <v>14372</v>
      </c>
      <c r="AD1878" t="s">
        <v>16784</v>
      </c>
      <c r="AE1878">
        <v>2</v>
      </c>
      <c r="AF1878" t="s">
        <v>2904</v>
      </c>
      <c r="AG1878" t="s">
        <v>1754</v>
      </c>
      <c r="AH1878">
        <v>3</v>
      </c>
      <c r="AI1878">
        <v>1</v>
      </c>
      <c r="AJ1878">
        <v>0</v>
      </c>
      <c r="AK1878">
        <v>82.37</v>
      </c>
      <c r="AN1878" t="s">
        <v>2926</v>
      </c>
      <c r="AO1878">
        <v>10000</v>
      </c>
      <c r="AU1878">
        <v>0.4</v>
      </c>
      <c r="AV1878" t="s">
        <v>238</v>
      </c>
      <c r="AW1878" t="s">
        <v>3044</v>
      </c>
    </row>
    <row r="1879" spans="1:50">
      <c r="A1879" s="1" t="s">
        <v>115</v>
      </c>
      <c r="B1879" t="s">
        <v>164</v>
      </c>
      <c r="C1879" t="s">
        <v>5089</v>
      </c>
      <c r="D1879" t="s">
        <v>184</v>
      </c>
      <c r="E1879" t="s">
        <v>359</v>
      </c>
      <c r="F1879" t="s">
        <v>7553</v>
      </c>
      <c r="G1879" t="s">
        <v>8748</v>
      </c>
      <c r="H1879" t="s">
        <v>1114</v>
      </c>
      <c r="I1879" t="s">
        <v>10957</v>
      </c>
      <c r="J1879" t="s">
        <v>1641</v>
      </c>
      <c r="K1879">
        <v>10456</v>
      </c>
      <c r="L1879" t="s">
        <v>1670</v>
      </c>
      <c r="M1879" t="s">
        <v>1670</v>
      </c>
      <c r="O1879" t="s">
        <v>1938</v>
      </c>
      <c r="P1879" t="s">
        <v>1958</v>
      </c>
      <c r="Q1879" t="s">
        <v>1965</v>
      </c>
      <c r="R1879" t="s">
        <v>50</v>
      </c>
      <c r="S1879" t="s">
        <v>1670</v>
      </c>
      <c r="U1879" t="s">
        <v>1972</v>
      </c>
      <c r="W1879" t="s">
        <v>238</v>
      </c>
      <c r="X1879">
        <v>525</v>
      </c>
      <c r="Y1879" t="s">
        <v>2006</v>
      </c>
      <c r="Z1879" t="s">
        <v>2015</v>
      </c>
      <c r="AA1879" t="s">
        <v>2029</v>
      </c>
      <c r="AB1879" t="s">
        <v>14373</v>
      </c>
      <c r="AE1879">
        <v>131</v>
      </c>
      <c r="AF1879" t="s">
        <v>2902</v>
      </c>
      <c r="AG1879" t="s">
        <v>1754</v>
      </c>
      <c r="AH1879">
        <v>12</v>
      </c>
      <c r="AI1879">
        <v>1</v>
      </c>
      <c r="AJ1879">
        <v>0</v>
      </c>
      <c r="AK1879">
        <v>82.37</v>
      </c>
      <c r="AN1879" t="s">
        <v>2926</v>
      </c>
      <c r="AO1879">
        <v>10000</v>
      </c>
      <c r="AU1879">
        <v>0.2</v>
      </c>
      <c r="AV1879" t="s">
        <v>395</v>
      </c>
      <c r="AW1879" t="s">
        <v>3047</v>
      </c>
    </row>
    <row r="1880" spans="1:50">
      <c r="A1880" s="1" t="s">
        <v>54</v>
      </c>
      <c r="B1880" t="s">
        <v>164</v>
      </c>
      <c r="C1880" t="s">
        <v>5090</v>
      </c>
      <c r="D1880" t="s">
        <v>187</v>
      </c>
      <c r="E1880" t="s">
        <v>371</v>
      </c>
      <c r="F1880" t="s">
        <v>7554</v>
      </c>
      <c r="G1880" t="s">
        <v>8749</v>
      </c>
      <c r="H1880" t="s">
        <v>10237</v>
      </c>
      <c r="I1880">
        <v>51</v>
      </c>
      <c r="J1880" t="s">
        <v>1643</v>
      </c>
      <c r="K1880">
        <v>10034</v>
      </c>
      <c r="L1880" t="s">
        <v>1670</v>
      </c>
      <c r="M1880" t="s">
        <v>1670</v>
      </c>
      <c r="P1880" t="s">
        <v>1958</v>
      </c>
      <c r="Q1880" t="s">
        <v>1965</v>
      </c>
      <c r="R1880" t="s">
        <v>50</v>
      </c>
      <c r="S1880" t="s">
        <v>1671</v>
      </c>
      <c r="U1880" t="s">
        <v>1972</v>
      </c>
      <c r="W1880" t="s">
        <v>187</v>
      </c>
      <c r="X1880">
        <v>946.96</v>
      </c>
      <c r="Y1880" t="s">
        <v>2008</v>
      </c>
      <c r="Z1880" t="s">
        <v>2013</v>
      </c>
      <c r="AA1880" t="s">
        <v>2029</v>
      </c>
      <c r="AB1880" t="s">
        <v>14374</v>
      </c>
      <c r="AD1880" t="s">
        <v>16785</v>
      </c>
      <c r="AE1880" t="s">
        <v>13051</v>
      </c>
      <c r="AF1880" t="s">
        <v>2902</v>
      </c>
      <c r="AH1880">
        <v>23</v>
      </c>
      <c r="AI1880">
        <v>1</v>
      </c>
      <c r="AJ1880">
        <v>0</v>
      </c>
      <c r="AK1880">
        <v>82.37</v>
      </c>
      <c r="AN1880" t="s">
        <v>2926</v>
      </c>
      <c r="AO1880">
        <v>10000</v>
      </c>
      <c r="AU1880">
        <v>0.1</v>
      </c>
      <c r="AV1880" t="s">
        <v>3040</v>
      </c>
      <c r="AW1880" t="s">
        <v>3042</v>
      </c>
    </row>
    <row r="1881" spans="1:50">
      <c r="A1881" s="1" t="s">
        <v>135</v>
      </c>
      <c r="B1881" t="s">
        <v>163</v>
      </c>
      <c r="C1881" t="s">
        <v>5091</v>
      </c>
      <c r="D1881" t="s">
        <v>382</v>
      </c>
      <c r="F1881" t="s">
        <v>427</v>
      </c>
      <c r="G1881" t="s">
        <v>8750</v>
      </c>
      <c r="H1881" t="s">
        <v>9425</v>
      </c>
      <c r="I1881" t="s">
        <v>1519</v>
      </c>
      <c r="J1881" t="s">
        <v>1644</v>
      </c>
      <c r="K1881">
        <v>11216</v>
      </c>
      <c r="L1881" t="s">
        <v>1670</v>
      </c>
      <c r="M1881" t="s">
        <v>1670</v>
      </c>
      <c r="N1881" t="s">
        <v>1675</v>
      </c>
      <c r="O1881" t="s">
        <v>1675</v>
      </c>
      <c r="P1881" t="s">
        <v>1962</v>
      </c>
      <c r="R1881" t="s">
        <v>50</v>
      </c>
      <c r="S1881" t="s">
        <v>1670</v>
      </c>
      <c r="U1881" t="s">
        <v>1972</v>
      </c>
      <c r="V1881" t="s">
        <v>1984</v>
      </c>
      <c r="W1881" t="s">
        <v>2005</v>
      </c>
      <c r="X1881">
        <v>1650</v>
      </c>
      <c r="Y1881" t="s">
        <v>2009</v>
      </c>
      <c r="Z1881" t="s">
        <v>2016</v>
      </c>
      <c r="AB1881" t="s">
        <v>14375</v>
      </c>
      <c r="AC1881" t="s">
        <v>1754</v>
      </c>
      <c r="AD1881" t="s">
        <v>16786</v>
      </c>
      <c r="AE1881">
        <v>8</v>
      </c>
      <c r="AF1881" t="s">
        <v>2902</v>
      </c>
      <c r="AG1881" t="s">
        <v>1754</v>
      </c>
      <c r="AH1881">
        <v>1</v>
      </c>
      <c r="AI1881">
        <v>1</v>
      </c>
      <c r="AJ1881">
        <v>0</v>
      </c>
      <c r="AK1881">
        <v>82.37</v>
      </c>
      <c r="AM1881" t="s">
        <v>18032</v>
      </c>
      <c r="AN1881" t="s">
        <v>2926</v>
      </c>
      <c r="AO1881">
        <v>9999.959999999999</v>
      </c>
      <c r="AP1881" t="s">
        <v>18069</v>
      </c>
      <c r="AU1881" t="s">
        <v>13051</v>
      </c>
      <c r="AW1881" t="s">
        <v>3060</v>
      </c>
    </row>
    <row r="1882" spans="1:50">
      <c r="A1882" s="1" t="s">
        <v>135</v>
      </c>
      <c r="B1882" t="s">
        <v>163</v>
      </c>
      <c r="C1882" t="s">
        <v>5092</v>
      </c>
      <c r="D1882" t="s">
        <v>3040</v>
      </c>
      <c r="F1882" t="s">
        <v>7398</v>
      </c>
      <c r="G1882" t="s">
        <v>8751</v>
      </c>
      <c r="H1882" t="s">
        <v>9425</v>
      </c>
      <c r="I1882" t="s">
        <v>1637</v>
      </c>
      <c r="J1882" t="s">
        <v>1644</v>
      </c>
      <c r="K1882">
        <v>11216</v>
      </c>
      <c r="L1882" t="s">
        <v>1670</v>
      </c>
      <c r="M1882" t="s">
        <v>1670</v>
      </c>
      <c r="O1882" t="s">
        <v>1937</v>
      </c>
      <c r="P1882" t="s">
        <v>1962</v>
      </c>
      <c r="R1882" t="s">
        <v>50</v>
      </c>
      <c r="S1882" t="s">
        <v>1670</v>
      </c>
      <c r="U1882" t="s">
        <v>1972</v>
      </c>
      <c r="V1882" t="s">
        <v>1984</v>
      </c>
      <c r="W1882" t="s">
        <v>166</v>
      </c>
      <c r="X1882">
        <v>952.42</v>
      </c>
      <c r="Y1882" t="s">
        <v>2009</v>
      </c>
      <c r="Z1882" t="s">
        <v>2020</v>
      </c>
      <c r="AB1882" t="s">
        <v>14376</v>
      </c>
      <c r="AD1882" t="s">
        <v>16787</v>
      </c>
      <c r="AE1882">
        <v>82</v>
      </c>
      <c r="AF1882" t="s">
        <v>2902</v>
      </c>
      <c r="AG1882" t="s">
        <v>1754</v>
      </c>
      <c r="AH1882">
        <v>7</v>
      </c>
      <c r="AI1882">
        <v>1</v>
      </c>
      <c r="AJ1882">
        <v>0</v>
      </c>
      <c r="AK1882">
        <v>82.37</v>
      </c>
      <c r="AN1882" t="s">
        <v>2926</v>
      </c>
      <c r="AO1882">
        <v>10000</v>
      </c>
      <c r="AU1882" t="s">
        <v>13051</v>
      </c>
      <c r="AW1882" t="s">
        <v>3059</v>
      </c>
    </row>
    <row r="1883" spans="1:50">
      <c r="A1883" s="1" t="s">
        <v>3163</v>
      </c>
      <c r="B1883" t="s">
        <v>163</v>
      </c>
      <c r="C1883" t="s">
        <v>5093</v>
      </c>
      <c r="D1883" t="s">
        <v>260</v>
      </c>
      <c r="F1883" t="s">
        <v>6941</v>
      </c>
      <c r="G1883" t="s">
        <v>8752</v>
      </c>
      <c r="H1883" t="s">
        <v>10238</v>
      </c>
      <c r="I1883" t="s">
        <v>11100</v>
      </c>
      <c r="J1883" t="s">
        <v>1643</v>
      </c>
      <c r="K1883">
        <v>10032</v>
      </c>
      <c r="L1883" t="s">
        <v>1670</v>
      </c>
      <c r="M1883" t="s">
        <v>1670</v>
      </c>
      <c r="O1883" t="s">
        <v>1937</v>
      </c>
      <c r="P1883" t="s">
        <v>1959</v>
      </c>
      <c r="R1883" t="s">
        <v>50</v>
      </c>
      <c r="S1883" t="s">
        <v>1671</v>
      </c>
      <c r="U1883" t="s">
        <v>1972</v>
      </c>
      <c r="W1883" t="s">
        <v>260</v>
      </c>
      <c r="X1883">
        <v>490.42</v>
      </c>
      <c r="Y1883" t="s">
        <v>2008</v>
      </c>
      <c r="Z1883" t="s">
        <v>2013</v>
      </c>
      <c r="AB1883" t="s">
        <v>14377</v>
      </c>
      <c r="AD1883" t="s">
        <v>16788</v>
      </c>
      <c r="AE1883" t="s">
        <v>13051</v>
      </c>
      <c r="AF1883" t="s">
        <v>2902</v>
      </c>
      <c r="AG1883" t="s">
        <v>1754</v>
      </c>
      <c r="AH1883">
        <v>50</v>
      </c>
      <c r="AI1883">
        <v>1</v>
      </c>
      <c r="AJ1883">
        <v>0</v>
      </c>
      <c r="AK1883">
        <v>82.37</v>
      </c>
      <c r="AN1883" t="s">
        <v>2926</v>
      </c>
      <c r="AO1883">
        <v>10000</v>
      </c>
      <c r="AU1883">
        <v>15</v>
      </c>
      <c r="AV1883" t="s">
        <v>328</v>
      </c>
      <c r="AW1883" t="s">
        <v>3042</v>
      </c>
    </row>
    <row r="1884" spans="1:50">
      <c r="A1884" s="1" t="s">
        <v>101</v>
      </c>
      <c r="B1884" t="s">
        <v>164</v>
      </c>
      <c r="C1884" t="s">
        <v>5094</v>
      </c>
      <c r="D1884" t="s">
        <v>287</v>
      </c>
      <c r="E1884" t="s">
        <v>354</v>
      </c>
      <c r="F1884" t="s">
        <v>7312</v>
      </c>
      <c r="G1884" t="s">
        <v>8721</v>
      </c>
      <c r="H1884" t="s">
        <v>9665</v>
      </c>
      <c r="I1884" t="s">
        <v>1504</v>
      </c>
      <c r="J1884" t="s">
        <v>1643</v>
      </c>
      <c r="K1884">
        <v>10035</v>
      </c>
      <c r="L1884" t="s">
        <v>1670</v>
      </c>
      <c r="M1884" t="s">
        <v>1670</v>
      </c>
      <c r="N1884" t="s">
        <v>12388</v>
      </c>
      <c r="O1884" t="s">
        <v>1936</v>
      </c>
      <c r="P1884" t="s">
        <v>1960</v>
      </c>
      <c r="Q1884" t="s">
        <v>1969</v>
      </c>
      <c r="R1884" t="s">
        <v>50</v>
      </c>
      <c r="S1884" t="s">
        <v>1671</v>
      </c>
      <c r="U1884" t="s">
        <v>1972</v>
      </c>
      <c r="V1884" t="s">
        <v>1984</v>
      </c>
      <c r="W1884" t="s">
        <v>287</v>
      </c>
      <c r="X1884">
        <v>858.95</v>
      </c>
      <c r="Y1884" t="s">
        <v>2008</v>
      </c>
      <c r="Z1884" t="s">
        <v>2020</v>
      </c>
      <c r="AA1884" t="s">
        <v>2032</v>
      </c>
      <c r="AB1884" t="s">
        <v>14325</v>
      </c>
      <c r="AD1884" t="s">
        <v>16740</v>
      </c>
      <c r="AE1884">
        <v>35</v>
      </c>
      <c r="AF1884" t="s">
        <v>2902</v>
      </c>
      <c r="AG1884" t="s">
        <v>1754</v>
      </c>
      <c r="AH1884">
        <v>24</v>
      </c>
      <c r="AI1884">
        <v>1</v>
      </c>
      <c r="AJ1884">
        <v>0</v>
      </c>
      <c r="AK1884">
        <v>82.37</v>
      </c>
      <c r="AN1884" t="s">
        <v>2927</v>
      </c>
      <c r="AO1884">
        <v>10000</v>
      </c>
      <c r="AQ1884" t="s">
        <v>2979</v>
      </c>
      <c r="AR1884" t="s">
        <v>2982</v>
      </c>
      <c r="AS1884" t="s">
        <v>2992</v>
      </c>
      <c r="AT1884" t="s">
        <v>18575</v>
      </c>
      <c r="AU1884">
        <v>16.5</v>
      </c>
      <c r="AV1884" t="s">
        <v>268</v>
      </c>
      <c r="AW1884" t="s">
        <v>3051</v>
      </c>
      <c r="AX1884" t="s">
        <v>18685</v>
      </c>
    </row>
    <row r="1885" spans="1:50">
      <c r="A1885" s="1" t="s">
        <v>135</v>
      </c>
      <c r="B1885" t="s">
        <v>163</v>
      </c>
      <c r="C1885" t="s">
        <v>5095</v>
      </c>
      <c r="D1885" t="s">
        <v>351</v>
      </c>
      <c r="F1885" t="s">
        <v>7398</v>
      </c>
      <c r="G1885" t="s">
        <v>8751</v>
      </c>
      <c r="H1885" t="s">
        <v>9425</v>
      </c>
      <c r="I1885" t="s">
        <v>1637</v>
      </c>
      <c r="J1885" t="s">
        <v>1644</v>
      </c>
      <c r="K1885">
        <v>11216</v>
      </c>
      <c r="L1885" t="s">
        <v>1670</v>
      </c>
      <c r="M1885" t="s">
        <v>1670</v>
      </c>
      <c r="N1885" t="s">
        <v>11966</v>
      </c>
      <c r="O1885" t="s">
        <v>1952</v>
      </c>
      <c r="P1885" t="s">
        <v>1960</v>
      </c>
      <c r="R1885" t="s">
        <v>50</v>
      </c>
      <c r="S1885" t="s">
        <v>1670</v>
      </c>
      <c r="U1885" t="s">
        <v>1972</v>
      </c>
      <c r="V1885" t="s">
        <v>1984</v>
      </c>
      <c r="W1885" t="s">
        <v>166</v>
      </c>
      <c r="X1885">
        <v>952.42</v>
      </c>
      <c r="Y1885" t="s">
        <v>2009</v>
      </c>
      <c r="Z1885" t="s">
        <v>2020</v>
      </c>
      <c r="AB1885" t="s">
        <v>14376</v>
      </c>
      <c r="AD1885" t="s">
        <v>16787</v>
      </c>
      <c r="AE1885">
        <v>82</v>
      </c>
      <c r="AF1885" t="s">
        <v>2902</v>
      </c>
      <c r="AG1885" t="s">
        <v>1754</v>
      </c>
      <c r="AH1885">
        <v>7</v>
      </c>
      <c r="AI1885">
        <v>1</v>
      </c>
      <c r="AJ1885">
        <v>0</v>
      </c>
      <c r="AK1885">
        <v>82.37</v>
      </c>
      <c r="AN1885" t="s">
        <v>2926</v>
      </c>
      <c r="AO1885">
        <v>10000</v>
      </c>
      <c r="AP1885" t="s">
        <v>2963</v>
      </c>
      <c r="AU1885">
        <v>225.35</v>
      </c>
      <c r="AV1885" t="s">
        <v>346</v>
      </c>
      <c r="AW1885" t="s">
        <v>135</v>
      </c>
    </row>
    <row r="1886" spans="1:50">
      <c r="A1886" s="1" t="s">
        <v>135</v>
      </c>
      <c r="B1886" t="s">
        <v>163</v>
      </c>
      <c r="C1886" t="s">
        <v>5096</v>
      </c>
      <c r="D1886" t="s">
        <v>382</v>
      </c>
      <c r="F1886" t="s">
        <v>427</v>
      </c>
      <c r="G1886" t="s">
        <v>8750</v>
      </c>
      <c r="H1886" t="s">
        <v>9425</v>
      </c>
      <c r="I1886" t="s">
        <v>1519</v>
      </c>
      <c r="J1886" t="s">
        <v>1644</v>
      </c>
      <c r="K1886">
        <v>11216</v>
      </c>
      <c r="L1886" t="s">
        <v>1670</v>
      </c>
      <c r="M1886" t="s">
        <v>1670</v>
      </c>
      <c r="N1886" t="s">
        <v>11966</v>
      </c>
      <c r="O1886" t="s">
        <v>1952</v>
      </c>
      <c r="P1886" t="s">
        <v>1960</v>
      </c>
      <c r="R1886" t="s">
        <v>50</v>
      </c>
      <c r="S1886" t="s">
        <v>1670</v>
      </c>
      <c r="U1886" t="s">
        <v>1972</v>
      </c>
      <c r="V1886" t="s">
        <v>1984</v>
      </c>
      <c r="W1886" t="s">
        <v>2005</v>
      </c>
      <c r="X1886">
        <v>1650</v>
      </c>
      <c r="Y1886" t="s">
        <v>2009</v>
      </c>
      <c r="Z1886" t="s">
        <v>2016</v>
      </c>
      <c r="AB1886" t="s">
        <v>14375</v>
      </c>
      <c r="AC1886" t="s">
        <v>1691</v>
      </c>
      <c r="AD1886" t="s">
        <v>16786</v>
      </c>
      <c r="AE1886">
        <v>8</v>
      </c>
      <c r="AF1886" t="s">
        <v>2902</v>
      </c>
      <c r="AG1886" t="s">
        <v>1754</v>
      </c>
      <c r="AH1886">
        <v>1</v>
      </c>
      <c r="AI1886">
        <v>1</v>
      </c>
      <c r="AJ1886">
        <v>0</v>
      </c>
      <c r="AK1886">
        <v>82.37</v>
      </c>
      <c r="AN1886" t="s">
        <v>2926</v>
      </c>
      <c r="AO1886">
        <v>9999.959999999999</v>
      </c>
      <c r="AP1886" t="s">
        <v>18069</v>
      </c>
      <c r="AU1886" t="s">
        <v>13051</v>
      </c>
      <c r="AW1886" t="s">
        <v>3060</v>
      </c>
    </row>
    <row r="1887" spans="1:50">
      <c r="A1887" s="1" t="s">
        <v>135</v>
      </c>
      <c r="B1887" t="s">
        <v>163</v>
      </c>
      <c r="C1887" t="s">
        <v>5097</v>
      </c>
      <c r="D1887" t="s">
        <v>3040</v>
      </c>
      <c r="F1887" t="s">
        <v>7398</v>
      </c>
      <c r="G1887" t="s">
        <v>8751</v>
      </c>
      <c r="H1887" t="s">
        <v>9425</v>
      </c>
      <c r="I1887" t="s">
        <v>1637</v>
      </c>
      <c r="J1887" t="s">
        <v>1644</v>
      </c>
      <c r="K1887">
        <v>11216</v>
      </c>
      <c r="L1887" t="s">
        <v>1670</v>
      </c>
      <c r="M1887" t="s">
        <v>1670</v>
      </c>
      <c r="N1887" t="s">
        <v>12389</v>
      </c>
      <c r="O1887" t="s">
        <v>1939</v>
      </c>
      <c r="P1887" t="s">
        <v>1960</v>
      </c>
      <c r="R1887" t="s">
        <v>50</v>
      </c>
      <c r="S1887" t="s">
        <v>1671</v>
      </c>
      <c r="U1887" t="s">
        <v>1972</v>
      </c>
      <c r="V1887" t="s">
        <v>1984</v>
      </c>
      <c r="W1887" t="s">
        <v>166</v>
      </c>
      <c r="X1887">
        <v>952.42</v>
      </c>
      <c r="Y1887" t="s">
        <v>2009</v>
      </c>
      <c r="Z1887" t="s">
        <v>2020</v>
      </c>
      <c r="AB1887" t="s">
        <v>14376</v>
      </c>
      <c r="AD1887" t="s">
        <v>16787</v>
      </c>
      <c r="AE1887">
        <v>82</v>
      </c>
      <c r="AF1887" t="s">
        <v>2902</v>
      </c>
      <c r="AG1887" t="s">
        <v>1754</v>
      </c>
      <c r="AH1887">
        <v>7</v>
      </c>
      <c r="AI1887">
        <v>1</v>
      </c>
      <c r="AJ1887">
        <v>0</v>
      </c>
      <c r="AK1887">
        <v>82.37</v>
      </c>
      <c r="AN1887" t="s">
        <v>2926</v>
      </c>
      <c r="AO1887">
        <v>10000</v>
      </c>
      <c r="AU1887">
        <v>48.3</v>
      </c>
      <c r="AV1887" t="s">
        <v>346</v>
      </c>
      <c r="AW1887" t="s">
        <v>3059</v>
      </c>
    </row>
    <row r="1888" spans="1:50">
      <c r="A1888" s="1" t="s">
        <v>59</v>
      </c>
      <c r="B1888" t="s">
        <v>163</v>
      </c>
      <c r="C1888" t="s">
        <v>5098</v>
      </c>
      <c r="D1888" t="s">
        <v>184</v>
      </c>
      <c r="F1888" t="s">
        <v>7553</v>
      </c>
      <c r="G1888" t="s">
        <v>8748</v>
      </c>
      <c r="H1888" t="s">
        <v>1114</v>
      </c>
      <c r="I1888" t="s">
        <v>10957</v>
      </c>
      <c r="J1888" t="s">
        <v>1641</v>
      </c>
      <c r="K1888">
        <v>10456</v>
      </c>
      <c r="L1888" t="s">
        <v>1670</v>
      </c>
      <c r="M1888" t="s">
        <v>1670</v>
      </c>
      <c r="N1888" t="s">
        <v>1681</v>
      </c>
      <c r="O1888" t="s">
        <v>1939</v>
      </c>
      <c r="P1888" t="s">
        <v>1960</v>
      </c>
      <c r="R1888" t="s">
        <v>50</v>
      </c>
      <c r="S1888" t="s">
        <v>1670</v>
      </c>
      <c r="U1888" t="s">
        <v>1972</v>
      </c>
      <c r="W1888" t="s">
        <v>1992</v>
      </c>
      <c r="X1888">
        <v>525</v>
      </c>
      <c r="Y1888" t="s">
        <v>2006</v>
      </c>
      <c r="Z1888" t="s">
        <v>2015</v>
      </c>
      <c r="AB1888" t="s">
        <v>14373</v>
      </c>
      <c r="AE1888">
        <v>131</v>
      </c>
      <c r="AF1888" t="s">
        <v>2902</v>
      </c>
      <c r="AG1888" t="s">
        <v>1754</v>
      </c>
      <c r="AH1888">
        <v>12</v>
      </c>
      <c r="AI1888">
        <v>1</v>
      </c>
      <c r="AJ1888">
        <v>0</v>
      </c>
      <c r="AK1888">
        <v>82.37</v>
      </c>
      <c r="AN1888" t="s">
        <v>2926</v>
      </c>
      <c r="AO1888">
        <v>10000</v>
      </c>
      <c r="AU1888" t="s">
        <v>13051</v>
      </c>
      <c r="AW1888" t="s">
        <v>3047</v>
      </c>
    </row>
    <row r="1889" spans="1:50">
      <c r="A1889" s="1" t="s">
        <v>126</v>
      </c>
      <c r="B1889" t="s">
        <v>163</v>
      </c>
      <c r="C1889" t="s">
        <v>5099</v>
      </c>
      <c r="D1889" t="s">
        <v>245</v>
      </c>
      <c r="F1889" t="s">
        <v>687</v>
      </c>
      <c r="G1889" t="s">
        <v>914</v>
      </c>
      <c r="H1889" t="s">
        <v>9627</v>
      </c>
      <c r="I1889" t="s">
        <v>11313</v>
      </c>
      <c r="J1889" t="s">
        <v>1641</v>
      </c>
      <c r="K1889">
        <v>10451</v>
      </c>
      <c r="L1889" t="s">
        <v>1670</v>
      </c>
      <c r="M1889" t="s">
        <v>1670</v>
      </c>
      <c r="N1889" t="s">
        <v>11981</v>
      </c>
      <c r="O1889" t="s">
        <v>1939</v>
      </c>
      <c r="P1889" t="s">
        <v>1960</v>
      </c>
      <c r="R1889" t="s">
        <v>50</v>
      </c>
      <c r="S1889" t="s">
        <v>1670</v>
      </c>
      <c r="U1889" t="s">
        <v>1972</v>
      </c>
      <c r="W1889" t="s">
        <v>359</v>
      </c>
      <c r="X1889">
        <v>250</v>
      </c>
      <c r="Y1889" t="s">
        <v>2006</v>
      </c>
      <c r="Z1889" t="s">
        <v>2015</v>
      </c>
      <c r="AB1889" t="s">
        <v>14378</v>
      </c>
      <c r="AD1889" t="s">
        <v>16789</v>
      </c>
      <c r="AE1889">
        <v>100</v>
      </c>
      <c r="AF1889" t="s">
        <v>2902</v>
      </c>
      <c r="AG1889" t="s">
        <v>2921</v>
      </c>
      <c r="AH1889">
        <v>15</v>
      </c>
      <c r="AI1889">
        <v>1</v>
      </c>
      <c r="AJ1889">
        <v>0</v>
      </c>
      <c r="AK1889">
        <v>82.37</v>
      </c>
      <c r="AN1889" t="s">
        <v>2926</v>
      </c>
      <c r="AO1889">
        <v>10000</v>
      </c>
      <c r="AU1889">
        <v>3.5</v>
      </c>
      <c r="AV1889" t="s">
        <v>399</v>
      </c>
      <c r="AW1889" t="s">
        <v>3047</v>
      </c>
    </row>
    <row r="1890" spans="1:50">
      <c r="A1890" s="1" t="s">
        <v>97</v>
      </c>
      <c r="B1890" t="s">
        <v>163</v>
      </c>
      <c r="C1890" t="s">
        <v>5100</v>
      </c>
      <c r="D1890" t="s">
        <v>262</v>
      </c>
      <c r="F1890" t="s">
        <v>689</v>
      </c>
      <c r="G1890" t="s">
        <v>6961</v>
      </c>
      <c r="H1890" t="s">
        <v>10239</v>
      </c>
      <c r="I1890" t="s">
        <v>1575</v>
      </c>
      <c r="J1890" t="s">
        <v>1643</v>
      </c>
      <c r="K1890">
        <v>10035</v>
      </c>
      <c r="L1890" t="s">
        <v>1670</v>
      </c>
      <c r="M1890" t="s">
        <v>1670</v>
      </c>
      <c r="N1890" t="s">
        <v>12390</v>
      </c>
      <c r="O1890" t="s">
        <v>1939</v>
      </c>
      <c r="P1890" t="s">
        <v>1960</v>
      </c>
      <c r="R1890" t="s">
        <v>50</v>
      </c>
      <c r="S1890" t="s">
        <v>1671</v>
      </c>
      <c r="U1890" t="s">
        <v>1972</v>
      </c>
      <c r="W1890" t="s">
        <v>292</v>
      </c>
      <c r="X1890">
        <v>1000</v>
      </c>
      <c r="Y1890" t="s">
        <v>2008</v>
      </c>
      <c r="Z1890" t="s">
        <v>2020</v>
      </c>
      <c r="AB1890" t="s">
        <v>14379</v>
      </c>
      <c r="AD1890" t="s">
        <v>16790</v>
      </c>
      <c r="AE1890">
        <v>7</v>
      </c>
      <c r="AF1890" t="s">
        <v>2902</v>
      </c>
      <c r="AG1890" t="s">
        <v>1754</v>
      </c>
      <c r="AH1890">
        <v>8</v>
      </c>
      <c r="AI1890">
        <v>1</v>
      </c>
      <c r="AJ1890">
        <v>0</v>
      </c>
      <c r="AK1890">
        <v>82.37</v>
      </c>
      <c r="AN1890" t="s">
        <v>2926</v>
      </c>
      <c r="AO1890">
        <v>10000</v>
      </c>
      <c r="AU1890">
        <v>33.4</v>
      </c>
      <c r="AV1890" t="s">
        <v>188</v>
      </c>
      <c r="AW1890" t="s">
        <v>3051</v>
      </c>
      <c r="AX1890" t="s">
        <v>18685</v>
      </c>
    </row>
    <row r="1891" spans="1:50">
      <c r="A1891" s="1" t="s">
        <v>63</v>
      </c>
      <c r="B1891" t="s">
        <v>163</v>
      </c>
      <c r="C1891" t="s">
        <v>5101</v>
      </c>
      <c r="D1891" t="s">
        <v>171</v>
      </c>
      <c r="F1891" t="s">
        <v>7555</v>
      </c>
      <c r="G1891" t="s">
        <v>8371</v>
      </c>
      <c r="H1891" t="s">
        <v>10240</v>
      </c>
      <c r="I1891" t="s">
        <v>11314</v>
      </c>
      <c r="J1891" t="s">
        <v>1641</v>
      </c>
      <c r="K1891">
        <v>10458</v>
      </c>
      <c r="L1891" t="s">
        <v>1670</v>
      </c>
      <c r="M1891" t="s">
        <v>1672</v>
      </c>
      <c r="O1891" t="s">
        <v>1940</v>
      </c>
      <c r="P1891" t="s">
        <v>1958</v>
      </c>
      <c r="R1891" t="s">
        <v>50</v>
      </c>
      <c r="S1891" t="s">
        <v>1671</v>
      </c>
      <c r="U1891" t="s">
        <v>1972</v>
      </c>
      <c r="W1891" t="s">
        <v>1991</v>
      </c>
      <c r="X1891">
        <v>195</v>
      </c>
      <c r="Y1891" t="s">
        <v>2006</v>
      </c>
      <c r="Z1891" t="s">
        <v>2015</v>
      </c>
      <c r="AD1891" t="s">
        <v>16791</v>
      </c>
      <c r="AE1891">
        <v>62</v>
      </c>
      <c r="AF1891" t="s">
        <v>2902</v>
      </c>
      <c r="AG1891" t="s">
        <v>2017</v>
      </c>
      <c r="AH1891">
        <v>10</v>
      </c>
      <c r="AI1891">
        <v>1</v>
      </c>
      <c r="AJ1891">
        <v>0</v>
      </c>
      <c r="AK1891">
        <v>82.43000000000001</v>
      </c>
      <c r="AN1891" t="s">
        <v>2926</v>
      </c>
      <c r="AO1891">
        <v>10296</v>
      </c>
      <c r="AU1891">
        <v>0.8</v>
      </c>
      <c r="AV1891" t="s">
        <v>1999</v>
      </c>
      <c r="AW1891" t="s">
        <v>3046</v>
      </c>
      <c r="AX1891" t="s">
        <v>1754</v>
      </c>
    </row>
    <row r="1892" spans="1:50">
      <c r="A1892" s="1" t="s">
        <v>68</v>
      </c>
      <c r="B1892" t="s">
        <v>163</v>
      </c>
      <c r="C1892" t="s">
        <v>5102</v>
      </c>
      <c r="D1892" t="s">
        <v>199</v>
      </c>
      <c r="F1892" t="s">
        <v>7301</v>
      </c>
      <c r="G1892" t="s">
        <v>1028</v>
      </c>
      <c r="H1892" t="s">
        <v>10241</v>
      </c>
      <c r="I1892" t="s">
        <v>1622</v>
      </c>
      <c r="J1892" t="s">
        <v>1643</v>
      </c>
      <c r="K1892">
        <v>10040</v>
      </c>
      <c r="L1892" t="s">
        <v>1670</v>
      </c>
      <c r="M1892" t="s">
        <v>1670</v>
      </c>
      <c r="O1892" t="s">
        <v>1941</v>
      </c>
      <c r="P1892" t="s">
        <v>1962</v>
      </c>
      <c r="R1892" t="s">
        <v>50</v>
      </c>
      <c r="U1892" t="s">
        <v>1972</v>
      </c>
      <c r="W1892" t="s">
        <v>199</v>
      </c>
      <c r="X1892">
        <v>1095.99</v>
      </c>
      <c r="Y1892" t="s">
        <v>2008</v>
      </c>
      <c r="Z1892" t="s">
        <v>2013</v>
      </c>
      <c r="AB1892" t="s">
        <v>14380</v>
      </c>
      <c r="AD1892" t="s">
        <v>16792</v>
      </c>
      <c r="AE1892">
        <v>25</v>
      </c>
      <c r="AF1892" t="s">
        <v>2902</v>
      </c>
      <c r="AG1892" t="s">
        <v>1754</v>
      </c>
      <c r="AH1892">
        <v>35</v>
      </c>
      <c r="AI1892">
        <v>1</v>
      </c>
      <c r="AJ1892">
        <v>0</v>
      </c>
      <c r="AK1892">
        <v>82.43000000000001</v>
      </c>
      <c r="AN1892" t="s">
        <v>2927</v>
      </c>
      <c r="AO1892">
        <v>10296</v>
      </c>
      <c r="AU1892">
        <v>15</v>
      </c>
      <c r="AV1892" t="s">
        <v>177</v>
      </c>
      <c r="AW1892" t="s">
        <v>3042</v>
      </c>
    </row>
    <row r="1893" spans="1:50">
      <c r="A1893" s="1" t="s">
        <v>62</v>
      </c>
      <c r="B1893" t="s">
        <v>164</v>
      </c>
      <c r="C1893" t="s">
        <v>5103</v>
      </c>
      <c r="D1893" t="s">
        <v>221</v>
      </c>
      <c r="E1893" t="s">
        <v>289</v>
      </c>
      <c r="F1893" t="s">
        <v>7556</v>
      </c>
      <c r="G1893" t="s">
        <v>8753</v>
      </c>
      <c r="H1893" t="s">
        <v>10242</v>
      </c>
      <c r="I1893" t="s">
        <v>11091</v>
      </c>
      <c r="J1893" t="s">
        <v>1644</v>
      </c>
      <c r="K1893">
        <v>11226</v>
      </c>
      <c r="L1893" t="s">
        <v>1672</v>
      </c>
      <c r="M1893" t="s">
        <v>1672</v>
      </c>
      <c r="P1893" t="s">
        <v>1959</v>
      </c>
      <c r="Q1893" t="s">
        <v>1967</v>
      </c>
      <c r="R1893" t="s">
        <v>50</v>
      </c>
      <c r="U1893" t="s">
        <v>1972</v>
      </c>
      <c r="W1893" t="s">
        <v>6203</v>
      </c>
      <c r="X1893" t="s">
        <v>13051</v>
      </c>
      <c r="Y1893" t="s">
        <v>2009</v>
      </c>
      <c r="AA1893" t="s">
        <v>2032</v>
      </c>
      <c r="AB1893" t="s">
        <v>14381</v>
      </c>
      <c r="AD1893" t="s">
        <v>16793</v>
      </c>
      <c r="AE1893" t="s">
        <v>13051</v>
      </c>
      <c r="AH1893" t="s">
        <v>13051</v>
      </c>
      <c r="AI1893">
        <v>1</v>
      </c>
      <c r="AJ1893">
        <v>0</v>
      </c>
      <c r="AK1893">
        <v>82.43000000000001</v>
      </c>
      <c r="AN1893" t="s">
        <v>2926</v>
      </c>
      <c r="AO1893">
        <v>10296</v>
      </c>
      <c r="AU1893">
        <v>22.5</v>
      </c>
      <c r="AV1893" t="s">
        <v>289</v>
      </c>
      <c r="AW1893" t="s">
        <v>158</v>
      </c>
    </row>
    <row r="1894" spans="1:50">
      <c r="A1894" s="1" t="s">
        <v>62</v>
      </c>
      <c r="B1894" t="s">
        <v>164</v>
      </c>
      <c r="C1894" t="s">
        <v>5104</v>
      </c>
      <c r="D1894" t="s">
        <v>237</v>
      </c>
      <c r="E1894" t="s">
        <v>289</v>
      </c>
      <c r="F1894" t="s">
        <v>7556</v>
      </c>
      <c r="G1894" t="s">
        <v>8753</v>
      </c>
      <c r="H1894" t="s">
        <v>10242</v>
      </c>
      <c r="I1894" t="s">
        <v>11091</v>
      </c>
      <c r="J1894" t="s">
        <v>1644</v>
      </c>
      <c r="K1894">
        <v>11226</v>
      </c>
      <c r="L1894" t="s">
        <v>1670</v>
      </c>
      <c r="M1894" t="s">
        <v>1670</v>
      </c>
      <c r="P1894" t="s">
        <v>1959</v>
      </c>
      <c r="Q1894" t="s">
        <v>1970</v>
      </c>
      <c r="R1894" t="s">
        <v>50</v>
      </c>
      <c r="U1894" t="s">
        <v>1972</v>
      </c>
      <c r="W1894" t="s">
        <v>237</v>
      </c>
      <c r="X1894" t="s">
        <v>13051</v>
      </c>
      <c r="Y1894" t="s">
        <v>2009</v>
      </c>
      <c r="AA1894" t="s">
        <v>2032</v>
      </c>
      <c r="AB1894" t="s">
        <v>14381</v>
      </c>
      <c r="AD1894" t="s">
        <v>16793</v>
      </c>
      <c r="AE1894" t="s">
        <v>13051</v>
      </c>
      <c r="AF1894" t="s">
        <v>2902</v>
      </c>
      <c r="AH1894">
        <v>36</v>
      </c>
      <c r="AI1894">
        <v>1</v>
      </c>
      <c r="AJ1894">
        <v>0</v>
      </c>
      <c r="AK1894">
        <v>82.43000000000001</v>
      </c>
      <c r="AN1894" t="s">
        <v>2926</v>
      </c>
      <c r="AO1894">
        <v>10296</v>
      </c>
      <c r="AU1894">
        <v>33.75</v>
      </c>
      <c r="AV1894" t="s">
        <v>3039</v>
      </c>
      <c r="AW1894" t="s">
        <v>69</v>
      </c>
    </row>
    <row r="1895" spans="1:50">
      <c r="A1895" s="1" t="s">
        <v>62</v>
      </c>
      <c r="B1895" t="s">
        <v>164</v>
      </c>
      <c r="C1895" t="s">
        <v>5105</v>
      </c>
      <c r="D1895" t="s">
        <v>221</v>
      </c>
      <c r="E1895" t="s">
        <v>289</v>
      </c>
      <c r="F1895" t="s">
        <v>7556</v>
      </c>
      <c r="G1895" t="s">
        <v>8753</v>
      </c>
      <c r="H1895" t="s">
        <v>10242</v>
      </c>
      <c r="I1895" t="s">
        <v>11091</v>
      </c>
      <c r="J1895" t="s">
        <v>1644</v>
      </c>
      <c r="K1895">
        <v>11226</v>
      </c>
      <c r="L1895" t="s">
        <v>1671</v>
      </c>
      <c r="M1895" t="s">
        <v>1672</v>
      </c>
      <c r="P1895" t="s">
        <v>1959</v>
      </c>
      <c r="Q1895" t="s">
        <v>1970</v>
      </c>
      <c r="R1895" t="s">
        <v>50</v>
      </c>
      <c r="U1895" t="s">
        <v>1972</v>
      </c>
      <c r="W1895" t="s">
        <v>6203</v>
      </c>
      <c r="X1895" t="s">
        <v>13051</v>
      </c>
      <c r="Y1895" t="s">
        <v>2009</v>
      </c>
      <c r="AA1895" t="s">
        <v>2032</v>
      </c>
      <c r="AB1895" t="s">
        <v>14381</v>
      </c>
      <c r="AD1895" t="s">
        <v>16793</v>
      </c>
      <c r="AE1895" t="s">
        <v>13051</v>
      </c>
      <c r="AH1895" t="s">
        <v>13051</v>
      </c>
      <c r="AI1895">
        <v>1</v>
      </c>
      <c r="AJ1895">
        <v>0</v>
      </c>
      <c r="AK1895">
        <v>82.43000000000001</v>
      </c>
      <c r="AN1895" t="s">
        <v>2926</v>
      </c>
      <c r="AO1895">
        <v>10296</v>
      </c>
      <c r="AU1895">
        <v>13.5</v>
      </c>
      <c r="AV1895" t="s">
        <v>404</v>
      </c>
      <c r="AW1895" t="s">
        <v>158</v>
      </c>
    </row>
    <row r="1896" spans="1:50">
      <c r="A1896" s="1" t="s">
        <v>105</v>
      </c>
      <c r="B1896" t="s">
        <v>163</v>
      </c>
      <c r="C1896" t="s">
        <v>5106</v>
      </c>
      <c r="D1896" t="s">
        <v>322</v>
      </c>
      <c r="F1896" t="s">
        <v>7180</v>
      </c>
      <c r="G1896" t="s">
        <v>8754</v>
      </c>
      <c r="H1896" t="s">
        <v>10243</v>
      </c>
      <c r="I1896" t="s">
        <v>11315</v>
      </c>
      <c r="J1896" t="s">
        <v>1641</v>
      </c>
      <c r="K1896">
        <v>10453</v>
      </c>
      <c r="L1896" t="s">
        <v>1670</v>
      </c>
      <c r="M1896" t="s">
        <v>1672</v>
      </c>
      <c r="N1896" t="s">
        <v>12391</v>
      </c>
      <c r="O1896" t="s">
        <v>1936</v>
      </c>
      <c r="P1896" t="s">
        <v>1960</v>
      </c>
      <c r="R1896" t="s">
        <v>50</v>
      </c>
      <c r="S1896" t="s">
        <v>1671</v>
      </c>
      <c r="U1896" t="s">
        <v>1972</v>
      </c>
      <c r="V1896" t="s">
        <v>1986</v>
      </c>
      <c r="W1896" t="s">
        <v>322</v>
      </c>
      <c r="X1896">
        <v>175.5</v>
      </c>
      <c r="Y1896" t="s">
        <v>2006</v>
      </c>
      <c r="Z1896" t="s">
        <v>2016</v>
      </c>
      <c r="AB1896" t="s">
        <v>2311</v>
      </c>
      <c r="AC1896" t="s">
        <v>15229</v>
      </c>
      <c r="AD1896" t="s">
        <v>16794</v>
      </c>
      <c r="AE1896" t="s">
        <v>13051</v>
      </c>
      <c r="AF1896" t="s">
        <v>18015</v>
      </c>
      <c r="AG1896" t="s">
        <v>2017</v>
      </c>
      <c r="AH1896">
        <v>3</v>
      </c>
      <c r="AI1896">
        <v>1</v>
      </c>
      <c r="AJ1896">
        <v>0</v>
      </c>
      <c r="AK1896">
        <v>82.43000000000001</v>
      </c>
      <c r="AN1896" t="s">
        <v>2927</v>
      </c>
      <c r="AO1896">
        <v>10296</v>
      </c>
      <c r="AU1896">
        <v>2.5</v>
      </c>
      <c r="AV1896" t="s">
        <v>188</v>
      </c>
      <c r="AW1896" t="s">
        <v>105</v>
      </c>
      <c r="AX1896" t="s">
        <v>18685</v>
      </c>
    </row>
    <row r="1897" spans="1:50">
      <c r="A1897" s="1" t="s">
        <v>94</v>
      </c>
      <c r="B1897" t="s">
        <v>163</v>
      </c>
      <c r="C1897" t="s">
        <v>5107</v>
      </c>
      <c r="D1897" t="s">
        <v>266</v>
      </c>
      <c r="F1897" t="s">
        <v>689</v>
      </c>
      <c r="G1897" t="s">
        <v>8755</v>
      </c>
      <c r="H1897" t="s">
        <v>10244</v>
      </c>
      <c r="I1897" t="s">
        <v>1560</v>
      </c>
      <c r="J1897" t="s">
        <v>1643</v>
      </c>
      <c r="K1897">
        <v>10033</v>
      </c>
      <c r="L1897" t="s">
        <v>1670</v>
      </c>
      <c r="M1897" t="s">
        <v>1670</v>
      </c>
      <c r="N1897" t="s">
        <v>12392</v>
      </c>
      <c r="P1897" t="s">
        <v>1960</v>
      </c>
      <c r="R1897" t="s">
        <v>50</v>
      </c>
      <c r="S1897" t="s">
        <v>1671</v>
      </c>
      <c r="U1897" t="s">
        <v>1972</v>
      </c>
      <c r="W1897" t="s">
        <v>266</v>
      </c>
      <c r="X1897">
        <v>365</v>
      </c>
      <c r="Y1897" t="s">
        <v>2008</v>
      </c>
      <c r="Z1897" t="s">
        <v>2013</v>
      </c>
      <c r="AB1897" t="s">
        <v>14382</v>
      </c>
      <c r="AD1897" t="s">
        <v>16795</v>
      </c>
      <c r="AE1897">
        <v>44</v>
      </c>
      <c r="AF1897" t="s">
        <v>2902</v>
      </c>
      <c r="AH1897">
        <v>34</v>
      </c>
      <c r="AI1897">
        <v>1</v>
      </c>
      <c r="AJ1897">
        <v>0</v>
      </c>
      <c r="AK1897">
        <v>82.43000000000001</v>
      </c>
      <c r="AN1897" t="s">
        <v>2927</v>
      </c>
      <c r="AO1897">
        <v>10296</v>
      </c>
      <c r="AU1897">
        <v>47</v>
      </c>
      <c r="AV1897" t="s">
        <v>397</v>
      </c>
      <c r="AW1897" t="s">
        <v>3042</v>
      </c>
    </row>
    <row r="1898" spans="1:50">
      <c r="A1898" s="1" t="s">
        <v>103</v>
      </c>
      <c r="B1898" t="s">
        <v>164</v>
      </c>
      <c r="C1898" t="s">
        <v>5108</v>
      </c>
      <c r="D1898" t="s">
        <v>223</v>
      </c>
      <c r="E1898" t="s">
        <v>223</v>
      </c>
      <c r="F1898" t="s">
        <v>727</v>
      </c>
      <c r="G1898" t="s">
        <v>864</v>
      </c>
      <c r="H1898" t="s">
        <v>10245</v>
      </c>
      <c r="I1898">
        <v>2</v>
      </c>
      <c r="J1898" t="s">
        <v>1644</v>
      </c>
      <c r="K1898">
        <v>11208</v>
      </c>
      <c r="L1898" t="s">
        <v>1670</v>
      </c>
      <c r="M1898" t="s">
        <v>1670</v>
      </c>
      <c r="P1898" t="s">
        <v>1958</v>
      </c>
      <c r="Q1898" t="s">
        <v>1965</v>
      </c>
      <c r="R1898" t="s">
        <v>50</v>
      </c>
      <c r="U1898" t="s">
        <v>1972</v>
      </c>
      <c r="W1898" t="s">
        <v>223</v>
      </c>
      <c r="X1898" t="s">
        <v>13051</v>
      </c>
      <c r="Y1898" t="s">
        <v>2009</v>
      </c>
      <c r="AA1898" t="s">
        <v>2029</v>
      </c>
      <c r="AB1898" t="s">
        <v>14383</v>
      </c>
      <c r="AD1898" t="s">
        <v>16796</v>
      </c>
      <c r="AE1898" t="s">
        <v>13051</v>
      </c>
      <c r="AH1898" t="s">
        <v>13051</v>
      </c>
      <c r="AI1898">
        <v>1</v>
      </c>
      <c r="AJ1898">
        <v>0</v>
      </c>
      <c r="AK1898">
        <v>82.54000000000001</v>
      </c>
      <c r="AN1898" t="s">
        <v>2927</v>
      </c>
      <c r="AO1898">
        <v>10020</v>
      </c>
      <c r="AU1898">
        <v>0.75</v>
      </c>
      <c r="AV1898" t="s">
        <v>231</v>
      </c>
      <c r="AW1898" t="s">
        <v>103</v>
      </c>
    </row>
    <row r="1899" spans="1:50">
      <c r="A1899" s="1" t="s">
        <v>97</v>
      </c>
      <c r="B1899" t="s">
        <v>163</v>
      </c>
      <c r="C1899" t="s">
        <v>5109</v>
      </c>
      <c r="D1899" t="s">
        <v>180</v>
      </c>
      <c r="F1899" t="s">
        <v>7236</v>
      </c>
      <c r="G1899" t="s">
        <v>1016</v>
      </c>
      <c r="H1899" t="s">
        <v>10246</v>
      </c>
      <c r="I1899" t="s">
        <v>1475</v>
      </c>
      <c r="J1899" t="s">
        <v>1643</v>
      </c>
      <c r="K1899">
        <v>10040</v>
      </c>
      <c r="L1899" t="s">
        <v>1670</v>
      </c>
      <c r="M1899" t="s">
        <v>1670</v>
      </c>
      <c r="O1899" t="s">
        <v>1939</v>
      </c>
      <c r="P1899" t="s">
        <v>1962</v>
      </c>
      <c r="R1899" t="s">
        <v>50</v>
      </c>
      <c r="S1899" t="s">
        <v>1671</v>
      </c>
      <c r="U1899" t="s">
        <v>1972</v>
      </c>
      <c r="W1899" t="s">
        <v>229</v>
      </c>
      <c r="X1899">
        <v>165</v>
      </c>
      <c r="Y1899" t="s">
        <v>2008</v>
      </c>
      <c r="Z1899" t="s">
        <v>2020</v>
      </c>
      <c r="AB1899" t="s">
        <v>13748</v>
      </c>
      <c r="AD1899" t="s">
        <v>16797</v>
      </c>
      <c r="AE1899">
        <v>43</v>
      </c>
      <c r="AF1899" t="s">
        <v>2902</v>
      </c>
      <c r="AG1899" t="s">
        <v>2915</v>
      </c>
      <c r="AH1899">
        <v>13</v>
      </c>
      <c r="AI1899">
        <v>1</v>
      </c>
      <c r="AJ1899">
        <v>0</v>
      </c>
      <c r="AK1899">
        <v>82.54000000000001</v>
      </c>
      <c r="AN1899" t="s">
        <v>2926</v>
      </c>
      <c r="AO1899">
        <v>10020</v>
      </c>
      <c r="AU1899">
        <v>3.6</v>
      </c>
      <c r="AV1899" t="s">
        <v>174</v>
      </c>
      <c r="AW1899" t="s">
        <v>3042</v>
      </c>
      <c r="AX1899" t="s">
        <v>18685</v>
      </c>
    </row>
    <row r="1900" spans="1:50">
      <c r="A1900" s="1" t="s">
        <v>107</v>
      </c>
      <c r="B1900" t="s">
        <v>163</v>
      </c>
      <c r="C1900" t="s">
        <v>5110</v>
      </c>
      <c r="D1900" t="s">
        <v>192</v>
      </c>
      <c r="F1900" t="s">
        <v>7019</v>
      </c>
      <c r="G1900" t="s">
        <v>1074</v>
      </c>
      <c r="H1900" t="s">
        <v>10247</v>
      </c>
      <c r="I1900" t="s">
        <v>1487</v>
      </c>
      <c r="J1900" t="s">
        <v>1644</v>
      </c>
      <c r="K1900">
        <v>11233</v>
      </c>
      <c r="L1900" t="s">
        <v>1670</v>
      </c>
      <c r="M1900" t="s">
        <v>1670</v>
      </c>
      <c r="N1900" t="s">
        <v>12393</v>
      </c>
      <c r="O1900" t="s">
        <v>1936</v>
      </c>
      <c r="P1900" t="s">
        <v>1960</v>
      </c>
      <c r="R1900" t="s">
        <v>50</v>
      </c>
      <c r="S1900" t="s">
        <v>1671</v>
      </c>
      <c r="U1900" t="s">
        <v>1972</v>
      </c>
      <c r="V1900" t="s">
        <v>1984</v>
      </c>
      <c r="W1900" t="s">
        <v>266</v>
      </c>
      <c r="X1900">
        <v>530</v>
      </c>
      <c r="Y1900" t="s">
        <v>2009</v>
      </c>
      <c r="Z1900" t="s">
        <v>2014</v>
      </c>
      <c r="AB1900" t="s">
        <v>2218</v>
      </c>
      <c r="AD1900" t="s">
        <v>16798</v>
      </c>
      <c r="AE1900">
        <v>15</v>
      </c>
      <c r="AH1900">
        <v>37</v>
      </c>
      <c r="AI1900">
        <v>1</v>
      </c>
      <c r="AJ1900">
        <v>0</v>
      </c>
      <c r="AK1900">
        <v>82.54000000000001</v>
      </c>
      <c r="AN1900" t="s">
        <v>2926</v>
      </c>
      <c r="AO1900">
        <v>10020</v>
      </c>
      <c r="AU1900">
        <v>38</v>
      </c>
      <c r="AV1900" t="s">
        <v>379</v>
      </c>
      <c r="AW1900" t="s">
        <v>3063</v>
      </c>
    </row>
    <row r="1901" spans="1:50">
      <c r="A1901" s="1" t="s">
        <v>105</v>
      </c>
      <c r="B1901" t="s">
        <v>163</v>
      </c>
      <c r="C1901" t="s">
        <v>5111</v>
      </c>
      <c r="D1901" t="s">
        <v>316</v>
      </c>
      <c r="F1901" t="s">
        <v>7557</v>
      </c>
      <c r="G1901" t="s">
        <v>8756</v>
      </c>
      <c r="H1901" t="s">
        <v>10248</v>
      </c>
      <c r="I1901" t="s">
        <v>1484</v>
      </c>
      <c r="J1901" t="s">
        <v>1641</v>
      </c>
      <c r="K1901">
        <v>10467</v>
      </c>
      <c r="L1901" t="s">
        <v>1670</v>
      </c>
      <c r="M1901" t="s">
        <v>1670</v>
      </c>
      <c r="O1901" t="s">
        <v>1941</v>
      </c>
      <c r="P1901" t="s">
        <v>1958</v>
      </c>
      <c r="R1901" t="s">
        <v>50</v>
      </c>
      <c r="U1901" t="s">
        <v>1972</v>
      </c>
      <c r="W1901" t="s">
        <v>316</v>
      </c>
      <c r="X1901">
        <v>923</v>
      </c>
      <c r="Y1901" t="s">
        <v>2006</v>
      </c>
      <c r="AB1901" t="s">
        <v>14384</v>
      </c>
      <c r="AD1901" t="s">
        <v>16799</v>
      </c>
      <c r="AE1901" t="s">
        <v>13051</v>
      </c>
      <c r="AG1901" t="s">
        <v>2919</v>
      </c>
      <c r="AH1901">
        <v>21</v>
      </c>
      <c r="AI1901">
        <v>1</v>
      </c>
      <c r="AJ1901">
        <v>0</v>
      </c>
      <c r="AK1901">
        <v>82.63</v>
      </c>
      <c r="AN1901" t="s">
        <v>2927</v>
      </c>
      <c r="AO1901">
        <v>10320</v>
      </c>
      <c r="AU1901" t="s">
        <v>13051</v>
      </c>
      <c r="AW1901" t="s">
        <v>105</v>
      </c>
    </row>
    <row r="1902" spans="1:50">
      <c r="A1902" s="1" t="s">
        <v>3150</v>
      </c>
      <c r="B1902" t="s">
        <v>163</v>
      </c>
      <c r="C1902" t="s">
        <v>5112</v>
      </c>
      <c r="D1902" t="s">
        <v>206</v>
      </c>
      <c r="F1902" t="s">
        <v>7558</v>
      </c>
      <c r="G1902" t="s">
        <v>8757</v>
      </c>
      <c r="H1902" t="s">
        <v>10249</v>
      </c>
      <c r="I1902" t="s">
        <v>1569</v>
      </c>
      <c r="J1902" t="s">
        <v>1643</v>
      </c>
      <c r="K1902">
        <v>10003</v>
      </c>
      <c r="L1902" t="s">
        <v>1670</v>
      </c>
      <c r="M1902" t="s">
        <v>1672</v>
      </c>
      <c r="N1902" t="s">
        <v>12394</v>
      </c>
      <c r="O1902" t="s">
        <v>1940</v>
      </c>
      <c r="P1902" t="s">
        <v>1963</v>
      </c>
      <c r="R1902" t="s">
        <v>50</v>
      </c>
      <c r="S1902" t="s">
        <v>1671</v>
      </c>
      <c r="U1902" t="s">
        <v>1972</v>
      </c>
      <c r="V1902" t="s">
        <v>1984</v>
      </c>
      <c r="W1902" t="s">
        <v>206</v>
      </c>
      <c r="X1902">
        <v>910</v>
      </c>
      <c r="Y1902" t="s">
        <v>2008</v>
      </c>
      <c r="Z1902" t="s">
        <v>2014</v>
      </c>
      <c r="AB1902" t="s">
        <v>14385</v>
      </c>
      <c r="AD1902" t="s">
        <v>16800</v>
      </c>
      <c r="AE1902">
        <v>50</v>
      </c>
      <c r="AF1902" t="s">
        <v>2902</v>
      </c>
      <c r="AG1902" t="s">
        <v>2919</v>
      </c>
      <c r="AH1902">
        <v>41</v>
      </c>
      <c r="AI1902">
        <v>1</v>
      </c>
      <c r="AJ1902">
        <v>0</v>
      </c>
      <c r="AK1902">
        <v>82.63</v>
      </c>
      <c r="AN1902" t="s">
        <v>2926</v>
      </c>
      <c r="AO1902">
        <v>10320</v>
      </c>
      <c r="AU1902">
        <v>1.1</v>
      </c>
      <c r="AV1902" t="s">
        <v>399</v>
      </c>
      <c r="AW1902" t="s">
        <v>3051</v>
      </c>
      <c r="AX1902" t="s">
        <v>18685</v>
      </c>
    </row>
    <row r="1903" spans="1:50">
      <c r="A1903" s="1" t="s">
        <v>79</v>
      </c>
      <c r="B1903" t="s">
        <v>163</v>
      </c>
      <c r="C1903" t="s">
        <v>5113</v>
      </c>
      <c r="D1903" t="s">
        <v>330</v>
      </c>
      <c r="F1903" t="s">
        <v>7559</v>
      </c>
      <c r="G1903" t="s">
        <v>780</v>
      </c>
      <c r="H1903" t="s">
        <v>10250</v>
      </c>
      <c r="J1903" t="s">
        <v>1641</v>
      </c>
      <c r="K1903">
        <v>10453</v>
      </c>
      <c r="L1903" t="s">
        <v>1670</v>
      </c>
      <c r="M1903" t="s">
        <v>1670</v>
      </c>
      <c r="O1903" t="s">
        <v>1953</v>
      </c>
      <c r="P1903" t="s">
        <v>1960</v>
      </c>
      <c r="R1903" t="s">
        <v>50</v>
      </c>
      <c r="S1903" t="s">
        <v>1671</v>
      </c>
      <c r="U1903" t="s">
        <v>1972</v>
      </c>
      <c r="W1903" t="s">
        <v>270</v>
      </c>
      <c r="X1903" t="s">
        <v>13051</v>
      </c>
      <c r="Y1903" t="s">
        <v>2009</v>
      </c>
      <c r="Z1903" t="s">
        <v>2017</v>
      </c>
      <c r="AB1903" t="s">
        <v>14386</v>
      </c>
      <c r="AD1903" t="s">
        <v>16801</v>
      </c>
      <c r="AE1903">
        <v>28</v>
      </c>
      <c r="AG1903" t="s">
        <v>2916</v>
      </c>
      <c r="AH1903" t="s">
        <v>13051</v>
      </c>
      <c r="AI1903">
        <v>1</v>
      </c>
      <c r="AJ1903">
        <v>0</v>
      </c>
      <c r="AK1903">
        <v>82.64</v>
      </c>
      <c r="AN1903" t="s">
        <v>2926</v>
      </c>
      <c r="AO1903">
        <v>10032</v>
      </c>
      <c r="AU1903">
        <v>16.5</v>
      </c>
      <c r="AV1903" t="s">
        <v>249</v>
      </c>
      <c r="AW1903" t="s">
        <v>3059</v>
      </c>
    </row>
    <row r="1904" spans="1:50">
      <c r="A1904" s="1" t="s">
        <v>69</v>
      </c>
      <c r="B1904" t="s">
        <v>164</v>
      </c>
      <c r="C1904" t="s">
        <v>5114</v>
      </c>
      <c r="D1904" t="s">
        <v>238</v>
      </c>
      <c r="E1904" t="s">
        <v>171</v>
      </c>
      <c r="F1904" t="s">
        <v>460</v>
      </c>
      <c r="G1904" t="s">
        <v>8499</v>
      </c>
      <c r="H1904" t="s">
        <v>10251</v>
      </c>
      <c r="I1904" t="s">
        <v>1570</v>
      </c>
      <c r="J1904" t="s">
        <v>1644</v>
      </c>
      <c r="K1904">
        <v>11203</v>
      </c>
      <c r="L1904" t="s">
        <v>1670</v>
      </c>
      <c r="M1904" t="s">
        <v>1670</v>
      </c>
      <c r="P1904" t="s">
        <v>1962</v>
      </c>
      <c r="Q1904" t="s">
        <v>1965</v>
      </c>
      <c r="R1904" t="s">
        <v>50</v>
      </c>
      <c r="U1904" t="s">
        <v>1972</v>
      </c>
      <c r="W1904" t="s">
        <v>238</v>
      </c>
      <c r="X1904" t="s">
        <v>13051</v>
      </c>
      <c r="Y1904" t="s">
        <v>2009</v>
      </c>
      <c r="AA1904" t="s">
        <v>2029</v>
      </c>
      <c r="AB1904" t="s">
        <v>14387</v>
      </c>
      <c r="AD1904" t="s">
        <v>16802</v>
      </c>
      <c r="AE1904" t="s">
        <v>13051</v>
      </c>
      <c r="AH1904" t="s">
        <v>13051</v>
      </c>
      <c r="AI1904">
        <v>2</v>
      </c>
      <c r="AJ1904">
        <v>0</v>
      </c>
      <c r="AK1904">
        <v>82.67</v>
      </c>
      <c r="AN1904" t="s">
        <v>2926</v>
      </c>
      <c r="AO1904">
        <v>13608</v>
      </c>
      <c r="AU1904">
        <v>2.3</v>
      </c>
      <c r="AV1904" t="s">
        <v>1995</v>
      </c>
      <c r="AW1904" t="s">
        <v>69</v>
      </c>
    </row>
    <row r="1905" spans="1:50">
      <c r="A1905" s="1" t="s">
        <v>3147</v>
      </c>
      <c r="B1905" t="s">
        <v>164</v>
      </c>
      <c r="C1905" t="s">
        <v>5115</v>
      </c>
      <c r="D1905" t="s">
        <v>280</v>
      </c>
      <c r="E1905" t="s">
        <v>6768</v>
      </c>
      <c r="F1905" t="s">
        <v>7560</v>
      </c>
      <c r="G1905" t="s">
        <v>8758</v>
      </c>
      <c r="H1905" t="s">
        <v>10252</v>
      </c>
      <c r="I1905" t="s">
        <v>11008</v>
      </c>
      <c r="J1905" t="s">
        <v>1645</v>
      </c>
      <c r="K1905">
        <v>11691</v>
      </c>
      <c r="L1905" t="s">
        <v>1670</v>
      </c>
      <c r="M1905" t="s">
        <v>1670</v>
      </c>
      <c r="N1905" t="s">
        <v>12395</v>
      </c>
      <c r="O1905" t="s">
        <v>1936</v>
      </c>
      <c r="P1905" t="s">
        <v>1958</v>
      </c>
      <c r="Q1905" t="s">
        <v>1965</v>
      </c>
      <c r="R1905" t="s">
        <v>50</v>
      </c>
      <c r="S1905" t="s">
        <v>1671</v>
      </c>
      <c r="U1905" t="s">
        <v>1972</v>
      </c>
      <c r="V1905" t="s">
        <v>1984</v>
      </c>
      <c r="W1905" t="s">
        <v>1989</v>
      </c>
      <c r="X1905">
        <v>1313</v>
      </c>
      <c r="Y1905" t="s">
        <v>2007</v>
      </c>
      <c r="Z1905" t="s">
        <v>2014</v>
      </c>
      <c r="AA1905" t="s">
        <v>2029</v>
      </c>
      <c r="AB1905" t="s">
        <v>14388</v>
      </c>
      <c r="AC1905" t="s">
        <v>15230</v>
      </c>
      <c r="AD1905" t="s">
        <v>16803</v>
      </c>
      <c r="AE1905">
        <v>917</v>
      </c>
      <c r="AF1905" t="s">
        <v>2906</v>
      </c>
      <c r="AG1905" t="s">
        <v>2915</v>
      </c>
      <c r="AH1905">
        <v>4</v>
      </c>
      <c r="AI1905">
        <v>1</v>
      </c>
      <c r="AJ1905">
        <v>0</v>
      </c>
      <c r="AK1905">
        <v>82.73</v>
      </c>
      <c r="AN1905" t="s">
        <v>2926</v>
      </c>
      <c r="AO1905">
        <v>10044</v>
      </c>
      <c r="AU1905">
        <v>0.8</v>
      </c>
      <c r="AV1905" t="s">
        <v>6768</v>
      </c>
      <c r="AW1905" t="s">
        <v>3044</v>
      </c>
    </row>
    <row r="1906" spans="1:50">
      <c r="A1906" s="1" t="s">
        <v>115</v>
      </c>
      <c r="B1906" t="s">
        <v>164</v>
      </c>
      <c r="C1906" t="s">
        <v>5116</v>
      </c>
      <c r="D1906" t="s">
        <v>344</v>
      </c>
      <c r="E1906" t="s">
        <v>359</v>
      </c>
      <c r="F1906" t="s">
        <v>6803</v>
      </c>
      <c r="G1906" t="s">
        <v>914</v>
      </c>
      <c r="H1906" t="s">
        <v>9700</v>
      </c>
      <c r="I1906" t="s">
        <v>11316</v>
      </c>
      <c r="J1906" t="s">
        <v>1641</v>
      </c>
      <c r="K1906">
        <v>10452</v>
      </c>
      <c r="L1906" t="s">
        <v>1670</v>
      </c>
      <c r="M1906" t="s">
        <v>1670</v>
      </c>
      <c r="O1906" t="s">
        <v>1939</v>
      </c>
      <c r="P1906" t="s">
        <v>1958</v>
      </c>
      <c r="Q1906" t="s">
        <v>1965</v>
      </c>
      <c r="R1906" t="s">
        <v>50</v>
      </c>
      <c r="S1906" t="s">
        <v>1670</v>
      </c>
      <c r="U1906" t="s">
        <v>1972</v>
      </c>
      <c r="W1906" t="s">
        <v>359</v>
      </c>
      <c r="X1906">
        <v>251</v>
      </c>
      <c r="Y1906" t="s">
        <v>2006</v>
      </c>
      <c r="Z1906" t="s">
        <v>2015</v>
      </c>
      <c r="AA1906" t="s">
        <v>2029</v>
      </c>
      <c r="AB1906" t="s">
        <v>14389</v>
      </c>
      <c r="AD1906" t="s">
        <v>16804</v>
      </c>
      <c r="AE1906">
        <v>149</v>
      </c>
      <c r="AF1906" t="s">
        <v>2902</v>
      </c>
      <c r="AG1906" t="s">
        <v>1754</v>
      </c>
      <c r="AH1906" t="s">
        <v>13051</v>
      </c>
      <c r="AI1906">
        <v>1</v>
      </c>
      <c r="AJ1906">
        <v>0</v>
      </c>
      <c r="AK1906">
        <v>82.73</v>
      </c>
      <c r="AN1906" t="s">
        <v>2926</v>
      </c>
      <c r="AO1906">
        <v>10044</v>
      </c>
      <c r="AU1906">
        <v>0.2</v>
      </c>
      <c r="AV1906" t="s">
        <v>271</v>
      </c>
      <c r="AW1906" t="s">
        <v>3054</v>
      </c>
    </row>
    <row r="1907" spans="1:50">
      <c r="A1907" s="1" t="s">
        <v>3158</v>
      </c>
      <c r="B1907" t="s">
        <v>164</v>
      </c>
      <c r="C1907" t="s">
        <v>5117</v>
      </c>
      <c r="D1907" t="s">
        <v>228</v>
      </c>
      <c r="E1907" t="s">
        <v>207</v>
      </c>
      <c r="F1907" t="s">
        <v>7561</v>
      </c>
      <c r="G1907" t="s">
        <v>8616</v>
      </c>
      <c r="H1907" t="s">
        <v>10253</v>
      </c>
      <c r="I1907" t="s">
        <v>1507</v>
      </c>
      <c r="J1907" t="s">
        <v>1643</v>
      </c>
      <c r="K1907">
        <v>10040</v>
      </c>
      <c r="L1907" t="s">
        <v>1670</v>
      </c>
      <c r="M1907" t="s">
        <v>1672</v>
      </c>
      <c r="P1907" t="s">
        <v>1958</v>
      </c>
      <c r="Q1907" t="s">
        <v>1965</v>
      </c>
      <c r="R1907" t="s">
        <v>50</v>
      </c>
      <c r="S1907" t="s">
        <v>1671</v>
      </c>
      <c r="U1907" t="s">
        <v>1972</v>
      </c>
      <c r="W1907" t="s">
        <v>228</v>
      </c>
      <c r="X1907">
        <v>1103.6</v>
      </c>
      <c r="Y1907" t="s">
        <v>2008</v>
      </c>
      <c r="Z1907" t="s">
        <v>2016</v>
      </c>
      <c r="AA1907" t="s">
        <v>2029</v>
      </c>
      <c r="AE1907" t="s">
        <v>13051</v>
      </c>
      <c r="AF1907" t="s">
        <v>2902</v>
      </c>
      <c r="AG1907" t="s">
        <v>1754</v>
      </c>
      <c r="AH1907">
        <v>30</v>
      </c>
      <c r="AI1907">
        <v>1</v>
      </c>
      <c r="AJ1907">
        <v>0</v>
      </c>
      <c r="AK1907">
        <v>82.73</v>
      </c>
      <c r="AN1907" t="s">
        <v>2927</v>
      </c>
      <c r="AO1907">
        <v>10044</v>
      </c>
      <c r="AU1907">
        <v>1</v>
      </c>
      <c r="AV1907" t="s">
        <v>6160</v>
      </c>
      <c r="AW1907" t="s">
        <v>3042</v>
      </c>
      <c r="AX1907" t="s">
        <v>18685</v>
      </c>
    </row>
    <row r="1908" spans="1:50">
      <c r="A1908" s="1" t="s">
        <v>95</v>
      </c>
      <c r="B1908" t="s">
        <v>164</v>
      </c>
      <c r="C1908" t="s">
        <v>5118</v>
      </c>
      <c r="D1908" t="s">
        <v>382</v>
      </c>
      <c r="E1908" t="s">
        <v>376</v>
      </c>
      <c r="F1908" t="s">
        <v>7562</v>
      </c>
      <c r="G1908" t="s">
        <v>810</v>
      </c>
      <c r="H1908" t="s">
        <v>10254</v>
      </c>
      <c r="I1908" t="s">
        <v>1633</v>
      </c>
      <c r="J1908" t="s">
        <v>1641</v>
      </c>
      <c r="K1908">
        <v>10456</v>
      </c>
      <c r="L1908" t="s">
        <v>1670</v>
      </c>
      <c r="M1908" t="s">
        <v>1670</v>
      </c>
      <c r="O1908" t="s">
        <v>1675</v>
      </c>
      <c r="P1908" t="s">
        <v>1962</v>
      </c>
      <c r="Q1908" t="s">
        <v>1968</v>
      </c>
      <c r="R1908" t="s">
        <v>50</v>
      </c>
      <c r="S1908" t="s">
        <v>1671</v>
      </c>
      <c r="U1908" t="s">
        <v>1972</v>
      </c>
      <c r="W1908" t="s">
        <v>373</v>
      </c>
      <c r="X1908">
        <v>441.73</v>
      </c>
      <c r="Y1908" t="s">
        <v>2006</v>
      </c>
      <c r="Z1908" t="s">
        <v>2015</v>
      </c>
      <c r="AA1908" t="s">
        <v>2029</v>
      </c>
      <c r="AB1908" t="s">
        <v>14390</v>
      </c>
      <c r="AE1908" t="s">
        <v>13051</v>
      </c>
      <c r="AF1908" t="s">
        <v>2904</v>
      </c>
      <c r="AG1908" t="s">
        <v>2915</v>
      </c>
      <c r="AH1908">
        <v>46</v>
      </c>
      <c r="AI1908">
        <v>1</v>
      </c>
      <c r="AJ1908">
        <v>0</v>
      </c>
      <c r="AK1908">
        <v>82.73</v>
      </c>
      <c r="AN1908" t="s">
        <v>2926</v>
      </c>
      <c r="AO1908">
        <v>10044</v>
      </c>
      <c r="AU1908">
        <v>4</v>
      </c>
      <c r="AV1908" t="s">
        <v>376</v>
      </c>
      <c r="AW1908" t="s">
        <v>95</v>
      </c>
    </row>
    <row r="1909" spans="1:50">
      <c r="A1909" s="1" t="s">
        <v>97</v>
      </c>
      <c r="B1909" t="s">
        <v>164</v>
      </c>
      <c r="C1909" t="s">
        <v>5119</v>
      </c>
      <c r="D1909" t="s">
        <v>6189</v>
      </c>
      <c r="E1909" t="s">
        <v>6762</v>
      </c>
      <c r="F1909" t="s">
        <v>547</v>
      </c>
      <c r="G1909" t="s">
        <v>8471</v>
      </c>
      <c r="H1909" t="s">
        <v>9909</v>
      </c>
      <c r="I1909" t="s">
        <v>10967</v>
      </c>
      <c r="J1909" t="s">
        <v>1643</v>
      </c>
      <c r="K1909">
        <v>10034</v>
      </c>
      <c r="L1909" t="s">
        <v>1670</v>
      </c>
      <c r="M1909" t="s">
        <v>1670</v>
      </c>
      <c r="N1909" t="s">
        <v>12396</v>
      </c>
      <c r="O1909" t="s">
        <v>1936</v>
      </c>
      <c r="P1909" t="s">
        <v>1962</v>
      </c>
      <c r="Q1909" t="s">
        <v>1968</v>
      </c>
      <c r="R1909" t="s">
        <v>50</v>
      </c>
      <c r="S1909" t="s">
        <v>1671</v>
      </c>
      <c r="T1909" t="s">
        <v>50</v>
      </c>
      <c r="U1909" t="s">
        <v>1972</v>
      </c>
      <c r="V1909" t="s">
        <v>1984</v>
      </c>
      <c r="W1909" t="s">
        <v>241</v>
      </c>
      <c r="X1909">
        <v>1928.53</v>
      </c>
      <c r="Y1909" t="s">
        <v>2008</v>
      </c>
      <c r="Z1909" t="s">
        <v>2020</v>
      </c>
      <c r="AA1909" t="s">
        <v>2029</v>
      </c>
      <c r="AB1909" t="s">
        <v>13916</v>
      </c>
      <c r="AD1909" t="s">
        <v>16354</v>
      </c>
      <c r="AE1909">
        <v>38</v>
      </c>
      <c r="AF1909" t="s">
        <v>2902</v>
      </c>
      <c r="AG1909" t="s">
        <v>1754</v>
      </c>
      <c r="AH1909">
        <v>6</v>
      </c>
      <c r="AI1909">
        <v>1</v>
      </c>
      <c r="AJ1909">
        <v>0</v>
      </c>
      <c r="AK1909">
        <v>82.73</v>
      </c>
      <c r="AN1909" t="s">
        <v>2926</v>
      </c>
      <c r="AO1909">
        <v>10044</v>
      </c>
      <c r="AU1909">
        <v>6.4</v>
      </c>
      <c r="AV1909" t="s">
        <v>6762</v>
      </c>
      <c r="AW1909" t="s">
        <v>18654</v>
      </c>
      <c r="AX1909" t="s">
        <v>18685</v>
      </c>
    </row>
    <row r="1910" spans="1:50">
      <c r="A1910" s="1" t="s">
        <v>3158</v>
      </c>
      <c r="B1910" t="s">
        <v>164</v>
      </c>
      <c r="C1910" t="s">
        <v>5120</v>
      </c>
      <c r="D1910" t="s">
        <v>378</v>
      </c>
      <c r="E1910" t="s">
        <v>244</v>
      </c>
      <c r="F1910" t="s">
        <v>605</v>
      </c>
      <c r="G1910" t="s">
        <v>769</v>
      </c>
      <c r="H1910" t="s">
        <v>10255</v>
      </c>
      <c r="I1910" t="s">
        <v>1522</v>
      </c>
      <c r="J1910" t="s">
        <v>1643</v>
      </c>
      <c r="K1910">
        <v>10032</v>
      </c>
      <c r="L1910" t="s">
        <v>1670</v>
      </c>
      <c r="M1910" t="s">
        <v>1670</v>
      </c>
      <c r="O1910" t="s">
        <v>1675</v>
      </c>
      <c r="P1910" t="s">
        <v>1959</v>
      </c>
      <c r="Q1910" t="s">
        <v>1965</v>
      </c>
      <c r="R1910" t="s">
        <v>50</v>
      </c>
      <c r="S1910" t="s">
        <v>1671</v>
      </c>
      <c r="U1910" t="s">
        <v>1972</v>
      </c>
      <c r="W1910" t="s">
        <v>378</v>
      </c>
      <c r="X1910">
        <v>872.58</v>
      </c>
      <c r="Y1910" t="s">
        <v>2008</v>
      </c>
      <c r="Z1910" t="s">
        <v>2013</v>
      </c>
      <c r="AA1910" t="s">
        <v>2029</v>
      </c>
      <c r="AB1910" t="s">
        <v>14391</v>
      </c>
      <c r="AD1910" t="s">
        <v>16805</v>
      </c>
      <c r="AE1910">
        <v>49</v>
      </c>
      <c r="AF1910" t="s">
        <v>2902</v>
      </c>
      <c r="AG1910" t="s">
        <v>2915</v>
      </c>
      <c r="AH1910" t="s">
        <v>13051</v>
      </c>
      <c r="AI1910">
        <v>1</v>
      </c>
      <c r="AJ1910">
        <v>0</v>
      </c>
      <c r="AK1910">
        <v>82.73</v>
      </c>
      <c r="AN1910" t="s">
        <v>2927</v>
      </c>
      <c r="AO1910">
        <v>10044</v>
      </c>
      <c r="AU1910">
        <v>3.1</v>
      </c>
      <c r="AV1910" t="s">
        <v>244</v>
      </c>
      <c r="AW1910" t="s">
        <v>3042</v>
      </c>
    </row>
    <row r="1911" spans="1:50">
      <c r="A1911" s="1" t="s">
        <v>65</v>
      </c>
      <c r="B1911" t="s">
        <v>163</v>
      </c>
      <c r="C1911" t="s">
        <v>5121</v>
      </c>
      <c r="D1911" t="s">
        <v>225</v>
      </c>
      <c r="F1911" t="s">
        <v>7518</v>
      </c>
      <c r="G1911" t="s">
        <v>780</v>
      </c>
      <c r="H1911" t="s">
        <v>10256</v>
      </c>
      <c r="I1911">
        <v>7</v>
      </c>
      <c r="J1911" t="s">
        <v>1644</v>
      </c>
      <c r="K1911">
        <v>11215</v>
      </c>
      <c r="L1911" t="s">
        <v>1670</v>
      </c>
      <c r="M1911" t="s">
        <v>1670</v>
      </c>
      <c r="O1911" t="s">
        <v>1937</v>
      </c>
      <c r="P1911" t="s">
        <v>1959</v>
      </c>
      <c r="R1911" t="s">
        <v>50</v>
      </c>
      <c r="U1911" t="s">
        <v>1972</v>
      </c>
      <c r="W1911" t="s">
        <v>1992</v>
      </c>
      <c r="X1911" t="s">
        <v>13051</v>
      </c>
      <c r="Y1911" t="s">
        <v>2009</v>
      </c>
      <c r="AB1911" t="s">
        <v>14392</v>
      </c>
      <c r="AD1911" t="s">
        <v>16806</v>
      </c>
      <c r="AE1911" t="s">
        <v>13051</v>
      </c>
      <c r="AH1911" t="s">
        <v>13051</v>
      </c>
      <c r="AI1911">
        <v>1</v>
      </c>
      <c r="AJ1911">
        <v>0</v>
      </c>
      <c r="AK1911">
        <v>82.73</v>
      </c>
      <c r="AN1911" t="s">
        <v>2926</v>
      </c>
      <c r="AO1911">
        <v>10044</v>
      </c>
      <c r="AP1911" t="s">
        <v>2963</v>
      </c>
      <c r="AU1911">
        <v>23.58</v>
      </c>
      <c r="AV1911" t="s">
        <v>336</v>
      </c>
      <c r="AW1911" t="s">
        <v>18673</v>
      </c>
    </row>
    <row r="1912" spans="1:50">
      <c r="A1912" s="1" t="s">
        <v>101</v>
      </c>
      <c r="B1912" t="s">
        <v>164</v>
      </c>
      <c r="C1912" t="s">
        <v>5122</v>
      </c>
      <c r="D1912" t="s">
        <v>6138</v>
      </c>
      <c r="E1912" t="s">
        <v>325</v>
      </c>
      <c r="F1912" t="s">
        <v>7563</v>
      </c>
      <c r="G1912" t="s">
        <v>852</v>
      </c>
      <c r="H1912" t="s">
        <v>10191</v>
      </c>
      <c r="I1912" t="s">
        <v>11317</v>
      </c>
      <c r="J1912" t="s">
        <v>1643</v>
      </c>
      <c r="K1912">
        <v>10035</v>
      </c>
      <c r="L1912" t="s">
        <v>1670</v>
      </c>
      <c r="M1912" t="s">
        <v>1670</v>
      </c>
      <c r="O1912" t="s">
        <v>12749</v>
      </c>
      <c r="P1912" t="s">
        <v>1961</v>
      </c>
      <c r="Q1912" t="s">
        <v>1970</v>
      </c>
      <c r="R1912" t="s">
        <v>50</v>
      </c>
      <c r="S1912" t="s">
        <v>1671</v>
      </c>
      <c r="U1912" t="s">
        <v>1972</v>
      </c>
      <c r="V1912" t="s">
        <v>1984</v>
      </c>
      <c r="W1912" t="s">
        <v>305</v>
      </c>
      <c r="X1912">
        <v>1293</v>
      </c>
      <c r="Y1912" t="s">
        <v>2008</v>
      </c>
      <c r="Z1912" t="s">
        <v>2017</v>
      </c>
      <c r="AA1912" t="s">
        <v>2032</v>
      </c>
      <c r="AB1912" t="s">
        <v>14393</v>
      </c>
      <c r="AD1912" t="s">
        <v>16807</v>
      </c>
      <c r="AE1912">
        <v>91</v>
      </c>
      <c r="AF1912" t="s">
        <v>2902</v>
      </c>
      <c r="AG1912" t="s">
        <v>2915</v>
      </c>
      <c r="AH1912">
        <v>11</v>
      </c>
      <c r="AI1912">
        <v>1</v>
      </c>
      <c r="AJ1912">
        <v>0</v>
      </c>
      <c r="AK1912">
        <v>82.73</v>
      </c>
      <c r="AN1912" t="s">
        <v>2926</v>
      </c>
      <c r="AO1912">
        <v>10044</v>
      </c>
      <c r="AP1912" t="s">
        <v>18314</v>
      </c>
      <c r="AQ1912" t="s">
        <v>2976</v>
      </c>
      <c r="AR1912" t="s">
        <v>2988</v>
      </c>
      <c r="AS1912" t="s">
        <v>2992</v>
      </c>
      <c r="AT1912" t="s">
        <v>18576</v>
      </c>
      <c r="AU1912">
        <v>29</v>
      </c>
      <c r="AV1912" t="s">
        <v>3031</v>
      </c>
      <c r="AW1912" t="s">
        <v>3043</v>
      </c>
      <c r="AX1912" t="s">
        <v>18685</v>
      </c>
    </row>
    <row r="1913" spans="1:50">
      <c r="A1913" s="1" t="s">
        <v>59</v>
      </c>
      <c r="B1913" t="s">
        <v>163</v>
      </c>
      <c r="C1913" t="s">
        <v>5123</v>
      </c>
      <c r="D1913" t="s">
        <v>173</v>
      </c>
      <c r="F1913" t="s">
        <v>674</v>
      </c>
      <c r="G1913" t="s">
        <v>8759</v>
      </c>
      <c r="H1913" t="s">
        <v>1114</v>
      </c>
      <c r="I1913" t="s">
        <v>1540</v>
      </c>
      <c r="J1913" t="s">
        <v>1641</v>
      </c>
      <c r="K1913">
        <v>10456</v>
      </c>
      <c r="L1913" t="s">
        <v>1670</v>
      </c>
      <c r="M1913" t="s">
        <v>1670</v>
      </c>
      <c r="N1913" t="s">
        <v>1679</v>
      </c>
      <c r="O1913" t="s">
        <v>1938</v>
      </c>
      <c r="P1913" t="s">
        <v>1961</v>
      </c>
      <c r="R1913" t="s">
        <v>50</v>
      </c>
      <c r="S1913" t="s">
        <v>1670</v>
      </c>
      <c r="U1913" t="s">
        <v>1972</v>
      </c>
      <c r="W1913" t="s">
        <v>173</v>
      </c>
      <c r="X1913">
        <v>942</v>
      </c>
      <c r="Y1913" t="s">
        <v>2006</v>
      </c>
      <c r="Z1913" t="s">
        <v>2015</v>
      </c>
      <c r="AB1913" t="s">
        <v>14394</v>
      </c>
      <c r="AD1913" t="s">
        <v>16808</v>
      </c>
      <c r="AE1913">
        <v>131</v>
      </c>
      <c r="AF1913" t="s">
        <v>2902</v>
      </c>
      <c r="AG1913" t="s">
        <v>1754</v>
      </c>
      <c r="AH1913">
        <v>27</v>
      </c>
      <c r="AI1913">
        <v>1</v>
      </c>
      <c r="AJ1913">
        <v>0</v>
      </c>
      <c r="AK1913">
        <v>82.73</v>
      </c>
      <c r="AN1913" t="s">
        <v>2927</v>
      </c>
      <c r="AO1913">
        <v>10044</v>
      </c>
      <c r="AU1913" t="s">
        <v>13051</v>
      </c>
      <c r="AW1913" t="s">
        <v>3047</v>
      </c>
    </row>
    <row r="1914" spans="1:50">
      <c r="A1914" s="1" t="s">
        <v>59</v>
      </c>
      <c r="B1914" t="s">
        <v>163</v>
      </c>
      <c r="C1914" t="s">
        <v>5124</v>
      </c>
      <c r="D1914" t="s">
        <v>297</v>
      </c>
      <c r="F1914" t="s">
        <v>674</v>
      </c>
      <c r="G1914" t="s">
        <v>8759</v>
      </c>
      <c r="H1914" t="s">
        <v>1114</v>
      </c>
      <c r="I1914" t="s">
        <v>1540</v>
      </c>
      <c r="J1914" t="s">
        <v>1641</v>
      </c>
      <c r="K1914">
        <v>10456</v>
      </c>
      <c r="L1914" t="s">
        <v>1670</v>
      </c>
      <c r="M1914" t="s">
        <v>1670</v>
      </c>
      <c r="N1914" t="s">
        <v>1680</v>
      </c>
      <c r="O1914" t="s">
        <v>1938</v>
      </c>
      <c r="P1914" t="s">
        <v>1961</v>
      </c>
      <c r="R1914" t="s">
        <v>50</v>
      </c>
      <c r="S1914" t="s">
        <v>1670</v>
      </c>
      <c r="U1914" t="s">
        <v>1972</v>
      </c>
      <c r="W1914" t="s">
        <v>283</v>
      </c>
      <c r="X1914">
        <v>942</v>
      </c>
      <c r="Y1914" t="s">
        <v>2006</v>
      </c>
      <c r="Z1914" t="s">
        <v>2015</v>
      </c>
      <c r="AB1914" t="s">
        <v>14394</v>
      </c>
      <c r="AD1914" t="s">
        <v>16808</v>
      </c>
      <c r="AE1914">
        <v>131</v>
      </c>
      <c r="AF1914" t="s">
        <v>2902</v>
      </c>
      <c r="AG1914" t="s">
        <v>1754</v>
      </c>
      <c r="AH1914">
        <v>27</v>
      </c>
      <c r="AI1914">
        <v>1</v>
      </c>
      <c r="AJ1914">
        <v>0</v>
      </c>
      <c r="AK1914">
        <v>82.73</v>
      </c>
      <c r="AN1914" t="s">
        <v>2927</v>
      </c>
      <c r="AO1914">
        <v>10044</v>
      </c>
      <c r="AU1914" t="s">
        <v>13051</v>
      </c>
      <c r="AW1914" t="s">
        <v>3047</v>
      </c>
    </row>
    <row r="1915" spans="1:50">
      <c r="A1915" s="1" t="s">
        <v>59</v>
      </c>
      <c r="B1915" t="s">
        <v>163</v>
      </c>
      <c r="C1915" t="s">
        <v>5125</v>
      </c>
      <c r="D1915" t="s">
        <v>173</v>
      </c>
      <c r="F1915" t="s">
        <v>674</v>
      </c>
      <c r="G1915" t="s">
        <v>8759</v>
      </c>
      <c r="H1915" t="s">
        <v>1114</v>
      </c>
      <c r="I1915" t="s">
        <v>1540</v>
      </c>
      <c r="J1915" t="s">
        <v>1641</v>
      </c>
      <c r="K1915">
        <v>10456</v>
      </c>
      <c r="L1915" t="s">
        <v>1670</v>
      </c>
      <c r="M1915" t="s">
        <v>1670</v>
      </c>
      <c r="N1915" t="s">
        <v>1681</v>
      </c>
      <c r="O1915" t="s">
        <v>1939</v>
      </c>
      <c r="P1915" t="s">
        <v>1960</v>
      </c>
      <c r="R1915" t="s">
        <v>50</v>
      </c>
      <c r="S1915" t="s">
        <v>1670</v>
      </c>
      <c r="U1915" t="s">
        <v>1972</v>
      </c>
      <c r="W1915" t="s">
        <v>173</v>
      </c>
      <c r="X1915">
        <v>942</v>
      </c>
      <c r="Y1915" t="s">
        <v>2006</v>
      </c>
      <c r="Z1915" t="s">
        <v>2015</v>
      </c>
      <c r="AB1915" t="s">
        <v>14394</v>
      </c>
      <c r="AD1915" t="s">
        <v>16808</v>
      </c>
      <c r="AE1915">
        <v>131</v>
      </c>
      <c r="AF1915" t="s">
        <v>2902</v>
      </c>
      <c r="AG1915" t="s">
        <v>1754</v>
      </c>
      <c r="AH1915">
        <v>27</v>
      </c>
      <c r="AI1915">
        <v>1</v>
      </c>
      <c r="AJ1915">
        <v>0</v>
      </c>
      <c r="AK1915">
        <v>82.73</v>
      </c>
      <c r="AN1915" t="s">
        <v>2927</v>
      </c>
      <c r="AO1915">
        <v>10044</v>
      </c>
      <c r="AU1915" t="s">
        <v>13051</v>
      </c>
      <c r="AW1915" t="s">
        <v>3047</v>
      </c>
    </row>
    <row r="1916" spans="1:50">
      <c r="A1916" s="1" t="s">
        <v>72</v>
      </c>
      <c r="B1916" t="s">
        <v>163</v>
      </c>
      <c r="C1916" t="s">
        <v>5126</v>
      </c>
      <c r="D1916" t="s">
        <v>6190</v>
      </c>
      <c r="F1916" t="s">
        <v>7528</v>
      </c>
      <c r="G1916" t="s">
        <v>892</v>
      </c>
      <c r="H1916" t="s">
        <v>10193</v>
      </c>
      <c r="I1916">
        <v>3</v>
      </c>
      <c r="J1916" t="s">
        <v>1643</v>
      </c>
      <c r="K1916">
        <v>10035</v>
      </c>
      <c r="L1916" t="s">
        <v>1670</v>
      </c>
      <c r="M1916" t="s">
        <v>1670</v>
      </c>
      <c r="N1916" t="s">
        <v>12397</v>
      </c>
      <c r="O1916" t="s">
        <v>1940</v>
      </c>
      <c r="P1916" t="s">
        <v>1960</v>
      </c>
      <c r="R1916" t="s">
        <v>50</v>
      </c>
      <c r="S1916" t="s">
        <v>1671</v>
      </c>
      <c r="U1916" t="s">
        <v>1972</v>
      </c>
      <c r="V1916" t="s">
        <v>1984</v>
      </c>
      <c r="W1916" t="s">
        <v>287</v>
      </c>
      <c r="X1916">
        <v>900</v>
      </c>
      <c r="Y1916" t="s">
        <v>2008</v>
      </c>
      <c r="Z1916" t="s">
        <v>2020</v>
      </c>
      <c r="AB1916" t="s">
        <v>14305</v>
      </c>
      <c r="AD1916" t="s">
        <v>16809</v>
      </c>
      <c r="AE1916">
        <v>6</v>
      </c>
      <c r="AF1916" t="s">
        <v>2902</v>
      </c>
      <c r="AG1916" t="s">
        <v>2915</v>
      </c>
      <c r="AH1916">
        <v>18</v>
      </c>
      <c r="AI1916">
        <v>1</v>
      </c>
      <c r="AJ1916">
        <v>0</v>
      </c>
      <c r="AK1916">
        <v>82.73</v>
      </c>
      <c r="AN1916" t="s">
        <v>2926</v>
      </c>
      <c r="AO1916">
        <v>10044</v>
      </c>
      <c r="AP1916" t="s">
        <v>18315</v>
      </c>
      <c r="AU1916">
        <v>54.3</v>
      </c>
      <c r="AV1916" t="s">
        <v>222</v>
      </c>
      <c r="AW1916" t="s">
        <v>3083</v>
      </c>
      <c r="AX1916" t="s">
        <v>18685</v>
      </c>
    </row>
    <row r="1917" spans="1:50">
      <c r="A1917" s="1" t="s">
        <v>74</v>
      </c>
      <c r="B1917" t="s">
        <v>164</v>
      </c>
      <c r="C1917" t="s">
        <v>5127</v>
      </c>
      <c r="D1917" t="s">
        <v>262</v>
      </c>
      <c r="E1917" t="s">
        <v>304</v>
      </c>
      <c r="F1917" t="s">
        <v>7564</v>
      </c>
      <c r="G1917" t="s">
        <v>843</v>
      </c>
      <c r="H1917" t="s">
        <v>10257</v>
      </c>
      <c r="I1917" t="s">
        <v>11318</v>
      </c>
      <c r="J1917" t="s">
        <v>1641</v>
      </c>
      <c r="K1917">
        <v>10459</v>
      </c>
      <c r="L1917" t="s">
        <v>1670</v>
      </c>
      <c r="M1917" t="s">
        <v>1670</v>
      </c>
      <c r="N1917" t="s">
        <v>12398</v>
      </c>
      <c r="O1917" t="s">
        <v>1936</v>
      </c>
      <c r="P1917" t="s">
        <v>1958</v>
      </c>
      <c r="Q1917" t="s">
        <v>1965</v>
      </c>
      <c r="R1917" t="s">
        <v>50</v>
      </c>
      <c r="S1917" t="s">
        <v>1671</v>
      </c>
      <c r="U1917" t="s">
        <v>1972</v>
      </c>
      <c r="W1917" t="s">
        <v>304</v>
      </c>
      <c r="X1917" t="s">
        <v>13051</v>
      </c>
      <c r="Y1917" t="s">
        <v>2006</v>
      </c>
      <c r="Z1917" t="s">
        <v>2014</v>
      </c>
      <c r="AA1917" t="s">
        <v>2032</v>
      </c>
      <c r="AB1917" t="s">
        <v>14395</v>
      </c>
      <c r="AD1917" t="s">
        <v>16810</v>
      </c>
      <c r="AE1917" t="s">
        <v>13051</v>
      </c>
      <c r="AF1917" t="s">
        <v>2911</v>
      </c>
      <c r="AG1917" t="s">
        <v>1754</v>
      </c>
      <c r="AH1917">
        <v>12</v>
      </c>
      <c r="AI1917">
        <v>1</v>
      </c>
      <c r="AJ1917">
        <v>0</v>
      </c>
      <c r="AK1917">
        <v>83.03</v>
      </c>
      <c r="AN1917" t="s">
        <v>2927</v>
      </c>
      <c r="AO1917">
        <v>10080</v>
      </c>
      <c r="AU1917">
        <v>0.1</v>
      </c>
      <c r="AV1917" t="s">
        <v>330</v>
      </c>
      <c r="AW1917" t="s">
        <v>3054</v>
      </c>
    </row>
    <row r="1918" spans="1:50">
      <c r="A1918" s="1" t="s">
        <v>59</v>
      </c>
      <c r="B1918" t="s">
        <v>164</v>
      </c>
      <c r="C1918" t="s">
        <v>5128</v>
      </c>
      <c r="D1918" t="s">
        <v>387</v>
      </c>
      <c r="E1918" t="s">
        <v>359</v>
      </c>
      <c r="F1918" t="s">
        <v>758</v>
      </c>
      <c r="G1918" t="s">
        <v>8575</v>
      </c>
      <c r="H1918" t="s">
        <v>1114</v>
      </c>
      <c r="I1918" t="s">
        <v>1562</v>
      </c>
      <c r="J1918" t="s">
        <v>1641</v>
      </c>
      <c r="K1918">
        <v>10456</v>
      </c>
      <c r="L1918" t="s">
        <v>1670</v>
      </c>
      <c r="M1918" t="s">
        <v>1670</v>
      </c>
      <c r="O1918" t="s">
        <v>1949</v>
      </c>
      <c r="P1918" t="s">
        <v>1958</v>
      </c>
      <c r="Q1918" t="s">
        <v>1965</v>
      </c>
      <c r="R1918" t="s">
        <v>50</v>
      </c>
      <c r="S1918" t="s">
        <v>1670</v>
      </c>
      <c r="U1918" t="s">
        <v>1972</v>
      </c>
      <c r="V1918" t="s">
        <v>1984</v>
      </c>
      <c r="W1918" t="s">
        <v>216</v>
      </c>
      <c r="X1918">
        <v>589</v>
      </c>
      <c r="Y1918" t="s">
        <v>2006</v>
      </c>
      <c r="Z1918" t="s">
        <v>2015</v>
      </c>
      <c r="AA1918" t="s">
        <v>2029</v>
      </c>
      <c r="AB1918" t="s">
        <v>14396</v>
      </c>
      <c r="AC1918" t="s">
        <v>15231</v>
      </c>
      <c r="AE1918">
        <v>131</v>
      </c>
      <c r="AF1918" t="s">
        <v>2908</v>
      </c>
      <c r="AG1918" t="s">
        <v>2915</v>
      </c>
      <c r="AH1918">
        <v>23</v>
      </c>
      <c r="AI1918">
        <v>1</v>
      </c>
      <c r="AJ1918">
        <v>0</v>
      </c>
      <c r="AK1918">
        <v>83.03</v>
      </c>
      <c r="AN1918" t="s">
        <v>2926</v>
      </c>
      <c r="AO1918">
        <v>10080</v>
      </c>
      <c r="AR1918" t="s">
        <v>2017</v>
      </c>
      <c r="AU1918">
        <v>0.2</v>
      </c>
      <c r="AV1918" t="s">
        <v>395</v>
      </c>
      <c r="AW1918" t="s">
        <v>3047</v>
      </c>
    </row>
    <row r="1919" spans="1:50">
      <c r="A1919" s="1" t="s">
        <v>100</v>
      </c>
      <c r="B1919" t="s">
        <v>163</v>
      </c>
      <c r="C1919" t="s">
        <v>5129</v>
      </c>
      <c r="D1919" t="s">
        <v>367</v>
      </c>
      <c r="F1919" t="s">
        <v>420</v>
      </c>
      <c r="G1919" t="s">
        <v>8760</v>
      </c>
      <c r="H1919" t="s">
        <v>9702</v>
      </c>
      <c r="I1919" t="s">
        <v>1581</v>
      </c>
      <c r="J1919" t="s">
        <v>1643</v>
      </c>
      <c r="K1919">
        <v>10034</v>
      </c>
      <c r="L1919" t="s">
        <v>1670</v>
      </c>
      <c r="M1919" t="s">
        <v>1670</v>
      </c>
      <c r="O1919" t="s">
        <v>1941</v>
      </c>
      <c r="P1919" t="s">
        <v>1958</v>
      </c>
      <c r="R1919" t="s">
        <v>50</v>
      </c>
      <c r="S1919" t="s">
        <v>1671</v>
      </c>
      <c r="U1919" t="s">
        <v>1972</v>
      </c>
      <c r="W1919" t="s">
        <v>367</v>
      </c>
      <c r="X1919">
        <v>800</v>
      </c>
      <c r="Y1919" t="s">
        <v>2008</v>
      </c>
      <c r="Z1919" t="s">
        <v>2013</v>
      </c>
      <c r="AB1919" t="s">
        <v>14397</v>
      </c>
      <c r="AE1919">
        <v>60</v>
      </c>
      <c r="AF1919" t="s">
        <v>2902</v>
      </c>
      <c r="AG1919" t="s">
        <v>2919</v>
      </c>
      <c r="AH1919">
        <v>35</v>
      </c>
      <c r="AI1919">
        <v>1</v>
      </c>
      <c r="AJ1919">
        <v>0</v>
      </c>
      <c r="AK1919">
        <v>83.03</v>
      </c>
      <c r="AN1919" t="s">
        <v>2926</v>
      </c>
      <c r="AO1919">
        <v>10080</v>
      </c>
      <c r="AU1919">
        <v>0.1</v>
      </c>
      <c r="AV1919" t="s">
        <v>367</v>
      </c>
      <c r="AW1919" t="s">
        <v>3042</v>
      </c>
    </row>
    <row r="1920" spans="1:50">
      <c r="A1920" s="1" t="s">
        <v>74</v>
      </c>
      <c r="B1920" t="s">
        <v>163</v>
      </c>
      <c r="C1920" t="s">
        <v>5130</v>
      </c>
      <c r="D1920" t="s">
        <v>328</v>
      </c>
      <c r="F1920" t="s">
        <v>7387</v>
      </c>
      <c r="G1920" t="s">
        <v>1003</v>
      </c>
      <c r="H1920" t="s">
        <v>1131</v>
      </c>
      <c r="I1920" t="s">
        <v>1548</v>
      </c>
      <c r="J1920" t="s">
        <v>1641</v>
      </c>
      <c r="K1920">
        <v>10460</v>
      </c>
      <c r="L1920" t="s">
        <v>1670</v>
      </c>
      <c r="M1920" t="s">
        <v>1672</v>
      </c>
      <c r="O1920" t="s">
        <v>1675</v>
      </c>
      <c r="P1920" t="s">
        <v>1959</v>
      </c>
      <c r="R1920" t="s">
        <v>50</v>
      </c>
      <c r="S1920" t="s">
        <v>1670</v>
      </c>
      <c r="U1920" t="s">
        <v>1972</v>
      </c>
      <c r="W1920" t="s">
        <v>1991</v>
      </c>
      <c r="X1920">
        <v>1621</v>
      </c>
      <c r="Y1920" t="s">
        <v>2006</v>
      </c>
      <c r="Z1920" t="s">
        <v>2020</v>
      </c>
      <c r="AB1920" t="s">
        <v>14006</v>
      </c>
      <c r="AE1920">
        <v>168</v>
      </c>
      <c r="AF1920" t="s">
        <v>2904</v>
      </c>
      <c r="AG1920" t="s">
        <v>2915</v>
      </c>
      <c r="AH1920">
        <v>2</v>
      </c>
      <c r="AI1920">
        <v>2</v>
      </c>
      <c r="AJ1920">
        <v>0</v>
      </c>
      <c r="AK1920">
        <v>83.03</v>
      </c>
      <c r="AN1920" t="s">
        <v>2926</v>
      </c>
      <c r="AO1920">
        <v>14040</v>
      </c>
      <c r="AP1920" t="s">
        <v>18316</v>
      </c>
      <c r="AU1920" t="s">
        <v>13051</v>
      </c>
      <c r="AW1920" t="s">
        <v>3046</v>
      </c>
      <c r="AX1920" t="s">
        <v>18685</v>
      </c>
    </row>
    <row r="1921" spans="1:50">
      <c r="A1921" s="1" t="s">
        <v>57</v>
      </c>
      <c r="B1921" t="s">
        <v>163</v>
      </c>
      <c r="C1921" t="s">
        <v>5131</v>
      </c>
      <c r="D1921" t="s">
        <v>358</v>
      </c>
      <c r="F1921" t="s">
        <v>6911</v>
      </c>
      <c r="G1921" t="s">
        <v>8761</v>
      </c>
      <c r="H1921" t="s">
        <v>10258</v>
      </c>
      <c r="I1921">
        <v>45</v>
      </c>
      <c r="J1921" t="s">
        <v>1641</v>
      </c>
      <c r="K1921">
        <v>10453</v>
      </c>
      <c r="L1921" t="s">
        <v>1670</v>
      </c>
      <c r="M1921" t="s">
        <v>1670</v>
      </c>
      <c r="N1921" t="s">
        <v>1911</v>
      </c>
      <c r="O1921" t="s">
        <v>1938</v>
      </c>
      <c r="P1921" t="s">
        <v>1961</v>
      </c>
      <c r="R1921" t="s">
        <v>50</v>
      </c>
      <c r="S1921" t="s">
        <v>1670</v>
      </c>
      <c r="U1921" t="s">
        <v>1972</v>
      </c>
      <c r="W1921" t="s">
        <v>283</v>
      </c>
      <c r="X1921">
        <v>841</v>
      </c>
      <c r="Y1921" t="s">
        <v>2006</v>
      </c>
      <c r="Z1921" t="s">
        <v>2016</v>
      </c>
      <c r="AB1921" t="s">
        <v>14398</v>
      </c>
      <c r="AD1921" t="s">
        <v>16811</v>
      </c>
      <c r="AE1921">
        <v>46</v>
      </c>
      <c r="AF1921" t="s">
        <v>2902</v>
      </c>
      <c r="AH1921">
        <v>37</v>
      </c>
      <c r="AI1921">
        <v>1</v>
      </c>
      <c r="AJ1921">
        <v>0</v>
      </c>
      <c r="AK1921">
        <v>83.03</v>
      </c>
      <c r="AN1921" t="s">
        <v>2926</v>
      </c>
      <c r="AO1921">
        <v>10080</v>
      </c>
      <c r="AU1921">
        <v>10.8</v>
      </c>
      <c r="AV1921" t="s">
        <v>294</v>
      </c>
      <c r="AW1921" t="s">
        <v>57</v>
      </c>
    </row>
    <row r="1922" spans="1:50">
      <c r="A1922" s="1" t="s">
        <v>82</v>
      </c>
      <c r="B1922" t="s">
        <v>164</v>
      </c>
      <c r="C1922" t="s">
        <v>5132</v>
      </c>
      <c r="D1922" t="s">
        <v>228</v>
      </c>
      <c r="E1922" t="s">
        <v>261</v>
      </c>
      <c r="F1922" t="s">
        <v>7565</v>
      </c>
      <c r="G1922" t="s">
        <v>8323</v>
      </c>
      <c r="H1922" t="s">
        <v>10259</v>
      </c>
      <c r="I1922" t="s">
        <v>1633</v>
      </c>
      <c r="J1922" t="s">
        <v>1644</v>
      </c>
      <c r="K1922">
        <v>11213</v>
      </c>
      <c r="L1922" t="s">
        <v>1670</v>
      </c>
      <c r="M1922" t="s">
        <v>1671</v>
      </c>
      <c r="N1922" t="s">
        <v>12399</v>
      </c>
      <c r="O1922" t="s">
        <v>1936</v>
      </c>
      <c r="P1922" t="s">
        <v>1960</v>
      </c>
      <c r="Q1922" t="s">
        <v>1969</v>
      </c>
      <c r="R1922" t="s">
        <v>50</v>
      </c>
      <c r="S1922" t="s">
        <v>1670</v>
      </c>
      <c r="U1922" t="s">
        <v>1972</v>
      </c>
      <c r="W1922" t="s">
        <v>175</v>
      </c>
      <c r="X1922">
        <v>590.58</v>
      </c>
      <c r="Y1922" t="s">
        <v>2009</v>
      </c>
      <c r="Z1922" t="s">
        <v>2020</v>
      </c>
      <c r="AA1922" t="s">
        <v>2032</v>
      </c>
      <c r="AB1922" t="s">
        <v>14399</v>
      </c>
      <c r="AD1922" t="s">
        <v>16812</v>
      </c>
      <c r="AE1922">
        <v>23</v>
      </c>
      <c r="AF1922" t="s">
        <v>2902</v>
      </c>
      <c r="AH1922">
        <v>45</v>
      </c>
      <c r="AI1922">
        <v>1</v>
      </c>
      <c r="AJ1922">
        <v>0</v>
      </c>
      <c r="AK1922">
        <v>83.03</v>
      </c>
      <c r="AN1922" t="s">
        <v>2927</v>
      </c>
      <c r="AO1922">
        <v>10080</v>
      </c>
      <c r="AR1922" t="s">
        <v>2988</v>
      </c>
      <c r="AS1922" t="s">
        <v>2992</v>
      </c>
      <c r="AT1922" t="s">
        <v>18547</v>
      </c>
      <c r="AU1922">
        <v>1.3</v>
      </c>
      <c r="AV1922" t="s">
        <v>261</v>
      </c>
      <c r="AW1922" t="s">
        <v>130</v>
      </c>
    </row>
    <row r="1923" spans="1:50">
      <c r="A1923" s="1" t="s">
        <v>53</v>
      </c>
      <c r="B1923" t="s">
        <v>164</v>
      </c>
      <c r="C1923" t="s">
        <v>5133</v>
      </c>
      <c r="D1923" t="s">
        <v>378</v>
      </c>
      <c r="E1923" t="s">
        <v>305</v>
      </c>
      <c r="F1923" t="s">
        <v>6782</v>
      </c>
      <c r="G1923" t="s">
        <v>7464</v>
      </c>
      <c r="H1923" t="s">
        <v>10138</v>
      </c>
      <c r="I1923" t="s">
        <v>1543</v>
      </c>
      <c r="J1923" t="s">
        <v>11754</v>
      </c>
      <c r="K1923">
        <v>11427</v>
      </c>
      <c r="L1923" t="s">
        <v>1670</v>
      </c>
      <c r="M1923" t="s">
        <v>1670</v>
      </c>
      <c r="N1923" t="s">
        <v>12400</v>
      </c>
      <c r="O1923" t="s">
        <v>1936</v>
      </c>
      <c r="P1923" t="s">
        <v>1960</v>
      </c>
      <c r="Q1923" t="s">
        <v>1971</v>
      </c>
      <c r="R1923" t="s">
        <v>50</v>
      </c>
      <c r="S1923" t="s">
        <v>1671</v>
      </c>
      <c r="U1923" t="s">
        <v>1972</v>
      </c>
      <c r="V1923" t="s">
        <v>1984</v>
      </c>
      <c r="W1923" t="s">
        <v>378</v>
      </c>
      <c r="X1923">
        <v>1073</v>
      </c>
      <c r="Y1923" t="s">
        <v>2007</v>
      </c>
      <c r="Z1923" t="s">
        <v>2014</v>
      </c>
      <c r="AA1923" t="s">
        <v>2032</v>
      </c>
      <c r="AB1923" t="s">
        <v>14229</v>
      </c>
      <c r="AC1923" t="s">
        <v>1754</v>
      </c>
      <c r="AD1923" t="s">
        <v>16649</v>
      </c>
      <c r="AE1923">
        <v>4</v>
      </c>
      <c r="AF1923" t="s">
        <v>2902</v>
      </c>
      <c r="AG1923" t="s">
        <v>1754</v>
      </c>
      <c r="AH1923">
        <v>23</v>
      </c>
      <c r="AI1923">
        <v>1</v>
      </c>
      <c r="AJ1923">
        <v>0</v>
      </c>
      <c r="AK1923">
        <v>83.03</v>
      </c>
      <c r="AN1923" t="s">
        <v>2926</v>
      </c>
      <c r="AO1923">
        <v>10080</v>
      </c>
      <c r="AQ1923" t="s">
        <v>2979</v>
      </c>
      <c r="AR1923" t="s">
        <v>2982</v>
      </c>
      <c r="AS1923" t="s">
        <v>2992</v>
      </c>
      <c r="AT1923" t="s">
        <v>18577</v>
      </c>
      <c r="AU1923">
        <v>3.1</v>
      </c>
      <c r="AV1923" t="s">
        <v>6764</v>
      </c>
      <c r="AW1923" t="s">
        <v>3044</v>
      </c>
    </row>
    <row r="1924" spans="1:50">
      <c r="A1924" s="1" t="s">
        <v>94</v>
      </c>
      <c r="B1924" t="s">
        <v>163</v>
      </c>
      <c r="C1924" t="s">
        <v>5134</v>
      </c>
      <c r="D1924" t="s">
        <v>348</v>
      </c>
      <c r="F1924" t="s">
        <v>7379</v>
      </c>
      <c r="G1924" t="s">
        <v>8578</v>
      </c>
      <c r="H1924" t="s">
        <v>10260</v>
      </c>
      <c r="I1924" t="s">
        <v>11319</v>
      </c>
      <c r="J1924" t="s">
        <v>1643</v>
      </c>
      <c r="K1924">
        <v>10040</v>
      </c>
      <c r="L1924" t="s">
        <v>1670</v>
      </c>
      <c r="M1924" t="s">
        <v>1670</v>
      </c>
      <c r="O1924" t="s">
        <v>1938</v>
      </c>
      <c r="P1924" t="s">
        <v>1960</v>
      </c>
      <c r="R1924" t="s">
        <v>50</v>
      </c>
      <c r="S1924" t="s">
        <v>1670</v>
      </c>
      <c r="U1924" t="s">
        <v>1972</v>
      </c>
      <c r="W1924" t="s">
        <v>348</v>
      </c>
      <c r="X1924">
        <v>1065</v>
      </c>
      <c r="Y1924" t="s">
        <v>2008</v>
      </c>
      <c r="Z1924" t="s">
        <v>2016</v>
      </c>
      <c r="AB1924" t="s">
        <v>14400</v>
      </c>
      <c r="AD1924" t="s">
        <v>16813</v>
      </c>
      <c r="AE1924">
        <v>88</v>
      </c>
      <c r="AF1924" t="s">
        <v>2902</v>
      </c>
      <c r="AG1924" t="s">
        <v>2919</v>
      </c>
      <c r="AH1924">
        <v>22</v>
      </c>
      <c r="AI1924">
        <v>1</v>
      </c>
      <c r="AJ1924">
        <v>0</v>
      </c>
      <c r="AK1924">
        <v>83.03</v>
      </c>
      <c r="AN1924" t="s">
        <v>2927</v>
      </c>
      <c r="AO1924">
        <v>10080</v>
      </c>
      <c r="AU1924" t="s">
        <v>13051</v>
      </c>
      <c r="AW1924" t="s">
        <v>3042</v>
      </c>
    </row>
    <row r="1925" spans="1:50">
      <c r="A1925" s="1" t="s">
        <v>74</v>
      </c>
      <c r="B1925" t="s">
        <v>163</v>
      </c>
      <c r="C1925" t="s">
        <v>5135</v>
      </c>
      <c r="D1925" t="s">
        <v>328</v>
      </c>
      <c r="F1925" t="s">
        <v>7023</v>
      </c>
      <c r="G1925" t="s">
        <v>8514</v>
      </c>
      <c r="H1925" t="s">
        <v>1131</v>
      </c>
      <c r="I1925" t="s">
        <v>1560</v>
      </c>
      <c r="J1925" t="s">
        <v>1641</v>
      </c>
      <c r="K1925">
        <v>10460</v>
      </c>
      <c r="L1925" t="s">
        <v>1670</v>
      </c>
      <c r="M1925" t="s">
        <v>1672</v>
      </c>
      <c r="N1925" t="s">
        <v>1691</v>
      </c>
      <c r="O1925" t="s">
        <v>1675</v>
      </c>
      <c r="P1925" t="s">
        <v>1959</v>
      </c>
      <c r="R1925" t="s">
        <v>50</v>
      </c>
      <c r="S1925" t="s">
        <v>1670</v>
      </c>
      <c r="U1925" t="s">
        <v>1972</v>
      </c>
      <c r="W1925" t="s">
        <v>1991</v>
      </c>
      <c r="X1925">
        <v>466</v>
      </c>
      <c r="Y1925" t="s">
        <v>2006</v>
      </c>
      <c r="Z1925" t="s">
        <v>2020</v>
      </c>
      <c r="AB1925" t="s">
        <v>14401</v>
      </c>
      <c r="AE1925">
        <v>168</v>
      </c>
      <c r="AF1925" t="s">
        <v>18014</v>
      </c>
      <c r="AG1925" t="s">
        <v>2915</v>
      </c>
      <c r="AH1925">
        <v>4</v>
      </c>
      <c r="AI1925">
        <v>1</v>
      </c>
      <c r="AJ1925">
        <v>0</v>
      </c>
      <c r="AK1925">
        <v>83.2</v>
      </c>
      <c r="AN1925" t="s">
        <v>2926</v>
      </c>
      <c r="AO1925">
        <v>10392</v>
      </c>
      <c r="AU1925" t="s">
        <v>13051</v>
      </c>
      <c r="AW1925" t="s">
        <v>3046</v>
      </c>
      <c r="AX1925" t="s">
        <v>18685</v>
      </c>
    </row>
    <row r="1926" spans="1:50">
      <c r="A1926" s="1" t="s">
        <v>119</v>
      </c>
      <c r="B1926" t="s">
        <v>163</v>
      </c>
      <c r="C1926" t="s">
        <v>5136</v>
      </c>
      <c r="D1926" t="s">
        <v>6191</v>
      </c>
      <c r="F1926" t="s">
        <v>7566</v>
      </c>
      <c r="G1926" t="s">
        <v>868</v>
      </c>
      <c r="H1926" t="s">
        <v>10222</v>
      </c>
      <c r="I1926">
        <v>426</v>
      </c>
      <c r="J1926" t="s">
        <v>1644</v>
      </c>
      <c r="K1926">
        <v>11208</v>
      </c>
      <c r="L1926" t="s">
        <v>1670</v>
      </c>
      <c r="M1926" t="s">
        <v>1672</v>
      </c>
      <c r="N1926" t="s">
        <v>12401</v>
      </c>
      <c r="O1926" t="s">
        <v>1936</v>
      </c>
      <c r="P1926" t="s">
        <v>1960</v>
      </c>
      <c r="R1926" t="s">
        <v>50</v>
      </c>
      <c r="S1926" t="s">
        <v>1671</v>
      </c>
      <c r="U1926" t="s">
        <v>1972</v>
      </c>
      <c r="V1926" t="s">
        <v>1984</v>
      </c>
      <c r="W1926" t="s">
        <v>249</v>
      </c>
      <c r="X1926">
        <v>208</v>
      </c>
      <c r="Y1926" t="s">
        <v>2009</v>
      </c>
      <c r="Z1926" t="s">
        <v>2024</v>
      </c>
      <c r="AB1926" t="s">
        <v>14402</v>
      </c>
      <c r="AD1926" t="s">
        <v>16814</v>
      </c>
      <c r="AE1926">
        <v>40</v>
      </c>
      <c r="AF1926" t="s">
        <v>2909</v>
      </c>
      <c r="AG1926" t="s">
        <v>2915</v>
      </c>
      <c r="AH1926">
        <v>11</v>
      </c>
      <c r="AI1926">
        <v>1</v>
      </c>
      <c r="AJ1926">
        <v>0</v>
      </c>
      <c r="AK1926">
        <v>83.2</v>
      </c>
      <c r="AN1926" t="s">
        <v>2926</v>
      </c>
      <c r="AO1926">
        <v>10392</v>
      </c>
      <c r="AU1926">
        <v>10.9</v>
      </c>
      <c r="AV1926" t="s">
        <v>3034</v>
      </c>
      <c r="AW1926" t="s">
        <v>18658</v>
      </c>
      <c r="AX1926" t="s">
        <v>18685</v>
      </c>
    </row>
    <row r="1927" spans="1:50">
      <c r="A1927" s="1" t="s">
        <v>123</v>
      </c>
      <c r="B1927" t="s">
        <v>164</v>
      </c>
      <c r="C1927" t="s">
        <v>5137</v>
      </c>
      <c r="D1927" t="s">
        <v>6192</v>
      </c>
      <c r="E1927" t="s">
        <v>359</v>
      </c>
      <c r="F1927" t="s">
        <v>456</v>
      </c>
      <c r="G1927" t="s">
        <v>8281</v>
      </c>
      <c r="H1927" t="s">
        <v>10261</v>
      </c>
      <c r="I1927" t="s">
        <v>1584</v>
      </c>
      <c r="J1927" t="s">
        <v>1641</v>
      </c>
      <c r="K1927">
        <v>10463</v>
      </c>
      <c r="L1927" t="s">
        <v>1670</v>
      </c>
      <c r="M1927" t="s">
        <v>1670</v>
      </c>
      <c r="N1927" t="s">
        <v>12402</v>
      </c>
      <c r="O1927" t="s">
        <v>1941</v>
      </c>
      <c r="P1927" t="s">
        <v>1962</v>
      </c>
      <c r="Q1927" t="s">
        <v>1968</v>
      </c>
      <c r="R1927" t="s">
        <v>50</v>
      </c>
      <c r="S1927" t="s">
        <v>1670</v>
      </c>
      <c r="U1927" t="s">
        <v>1972</v>
      </c>
      <c r="W1927" t="s">
        <v>304</v>
      </c>
      <c r="X1927">
        <v>870.5</v>
      </c>
      <c r="Y1927" t="s">
        <v>2006</v>
      </c>
      <c r="Z1927" t="s">
        <v>2020</v>
      </c>
      <c r="AA1927" t="s">
        <v>2031</v>
      </c>
      <c r="AB1927" t="s">
        <v>14403</v>
      </c>
      <c r="AC1927" t="s">
        <v>15232</v>
      </c>
      <c r="AD1927" t="s">
        <v>16815</v>
      </c>
      <c r="AE1927">
        <v>67</v>
      </c>
      <c r="AF1927" t="s">
        <v>2902</v>
      </c>
      <c r="AG1927" t="s">
        <v>2921</v>
      </c>
      <c r="AH1927">
        <v>3</v>
      </c>
      <c r="AI1927">
        <v>1</v>
      </c>
      <c r="AJ1927">
        <v>0</v>
      </c>
      <c r="AK1927">
        <v>83.23</v>
      </c>
      <c r="AN1927" t="s">
        <v>2926</v>
      </c>
      <c r="AO1927">
        <v>10104</v>
      </c>
      <c r="AU1927">
        <v>0.2</v>
      </c>
      <c r="AV1927" t="s">
        <v>288</v>
      </c>
      <c r="AW1927" t="s">
        <v>3054</v>
      </c>
    </row>
    <row r="1928" spans="1:50">
      <c r="A1928" s="1" t="s">
        <v>65</v>
      </c>
      <c r="B1928" t="s">
        <v>163</v>
      </c>
      <c r="C1928" t="s">
        <v>5138</v>
      </c>
      <c r="D1928" t="s">
        <v>315</v>
      </c>
      <c r="F1928" t="s">
        <v>724</v>
      </c>
      <c r="G1928" t="s">
        <v>840</v>
      </c>
      <c r="H1928" t="s">
        <v>1438</v>
      </c>
      <c r="I1928" t="s">
        <v>1562</v>
      </c>
      <c r="J1928" t="s">
        <v>1644</v>
      </c>
      <c r="K1928">
        <v>11220</v>
      </c>
      <c r="L1928" t="s">
        <v>1670</v>
      </c>
      <c r="M1928" t="s">
        <v>1670</v>
      </c>
      <c r="O1928" t="s">
        <v>1938</v>
      </c>
      <c r="P1928" t="s">
        <v>1961</v>
      </c>
      <c r="R1928" t="s">
        <v>50</v>
      </c>
      <c r="S1928" t="s">
        <v>1670</v>
      </c>
      <c r="U1928" t="s">
        <v>1972</v>
      </c>
      <c r="W1928" t="s">
        <v>345</v>
      </c>
      <c r="X1928" t="s">
        <v>13051</v>
      </c>
      <c r="Y1928" t="s">
        <v>2009</v>
      </c>
      <c r="AB1928" t="s">
        <v>14404</v>
      </c>
      <c r="AD1928" t="s">
        <v>16816</v>
      </c>
      <c r="AE1928">
        <v>28</v>
      </c>
      <c r="AH1928" t="s">
        <v>13051</v>
      </c>
      <c r="AI1928">
        <v>1</v>
      </c>
      <c r="AJ1928">
        <v>0</v>
      </c>
      <c r="AK1928">
        <v>83.23</v>
      </c>
      <c r="AN1928" t="s">
        <v>2927</v>
      </c>
      <c r="AO1928">
        <v>10104</v>
      </c>
      <c r="AU1928">
        <v>3</v>
      </c>
      <c r="AV1928" t="s">
        <v>296</v>
      </c>
      <c r="AW1928" t="s">
        <v>3085</v>
      </c>
    </row>
    <row r="1929" spans="1:50">
      <c r="A1929" s="1" t="s">
        <v>57</v>
      </c>
      <c r="B1929" t="s">
        <v>163</v>
      </c>
      <c r="C1929" t="s">
        <v>5139</v>
      </c>
      <c r="D1929" t="s">
        <v>307</v>
      </c>
      <c r="F1929" t="s">
        <v>7377</v>
      </c>
      <c r="G1929" t="s">
        <v>8762</v>
      </c>
      <c r="H1929" t="s">
        <v>1434</v>
      </c>
      <c r="I1929">
        <v>16</v>
      </c>
      <c r="J1929" t="s">
        <v>1641</v>
      </c>
      <c r="K1929">
        <v>10453</v>
      </c>
      <c r="L1929" t="s">
        <v>1670</v>
      </c>
      <c r="M1929" t="s">
        <v>1670</v>
      </c>
      <c r="N1929" t="s">
        <v>1911</v>
      </c>
      <c r="O1929" t="s">
        <v>1938</v>
      </c>
      <c r="P1929" t="s">
        <v>1961</v>
      </c>
      <c r="R1929" t="s">
        <v>50</v>
      </c>
      <c r="S1929" t="s">
        <v>1670</v>
      </c>
      <c r="U1929" t="s">
        <v>1972</v>
      </c>
      <c r="W1929" t="s">
        <v>283</v>
      </c>
      <c r="X1929">
        <v>856.08</v>
      </c>
      <c r="Y1929" t="s">
        <v>2006</v>
      </c>
      <c r="Z1929" t="s">
        <v>2016</v>
      </c>
      <c r="AB1929" t="s">
        <v>14405</v>
      </c>
      <c r="AD1929" t="s">
        <v>16817</v>
      </c>
      <c r="AE1929">
        <v>43</v>
      </c>
      <c r="AF1929" t="s">
        <v>2902</v>
      </c>
      <c r="AG1929" t="s">
        <v>2920</v>
      </c>
      <c r="AH1929">
        <v>38</v>
      </c>
      <c r="AI1929">
        <v>1</v>
      </c>
      <c r="AJ1929">
        <v>0</v>
      </c>
      <c r="AK1929">
        <v>83.23</v>
      </c>
      <c r="AN1929" t="s">
        <v>2926</v>
      </c>
      <c r="AO1929">
        <v>10104</v>
      </c>
      <c r="AU1929" t="s">
        <v>13051</v>
      </c>
      <c r="AW1929" t="s">
        <v>3054</v>
      </c>
    </row>
    <row r="1930" spans="1:50">
      <c r="A1930" s="1" t="s">
        <v>124</v>
      </c>
      <c r="B1930" t="s">
        <v>163</v>
      </c>
      <c r="C1930" t="s">
        <v>5140</v>
      </c>
      <c r="D1930" t="s">
        <v>288</v>
      </c>
      <c r="F1930" t="s">
        <v>7508</v>
      </c>
      <c r="G1930" t="s">
        <v>8763</v>
      </c>
      <c r="H1930" t="s">
        <v>10262</v>
      </c>
      <c r="I1930">
        <v>224</v>
      </c>
      <c r="J1930" t="s">
        <v>1644</v>
      </c>
      <c r="K1930">
        <v>11217</v>
      </c>
      <c r="L1930" t="s">
        <v>1670</v>
      </c>
      <c r="M1930" t="s">
        <v>1670</v>
      </c>
      <c r="N1930" t="s">
        <v>12403</v>
      </c>
      <c r="O1930" t="s">
        <v>1940</v>
      </c>
      <c r="P1930" t="s">
        <v>1960</v>
      </c>
      <c r="R1930" t="s">
        <v>50</v>
      </c>
      <c r="S1930" t="s">
        <v>1671</v>
      </c>
      <c r="U1930" t="s">
        <v>1972</v>
      </c>
      <c r="W1930" t="s">
        <v>394</v>
      </c>
      <c r="X1930" t="s">
        <v>13051</v>
      </c>
      <c r="Y1930" t="s">
        <v>2009</v>
      </c>
      <c r="AB1930" t="s">
        <v>14406</v>
      </c>
      <c r="AD1930" t="s">
        <v>16818</v>
      </c>
      <c r="AE1930" t="s">
        <v>13051</v>
      </c>
      <c r="AH1930" t="s">
        <v>13051</v>
      </c>
      <c r="AI1930">
        <v>1</v>
      </c>
      <c r="AJ1930">
        <v>0</v>
      </c>
      <c r="AK1930">
        <v>83.23</v>
      </c>
      <c r="AN1930" t="s">
        <v>2926</v>
      </c>
      <c r="AO1930">
        <v>10104</v>
      </c>
      <c r="AU1930">
        <v>60.15</v>
      </c>
      <c r="AV1930" t="s">
        <v>268</v>
      </c>
      <c r="AW1930" t="s">
        <v>69</v>
      </c>
    </row>
    <row r="1931" spans="1:50">
      <c r="A1931" s="1" t="s">
        <v>116</v>
      </c>
      <c r="B1931" t="s">
        <v>164</v>
      </c>
      <c r="C1931" t="s">
        <v>5141</v>
      </c>
      <c r="D1931" t="s">
        <v>199</v>
      </c>
      <c r="E1931" t="s">
        <v>198</v>
      </c>
      <c r="F1931" t="s">
        <v>686</v>
      </c>
      <c r="G1931" t="s">
        <v>1020</v>
      </c>
      <c r="H1931" t="s">
        <v>10263</v>
      </c>
      <c r="I1931" t="s">
        <v>1488</v>
      </c>
      <c r="J1931" t="s">
        <v>1643</v>
      </c>
      <c r="K1931">
        <v>10029</v>
      </c>
      <c r="L1931" t="s">
        <v>1670</v>
      </c>
      <c r="M1931" t="s">
        <v>1670</v>
      </c>
      <c r="N1931" t="s">
        <v>12404</v>
      </c>
      <c r="O1931" t="s">
        <v>1936</v>
      </c>
      <c r="P1931" t="s">
        <v>1958</v>
      </c>
      <c r="Q1931" t="s">
        <v>1965</v>
      </c>
      <c r="R1931" t="s">
        <v>50</v>
      </c>
      <c r="S1931" t="s">
        <v>1671</v>
      </c>
      <c r="U1931" t="s">
        <v>1972</v>
      </c>
      <c r="V1931" t="s">
        <v>1985</v>
      </c>
      <c r="W1931" t="s">
        <v>255</v>
      </c>
      <c r="X1931">
        <v>1200</v>
      </c>
      <c r="Y1931" t="s">
        <v>2008</v>
      </c>
      <c r="Z1931" t="s">
        <v>2024</v>
      </c>
      <c r="AA1931" t="s">
        <v>2029</v>
      </c>
      <c r="AB1931" t="s">
        <v>14407</v>
      </c>
      <c r="AC1931" t="s">
        <v>1754</v>
      </c>
      <c r="AD1931" t="s">
        <v>16819</v>
      </c>
      <c r="AE1931">
        <v>30</v>
      </c>
      <c r="AF1931" t="s">
        <v>2902</v>
      </c>
      <c r="AG1931" t="s">
        <v>1754</v>
      </c>
      <c r="AH1931">
        <v>25</v>
      </c>
      <c r="AI1931">
        <v>1</v>
      </c>
      <c r="AJ1931">
        <v>0</v>
      </c>
      <c r="AK1931">
        <v>83.27</v>
      </c>
      <c r="AN1931" t="s">
        <v>2926</v>
      </c>
      <c r="AO1931">
        <v>10400</v>
      </c>
      <c r="AP1931" t="s">
        <v>18098</v>
      </c>
      <c r="AU1931">
        <v>3.8</v>
      </c>
      <c r="AV1931" t="s">
        <v>235</v>
      </c>
      <c r="AW1931" t="s">
        <v>18658</v>
      </c>
      <c r="AX1931" t="s">
        <v>18685</v>
      </c>
    </row>
    <row r="1932" spans="1:50">
      <c r="A1932" s="1" t="s">
        <v>65</v>
      </c>
      <c r="B1932" t="s">
        <v>163</v>
      </c>
      <c r="C1932" t="s">
        <v>5142</v>
      </c>
      <c r="D1932" t="s">
        <v>256</v>
      </c>
      <c r="F1932" t="s">
        <v>7567</v>
      </c>
      <c r="G1932" t="s">
        <v>558</v>
      </c>
      <c r="H1932" t="s">
        <v>1335</v>
      </c>
      <c r="I1932" t="s">
        <v>1477</v>
      </c>
      <c r="J1932" t="s">
        <v>1644</v>
      </c>
      <c r="K1932">
        <v>11225</v>
      </c>
      <c r="L1932" t="s">
        <v>1670</v>
      </c>
      <c r="M1932" t="s">
        <v>1670</v>
      </c>
      <c r="O1932" t="s">
        <v>1938</v>
      </c>
      <c r="P1932" t="s">
        <v>1961</v>
      </c>
      <c r="R1932" t="s">
        <v>50</v>
      </c>
      <c r="S1932" t="s">
        <v>1670</v>
      </c>
      <c r="U1932" t="s">
        <v>1972</v>
      </c>
      <c r="W1932" t="s">
        <v>2001</v>
      </c>
      <c r="X1932">
        <v>1480.9</v>
      </c>
      <c r="Y1932" t="s">
        <v>2009</v>
      </c>
      <c r="AB1932" t="s">
        <v>14408</v>
      </c>
      <c r="AD1932" t="s">
        <v>16820</v>
      </c>
      <c r="AE1932" t="s">
        <v>13051</v>
      </c>
      <c r="AH1932">
        <v>11</v>
      </c>
      <c r="AI1932">
        <v>1</v>
      </c>
      <c r="AJ1932">
        <v>0</v>
      </c>
      <c r="AK1932">
        <v>83.27</v>
      </c>
      <c r="AN1932" t="s">
        <v>2926</v>
      </c>
      <c r="AO1932">
        <v>10400</v>
      </c>
      <c r="AU1932" t="s">
        <v>13051</v>
      </c>
      <c r="AW1932" t="s">
        <v>158</v>
      </c>
    </row>
    <row r="1933" spans="1:50">
      <c r="A1933" s="1" t="s">
        <v>65</v>
      </c>
      <c r="B1933" t="s">
        <v>163</v>
      </c>
      <c r="C1933" t="s">
        <v>5143</v>
      </c>
      <c r="D1933" t="s">
        <v>266</v>
      </c>
      <c r="F1933" t="s">
        <v>7567</v>
      </c>
      <c r="G1933" t="s">
        <v>558</v>
      </c>
      <c r="H1933" t="s">
        <v>1335</v>
      </c>
      <c r="I1933" t="s">
        <v>1477</v>
      </c>
      <c r="J1933" t="s">
        <v>1644</v>
      </c>
      <c r="K1933">
        <v>11225</v>
      </c>
      <c r="L1933" t="s">
        <v>1670</v>
      </c>
      <c r="M1933" t="s">
        <v>1670</v>
      </c>
      <c r="O1933" t="s">
        <v>1952</v>
      </c>
      <c r="P1933" t="s">
        <v>1960</v>
      </c>
      <c r="R1933" t="s">
        <v>50</v>
      </c>
      <c r="U1933" t="s">
        <v>1972</v>
      </c>
      <c r="W1933" t="s">
        <v>2001</v>
      </c>
      <c r="X1933" t="s">
        <v>13051</v>
      </c>
      <c r="Y1933" t="s">
        <v>2009</v>
      </c>
      <c r="AB1933" t="s">
        <v>14408</v>
      </c>
      <c r="AD1933" t="s">
        <v>16820</v>
      </c>
      <c r="AE1933" t="s">
        <v>13051</v>
      </c>
      <c r="AH1933" t="s">
        <v>13051</v>
      </c>
      <c r="AI1933">
        <v>1</v>
      </c>
      <c r="AJ1933">
        <v>0</v>
      </c>
      <c r="AK1933">
        <v>83.27</v>
      </c>
      <c r="AN1933" t="s">
        <v>2926</v>
      </c>
      <c r="AO1933">
        <v>10400</v>
      </c>
      <c r="AU1933" t="s">
        <v>13051</v>
      </c>
      <c r="AW1933" t="s">
        <v>158</v>
      </c>
    </row>
    <row r="1934" spans="1:50">
      <c r="A1934" s="1" t="s">
        <v>65</v>
      </c>
      <c r="B1934" t="s">
        <v>163</v>
      </c>
      <c r="C1934" t="s">
        <v>5144</v>
      </c>
      <c r="D1934" t="s">
        <v>253</v>
      </c>
      <c r="F1934" t="s">
        <v>7567</v>
      </c>
      <c r="G1934" t="s">
        <v>558</v>
      </c>
      <c r="H1934" t="s">
        <v>1335</v>
      </c>
      <c r="I1934" t="s">
        <v>1477</v>
      </c>
      <c r="J1934" t="s">
        <v>1644</v>
      </c>
      <c r="K1934">
        <v>11225</v>
      </c>
      <c r="L1934" t="s">
        <v>1670</v>
      </c>
      <c r="M1934" t="s">
        <v>1670</v>
      </c>
      <c r="O1934" t="s">
        <v>1936</v>
      </c>
      <c r="P1934" t="s">
        <v>1960</v>
      </c>
      <c r="R1934" t="s">
        <v>50</v>
      </c>
      <c r="S1934" t="s">
        <v>1670</v>
      </c>
      <c r="U1934" t="s">
        <v>1972</v>
      </c>
      <c r="W1934" t="s">
        <v>2001</v>
      </c>
      <c r="X1934" t="s">
        <v>13051</v>
      </c>
      <c r="Y1934" t="s">
        <v>2009</v>
      </c>
      <c r="AB1934" t="s">
        <v>14408</v>
      </c>
      <c r="AD1934" t="s">
        <v>16820</v>
      </c>
      <c r="AE1934" t="s">
        <v>13051</v>
      </c>
      <c r="AH1934" t="s">
        <v>13051</v>
      </c>
      <c r="AI1934">
        <v>1</v>
      </c>
      <c r="AJ1934">
        <v>0</v>
      </c>
      <c r="AK1934">
        <v>83.27</v>
      </c>
      <c r="AN1934" t="s">
        <v>2926</v>
      </c>
      <c r="AO1934">
        <v>10400</v>
      </c>
      <c r="AU1934">
        <v>0.5</v>
      </c>
      <c r="AV1934" t="s">
        <v>3036</v>
      </c>
      <c r="AW1934" t="s">
        <v>158</v>
      </c>
    </row>
    <row r="1935" spans="1:50">
      <c r="A1935" s="1" t="s">
        <v>82</v>
      </c>
      <c r="B1935" t="s">
        <v>163</v>
      </c>
      <c r="C1935" t="s">
        <v>5145</v>
      </c>
      <c r="D1935" t="s">
        <v>174</v>
      </c>
      <c r="F1935" t="s">
        <v>530</v>
      </c>
      <c r="G1935" t="s">
        <v>8731</v>
      </c>
      <c r="H1935" t="s">
        <v>1144</v>
      </c>
      <c r="I1935" t="s">
        <v>1483</v>
      </c>
      <c r="J1935" t="s">
        <v>1644</v>
      </c>
      <c r="K1935">
        <v>11233</v>
      </c>
      <c r="L1935" t="s">
        <v>1670</v>
      </c>
      <c r="M1935" t="s">
        <v>1670</v>
      </c>
      <c r="N1935" t="s">
        <v>1675</v>
      </c>
      <c r="O1935" t="s">
        <v>1938</v>
      </c>
      <c r="P1935" t="s">
        <v>1959</v>
      </c>
      <c r="R1935" t="s">
        <v>50</v>
      </c>
      <c r="S1935" t="s">
        <v>1670</v>
      </c>
      <c r="U1935" t="s">
        <v>1972</v>
      </c>
      <c r="V1935" t="s">
        <v>1984</v>
      </c>
      <c r="W1935" t="s">
        <v>231</v>
      </c>
      <c r="X1935">
        <v>955.08</v>
      </c>
      <c r="Y1935" t="s">
        <v>2009</v>
      </c>
      <c r="Z1935" t="s">
        <v>2021</v>
      </c>
      <c r="AB1935" t="s">
        <v>2382</v>
      </c>
      <c r="AC1935" t="s">
        <v>15219</v>
      </c>
      <c r="AD1935" t="s">
        <v>16756</v>
      </c>
      <c r="AE1935">
        <v>764</v>
      </c>
      <c r="AF1935" t="s">
        <v>2902</v>
      </c>
      <c r="AG1935" t="s">
        <v>1754</v>
      </c>
      <c r="AH1935">
        <v>16</v>
      </c>
      <c r="AI1935">
        <v>2</v>
      </c>
      <c r="AJ1935">
        <v>0</v>
      </c>
      <c r="AK1935">
        <v>83.37</v>
      </c>
      <c r="AN1935" t="s">
        <v>2926</v>
      </c>
      <c r="AO1935">
        <v>13722.36</v>
      </c>
      <c r="AP1935" t="s">
        <v>18317</v>
      </c>
      <c r="AU1935">
        <v>561.65</v>
      </c>
      <c r="AV1935" t="s">
        <v>3030</v>
      </c>
      <c r="AW1935" t="s">
        <v>3060</v>
      </c>
    </row>
    <row r="1936" spans="1:50">
      <c r="A1936" s="1" t="s">
        <v>119</v>
      </c>
      <c r="B1936" t="s">
        <v>164</v>
      </c>
      <c r="C1936" t="s">
        <v>5146</v>
      </c>
      <c r="D1936" t="s">
        <v>229</v>
      </c>
      <c r="E1936" t="s">
        <v>190</v>
      </c>
      <c r="F1936" t="s">
        <v>530</v>
      </c>
      <c r="G1936" t="s">
        <v>8731</v>
      </c>
      <c r="H1936" t="s">
        <v>1144</v>
      </c>
      <c r="I1936" t="s">
        <v>1483</v>
      </c>
      <c r="J1936" t="s">
        <v>1644</v>
      </c>
      <c r="K1936">
        <v>11233</v>
      </c>
      <c r="L1936" t="s">
        <v>1670</v>
      </c>
      <c r="M1936" t="s">
        <v>1670</v>
      </c>
      <c r="N1936" t="s">
        <v>12405</v>
      </c>
      <c r="O1936" t="s">
        <v>1936</v>
      </c>
      <c r="P1936" t="s">
        <v>1960</v>
      </c>
      <c r="Q1936" t="s">
        <v>1967</v>
      </c>
      <c r="R1936" t="s">
        <v>50</v>
      </c>
      <c r="S1936" t="s">
        <v>1671</v>
      </c>
      <c r="U1936" t="s">
        <v>1972</v>
      </c>
      <c r="W1936" t="s">
        <v>320</v>
      </c>
      <c r="X1936">
        <v>955.08</v>
      </c>
      <c r="Y1936" t="s">
        <v>2009</v>
      </c>
      <c r="Z1936" t="s">
        <v>2021</v>
      </c>
      <c r="AA1936" t="s">
        <v>2032</v>
      </c>
      <c r="AB1936" t="s">
        <v>2382</v>
      </c>
      <c r="AC1936">
        <v>6004868123</v>
      </c>
      <c r="AD1936" t="s">
        <v>16756</v>
      </c>
      <c r="AE1936">
        <v>764</v>
      </c>
      <c r="AF1936" t="s">
        <v>2902</v>
      </c>
      <c r="AG1936" t="s">
        <v>1754</v>
      </c>
      <c r="AH1936">
        <v>16</v>
      </c>
      <c r="AI1936">
        <v>2</v>
      </c>
      <c r="AJ1936">
        <v>0</v>
      </c>
      <c r="AK1936">
        <v>83.37</v>
      </c>
      <c r="AN1936" t="s">
        <v>2926</v>
      </c>
      <c r="AO1936">
        <v>13722.36</v>
      </c>
      <c r="AU1936">
        <v>13.9</v>
      </c>
      <c r="AV1936" t="s">
        <v>186</v>
      </c>
      <c r="AW1936" t="s">
        <v>3060</v>
      </c>
    </row>
    <row r="1937" spans="1:50">
      <c r="A1937" s="1" t="s">
        <v>98</v>
      </c>
      <c r="B1937" t="s">
        <v>164</v>
      </c>
      <c r="C1937" t="s">
        <v>5147</v>
      </c>
      <c r="D1937" t="s">
        <v>294</v>
      </c>
      <c r="E1937" t="s">
        <v>254</v>
      </c>
      <c r="F1937" t="s">
        <v>7568</v>
      </c>
      <c r="G1937" t="s">
        <v>767</v>
      </c>
      <c r="H1937" t="s">
        <v>1143</v>
      </c>
      <c r="I1937" t="s">
        <v>1600</v>
      </c>
      <c r="J1937" t="s">
        <v>1641</v>
      </c>
      <c r="K1937">
        <v>10452</v>
      </c>
      <c r="L1937" t="s">
        <v>1670</v>
      </c>
      <c r="M1937" t="s">
        <v>1670</v>
      </c>
      <c r="O1937" t="s">
        <v>1675</v>
      </c>
      <c r="P1937" t="s">
        <v>1962</v>
      </c>
      <c r="Q1937" t="s">
        <v>1968</v>
      </c>
      <c r="R1937" t="s">
        <v>50</v>
      </c>
      <c r="S1937" t="s">
        <v>1671</v>
      </c>
      <c r="U1937" t="s">
        <v>1972</v>
      </c>
      <c r="W1937" t="s">
        <v>294</v>
      </c>
      <c r="X1937">
        <v>687.74</v>
      </c>
      <c r="Y1937" t="s">
        <v>2006</v>
      </c>
      <c r="Z1937" t="s">
        <v>2015</v>
      </c>
      <c r="AA1937" t="s">
        <v>2029</v>
      </c>
      <c r="AB1937" t="s">
        <v>14409</v>
      </c>
      <c r="AD1937" t="s">
        <v>16821</v>
      </c>
      <c r="AE1937">
        <v>58</v>
      </c>
      <c r="AF1937" t="s">
        <v>2902</v>
      </c>
      <c r="AG1937" t="s">
        <v>2919</v>
      </c>
      <c r="AH1937">
        <v>46</v>
      </c>
      <c r="AI1937">
        <v>1</v>
      </c>
      <c r="AJ1937">
        <v>0</v>
      </c>
      <c r="AK1937">
        <v>83.39</v>
      </c>
      <c r="AN1937" t="s">
        <v>2926</v>
      </c>
      <c r="AO1937">
        <v>10416</v>
      </c>
      <c r="AU1937">
        <v>2.1</v>
      </c>
      <c r="AV1937" t="s">
        <v>254</v>
      </c>
      <c r="AW1937" t="s">
        <v>98</v>
      </c>
    </row>
    <row r="1938" spans="1:50">
      <c r="A1938" s="1" t="s">
        <v>62</v>
      </c>
      <c r="B1938" t="s">
        <v>163</v>
      </c>
      <c r="C1938" t="s">
        <v>5148</v>
      </c>
      <c r="D1938" t="s">
        <v>6164</v>
      </c>
      <c r="F1938" t="s">
        <v>7569</v>
      </c>
      <c r="G1938" t="s">
        <v>7973</v>
      </c>
      <c r="H1938" t="s">
        <v>9933</v>
      </c>
      <c r="I1938" t="s">
        <v>11209</v>
      </c>
      <c r="J1938" t="s">
        <v>1644</v>
      </c>
      <c r="K1938">
        <v>11226</v>
      </c>
      <c r="L1938" t="s">
        <v>1670</v>
      </c>
      <c r="M1938" t="s">
        <v>1670</v>
      </c>
      <c r="O1938" t="s">
        <v>1941</v>
      </c>
      <c r="P1938" t="s">
        <v>1960</v>
      </c>
      <c r="R1938" t="s">
        <v>50</v>
      </c>
      <c r="S1938" t="s">
        <v>1670</v>
      </c>
      <c r="U1938" t="s">
        <v>1972</v>
      </c>
      <c r="W1938" t="s">
        <v>247</v>
      </c>
      <c r="X1938" t="s">
        <v>13051</v>
      </c>
      <c r="Y1938" t="s">
        <v>2009</v>
      </c>
      <c r="Z1938" t="s">
        <v>2020</v>
      </c>
      <c r="AB1938" t="s">
        <v>14410</v>
      </c>
      <c r="AE1938">
        <v>65</v>
      </c>
      <c r="AF1938" t="s">
        <v>2904</v>
      </c>
      <c r="AG1938" t="s">
        <v>2915</v>
      </c>
      <c r="AH1938" t="s">
        <v>13051</v>
      </c>
      <c r="AI1938">
        <v>2</v>
      </c>
      <c r="AJ1938">
        <v>0</v>
      </c>
      <c r="AK1938">
        <v>83.40000000000001</v>
      </c>
      <c r="AN1938" t="s">
        <v>2926</v>
      </c>
      <c r="AO1938">
        <v>13728</v>
      </c>
      <c r="AU1938">
        <v>0.5</v>
      </c>
      <c r="AV1938" t="s">
        <v>6164</v>
      </c>
      <c r="AW1938" t="s">
        <v>3079</v>
      </c>
    </row>
    <row r="1939" spans="1:50">
      <c r="A1939" s="1" t="s">
        <v>3147</v>
      </c>
      <c r="B1939" t="s">
        <v>164</v>
      </c>
      <c r="C1939" t="s">
        <v>5149</v>
      </c>
      <c r="D1939" t="s">
        <v>209</v>
      </c>
      <c r="E1939" t="s">
        <v>255</v>
      </c>
      <c r="F1939" t="s">
        <v>605</v>
      </c>
      <c r="G1939" t="s">
        <v>859</v>
      </c>
      <c r="H1939" t="s">
        <v>10264</v>
      </c>
      <c r="I1939" t="s">
        <v>1508</v>
      </c>
      <c r="J1939" t="s">
        <v>1647</v>
      </c>
      <c r="K1939">
        <v>11432</v>
      </c>
      <c r="L1939" t="s">
        <v>1670</v>
      </c>
      <c r="M1939" t="s">
        <v>1670</v>
      </c>
      <c r="N1939" t="s">
        <v>1691</v>
      </c>
      <c r="O1939" t="s">
        <v>1938</v>
      </c>
      <c r="P1939" t="s">
        <v>1959</v>
      </c>
      <c r="Q1939" t="s">
        <v>1968</v>
      </c>
      <c r="R1939" t="s">
        <v>50</v>
      </c>
      <c r="S1939" t="s">
        <v>1670</v>
      </c>
      <c r="U1939" t="s">
        <v>1972</v>
      </c>
      <c r="V1939" t="s">
        <v>1984</v>
      </c>
      <c r="W1939" t="s">
        <v>209</v>
      </c>
      <c r="X1939">
        <v>877.9299999999999</v>
      </c>
      <c r="Y1939" t="s">
        <v>2007</v>
      </c>
      <c r="Z1939" t="s">
        <v>2020</v>
      </c>
      <c r="AA1939" t="s">
        <v>2030</v>
      </c>
      <c r="AB1939" t="s">
        <v>14411</v>
      </c>
      <c r="AD1939" t="s">
        <v>16822</v>
      </c>
      <c r="AE1939">
        <v>60</v>
      </c>
      <c r="AF1939" t="s">
        <v>2902</v>
      </c>
      <c r="AG1939" t="s">
        <v>1754</v>
      </c>
      <c r="AH1939">
        <v>38</v>
      </c>
      <c r="AI1939">
        <v>4</v>
      </c>
      <c r="AJ1939">
        <v>0</v>
      </c>
      <c r="AK1939">
        <v>83.43000000000001</v>
      </c>
      <c r="AN1939" t="s">
        <v>2927</v>
      </c>
      <c r="AO1939">
        <v>20940</v>
      </c>
      <c r="AS1939" t="s">
        <v>2993</v>
      </c>
      <c r="AT1939" t="s">
        <v>18499</v>
      </c>
      <c r="AU1939">
        <v>0.4</v>
      </c>
      <c r="AV1939" t="s">
        <v>182</v>
      </c>
      <c r="AW1939" t="s">
        <v>3044</v>
      </c>
    </row>
    <row r="1940" spans="1:50">
      <c r="A1940" s="1" t="s">
        <v>118</v>
      </c>
      <c r="B1940" t="s">
        <v>163</v>
      </c>
      <c r="C1940" t="s">
        <v>5150</v>
      </c>
      <c r="D1940" t="s">
        <v>284</v>
      </c>
      <c r="F1940" t="s">
        <v>7181</v>
      </c>
      <c r="G1940" t="s">
        <v>8185</v>
      </c>
      <c r="H1940" t="s">
        <v>9700</v>
      </c>
      <c r="I1940" t="s">
        <v>1621</v>
      </c>
      <c r="J1940" t="s">
        <v>1641</v>
      </c>
      <c r="K1940">
        <v>10452</v>
      </c>
      <c r="L1940" t="s">
        <v>1670</v>
      </c>
      <c r="M1940" t="s">
        <v>1672</v>
      </c>
      <c r="O1940" t="s">
        <v>1675</v>
      </c>
      <c r="P1940" t="s">
        <v>1959</v>
      </c>
      <c r="R1940" t="s">
        <v>50</v>
      </c>
      <c r="S1940" t="s">
        <v>1670</v>
      </c>
      <c r="U1940" t="s">
        <v>1972</v>
      </c>
      <c r="W1940" t="s">
        <v>201</v>
      </c>
      <c r="X1940">
        <v>177</v>
      </c>
      <c r="Y1940" t="s">
        <v>2006</v>
      </c>
      <c r="Z1940" t="s">
        <v>2015</v>
      </c>
      <c r="AB1940" t="s">
        <v>14387</v>
      </c>
      <c r="AE1940">
        <v>149</v>
      </c>
      <c r="AF1940" t="s">
        <v>2902</v>
      </c>
      <c r="AG1940" t="s">
        <v>2919</v>
      </c>
      <c r="AH1940">
        <v>11</v>
      </c>
      <c r="AI1940">
        <v>1</v>
      </c>
      <c r="AJ1940">
        <v>0</v>
      </c>
      <c r="AK1940">
        <v>83.62</v>
      </c>
      <c r="AN1940" t="s">
        <v>2926</v>
      </c>
      <c r="AO1940">
        <v>10152</v>
      </c>
      <c r="AU1940" t="s">
        <v>13051</v>
      </c>
      <c r="AW1940" t="s">
        <v>3054</v>
      </c>
    </row>
    <row r="1941" spans="1:50">
      <c r="A1941" s="1" t="s">
        <v>118</v>
      </c>
      <c r="B1941" t="s">
        <v>163</v>
      </c>
      <c r="C1941" t="s">
        <v>5151</v>
      </c>
      <c r="D1941" t="s">
        <v>215</v>
      </c>
      <c r="F1941" t="s">
        <v>7181</v>
      </c>
      <c r="G1941" t="s">
        <v>8185</v>
      </c>
      <c r="H1941" t="s">
        <v>9700</v>
      </c>
      <c r="I1941" t="s">
        <v>1621</v>
      </c>
      <c r="J1941" t="s">
        <v>1641</v>
      </c>
      <c r="K1941">
        <v>10452</v>
      </c>
      <c r="L1941" t="s">
        <v>1670</v>
      </c>
      <c r="M1941" t="s">
        <v>1670</v>
      </c>
      <c r="N1941" t="s">
        <v>12372</v>
      </c>
      <c r="O1941" t="s">
        <v>1939</v>
      </c>
      <c r="P1941" t="s">
        <v>1960</v>
      </c>
      <c r="R1941" t="s">
        <v>50</v>
      </c>
      <c r="S1941" t="s">
        <v>1670</v>
      </c>
      <c r="U1941" t="s">
        <v>1972</v>
      </c>
      <c r="W1941" t="s">
        <v>216</v>
      </c>
      <c r="X1941">
        <v>177</v>
      </c>
      <c r="Y1941" t="s">
        <v>2006</v>
      </c>
      <c r="Z1941" t="s">
        <v>2015</v>
      </c>
      <c r="AB1941" t="s">
        <v>14387</v>
      </c>
      <c r="AE1941">
        <v>149</v>
      </c>
      <c r="AF1941" t="s">
        <v>2902</v>
      </c>
      <c r="AG1941" t="s">
        <v>2919</v>
      </c>
      <c r="AH1941">
        <v>11</v>
      </c>
      <c r="AI1941">
        <v>1</v>
      </c>
      <c r="AJ1941">
        <v>0</v>
      </c>
      <c r="AK1941">
        <v>83.62</v>
      </c>
      <c r="AN1941" t="s">
        <v>2926</v>
      </c>
      <c r="AO1941">
        <v>10152</v>
      </c>
      <c r="AU1941">
        <v>33.4</v>
      </c>
      <c r="AV1941" t="s">
        <v>206</v>
      </c>
      <c r="AW1941" t="s">
        <v>3054</v>
      </c>
    </row>
    <row r="1942" spans="1:50">
      <c r="A1942" s="1" t="s">
        <v>135</v>
      </c>
      <c r="B1942" t="s">
        <v>164</v>
      </c>
      <c r="C1942" t="s">
        <v>5152</v>
      </c>
      <c r="D1942" t="s">
        <v>384</v>
      </c>
      <c r="E1942" t="s">
        <v>361</v>
      </c>
      <c r="F1942" t="s">
        <v>434</v>
      </c>
      <c r="G1942" t="s">
        <v>7167</v>
      </c>
      <c r="H1942" t="s">
        <v>9632</v>
      </c>
      <c r="I1942" t="s">
        <v>1575</v>
      </c>
      <c r="J1942" t="s">
        <v>1644</v>
      </c>
      <c r="K1942">
        <v>11212</v>
      </c>
      <c r="L1942" t="s">
        <v>1670</v>
      </c>
      <c r="M1942" t="s">
        <v>1670</v>
      </c>
      <c r="N1942" t="s">
        <v>1693</v>
      </c>
      <c r="O1942" t="s">
        <v>1938</v>
      </c>
      <c r="P1942" t="s">
        <v>1958</v>
      </c>
      <c r="Q1942" t="s">
        <v>1965</v>
      </c>
      <c r="R1942" t="s">
        <v>50</v>
      </c>
      <c r="S1942" t="s">
        <v>1670</v>
      </c>
      <c r="U1942" t="s">
        <v>1972</v>
      </c>
      <c r="V1942" t="s">
        <v>1984</v>
      </c>
      <c r="W1942" t="s">
        <v>384</v>
      </c>
      <c r="X1942">
        <v>1500</v>
      </c>
      <c r="Y1942" t="s">
        <v>2009</v>
      </c>
      <c r="Z1942" t="s">
        <v>2015</v>
      </c>
      <c r="AA1942" t="s">
        <v>2029</v>
      </c>
      <c r="AB1942" t="s">
        <v>14412</v>
      </c>
      <c r="AC1942" t="s">
        <v>15233</v>
      </c>
      <c r="AD1942" t="s">
        <v>16823</v>
      </c>
      <c r="AE1942">
        <v>38</v>
      </c>
      <c r="AF1942" t="s">
        <v>2902</v>
      </c>
      <c r="AG1942" t="s">
        <v>2017</v>
      </c>
      <c r="AH1942">
        <v>7</v>
      </c>
      <c r="AI1942">
        <v>1</v>
      </c>
      <c r="AJ1942">
        <v>0</v>
      </c>
      <c r="AK1942">
        <v>83.68000000000001</v>
      </c>
      <c r="AN1942" t="s">
        <v>2926</v>
      </c>
      <c r="AO1942">
        <v>10452</v>
      </c>
      <c r="AU1942">
        <v>0.1</v>
      </c>
      <c r="AV1942" t="s">
        <v>361</v>
      </c>
      <c r="AW1942" t="s">
        <v>3060</v>
      </c>
      <c r="AX1942" t="s">
        <v>18685</v>
      </c>
    </row>
    <row r="1943" spans="1:50">
      <c r="A1943" s="1" t="s">
        <v>135</v>
      </c>
      <c r="B1943" t="s">
        <v>164</v>
      </c>
      <c r="C1943" t="s">
        <v>5153</v>
      </c>
      <c r="D1943" t="s">
        <v>384</v>
      </c>
      <c r="E1943" t="s">
        <v>361</v>
      </c>
      <c r="F1943" t="s">
        <v>434</v>
      </c>
      <c r="G1943" t="s">
        <v>7167</v>
      </c>
      <c r="H1943" t="s">
        <v>9632</v>
      </c>
      <c r="I1943" t="s">
        <v>1575</v>
      </c>
      <c r="J1943" t="s">
        <v>1644</v>
      </c>
      <c r="K1943">
        <v>11212</v>
      </c>
      <c r="L1943" t="s">
        <v>1670</v>
      </c>
      <c r="M1943" t="s">
        <v>1670</v>
      </c>
      <c r="N1943" t="s">
        <v>1693</v>
      </c>
      <c r="O1943" t="s">
        <v>1939</v>
      </c>
      <c r="P1943" t="s">
        <v>1958</v>
      </c>
      <c r="Q1943" t="s">
        <v>1965</v>
      </c>
      <c r="R1943" t="s">
        <v>50</v>
      </c>
      <c r="S1943" t="s">
        <v>1670</v>
      </c>
      <c r="U1943" t="s">
        <v>1972</v>
      </c>
      <c r="V1943" t="s">
        <v>1984</v>
      </c>
      <c r="W1943" t="s">
        <v>384</v>
      </c>
      <c r="X1943">
        <v>1500</v>
      </c>
      <c r="Y1943" t="s">
        <v>2009</v>
      </c>
      <c r="Z1943" t="s">
        <v>2015</v>
      </c>
      <c r="AA1943" t="s">
        <v>2029</v>
      </c>
      <c r="AB1943" t="s">
        <v>14412</v>
      </c>
      <c r="AC1943" t="s">
        <v>15233</v>
      </c>
      <c r="AD1943" t="s">
        <v>16823</v>
      </c>
      <c r="AE1943">
        <v>38</v>
      </c>
      <c r="AF1943" t="s">
        <v>2902</v>
      </c>
      <c r="AG1943" t="s">
        <v>2017</v>
      </c>
      <c r="AH1943">
        <v>7</v>
      </c>
      <c r="AI1943">
        <v>1</v>
      </c>
      <c r="AJ1943">
        <v>0</v>
      </c>
      <c r="AK1943">
        <v>83.68000000000001</v>
      </c>
      <c r="AN1943" t="s">
        <v>2926</v>
      </c>
      <c r="AO1943">
        <v>10452</v>
      </c>
      <c r="AU1943">
        <v>0.1</v>
      </c>
      <c r="AV1943" t="s">
        <v>361</v>
      </c>
      <c r="AW1943" t="s">
        <v>3060</v>
      </c>
    </row>
    <row r="1944" spans="1:50">
      <c r="A1944" s="1" t="s">
        <v>101</v>
      </c>
      <c r="B1944" t="s">
        <v>163</v>
      </c>
      <c r="C1944" t="s">
        <v>5154</v>
      </c>
      <c r="D1944" t="s">
        <v>236</v>
      </c>
      <c r="F1944" t="s">
        <v>7170</v>
      </c>
      <c r="G1944" t="s">
        <v>8764</v>
      </c>
      <c r="H1944" t="s">
        <v>10265</v>
      </c>
      <c r="I1944" t="s">
        <v>1550</v>
      </c>
      <c r="J1944" t="s">
        <v>1643</v>
      </c>
      <c r="K1944">
        <v>10035</v>
      </c>
      <c r="L1944" t="s">
        <v>1670</v>
      </c>
      <c r="M1944" t="s">
        <v>1670</v>
      </c>
      <c r="O1944" t="s">
        <v>1675</v>
      </c>
      <c r="P1944" t="s">
        <v>1958</v>
      </c>
      <c r="R1944" t="s">
        <v>50</v>
      </c>
      <c r="S1944" t="s">
        <v>1671</v>
      </c>
      <c r="U1944" t="s">
        <v>1972</v>
      </c>
      <c r="V1944" t="s">
        <v>1984</v>
      </c>
      <c r="W1944" t="s">
        <v>3029</v>
      </c>
      <c r="X1944">
        <v>1483.36</v>
      </c>
      <c r="Y1944" t="s">
        <v>2008</v>
      </c>
      <c r="Z1944" t="s">
        <v>2016</v>
      </c>
      <c r="AB1944" t="s">
        <v>14413</v>
      </c>
      <c r="AD1944" t="s">
        <v>16824</v>
      </c>
      <c r="AE1944">
        <v>1</v>
      </c>
      <c r="AF1944" t="s">
        <v>2902</v>
      </c>
      <c r="AG1944" t="s">
        <v>2915</v>
      </c>
      <c r="AH1944">
        <v>16</v>
      </c>
      <c r="AI1944">
        <v>1</v>
      </c>
      <c r="AJ1944">
        <v>0</v>
      </c>
      <c r="AK1944">
        <v>83.68000000000001</v>
      </c>
      <c r="AN1944" t="s">
        <v>2926</v>
      </c>
      <c r="AO1944">
        <v>10452</v>
      </c>
      <c r="AP1944" t="s">
        <v>18318</v>
      </c>
      <c r="AU1944">
        <v>3.2</v>
      </c>
      <c r="AV1944" t="s">
        <v>289</v>
      </c>
      <c r="AW1944" t="s">
        <v>3051</v>
      </c>
    </row>
    <row r="1945" spans="1:50">
      <c r="A1945" s="1" t="s">
        <v>91</v>
      </c>
      <c r="B1945" t="s">
        <v>163</v>
      </c>
      <c r="C1945" t="s">
        <v>5155</v>
      </c>
      <c r="D1945" t="s">
        <v>268</v>
      </c>
      <c r="F1945" t="s">
        <v>7570</v>
      </c>
      <c r="G1945" t="s">
        <v>888</v>
      </c>
      <c r="H1945" t="s">
        <v>10266</v>
      </c>
      <c r="I1945" t="s">
        <v>1622</v>
      </c>
      <c r="J1945" t="s">
        <v>1643</v>
      </c>
      <c r="K1945">
        <v>10034</v>
      </c>
      <c r="L1945" t="s">
        <v>1670</v>
      </c>
      <c r="M1945" t="s">
        <v>1672</v>
      </c>
      <c r="P1945" t="s">
        <v>1962</v>
      </c>
      <c r="R1945" t="s">
        <v>50</v>
      </c>
      <c r="S1945" t="s">
        <v>1671</v>
      </c>
      <c r="U1945" t="s">
        <v>1972</v>
      </c>
      <c r="W1945" t="s">
        <v>268</v>
      </c>
      <c r="X1945">
        <v>865.75</v>
      </c>
      <c r="Y1945" t="s">
        <v>2008</v>
      </c>
      <c r="Z1945" t="s">
        <v>2013</v>
      </c>
      <c r="AB1945" t="s">
        <v>14414</v>
      </c>
      <c r="AD1945" t="s">
        <v>16825</v>
      </c>
      <c r="AE1945">
        <v>48</v>
      </c>
      <c r="AF1945" t="s">
        <v>2902</v>
      </c>
      <c r="AG1945" t="s">
        <v>1754</v>
      </c>
      <c r="AH1945">
        <v>39</v>
      </c>
      <c r="AI1945">
        <v>2</v>
      </c>
      <c r="AJ1945">
        <v>0</v>
      </c>
      <c r="AK1945">
        <v>83.81</v>
      </c>
      <c r="AN1945" t="s">
        <v>2927</v>
      </c>
      <c r="AO1945">
        <v>14172</v>
      </c>
      <c r="AU1945">
        <v>3.3</v>
      </c>
      <c r="AV1945" t="s">
        <v>405</v>
      </c>
      <c r="AW1945" t="s">
        <v>3042</v>
      </c>
      <c r="AX1945" t="s">
        <v>18685</v>
      </c>
    </row>
    <row r="1946" spans="1:50">
      <c r="A1946" s="1" t="s">
        <v>118</v>
      </c>
      <c r="B1946" t="s">
        <v>163</v>
      </c>
      <c r="C1946" t="s">
        <v>5156</v>
      </c>
      <c r="D1946" t="s">
        <v>382</v>
      </c>
      <c r="F1946" t="s">
        <v>7571</v>
      </c>
      <c r="G1946" t="s">
        <v>873</v>
      </c>
      <c r="H1946" t="s">
        <v>10267</v>
      </c>
      <c r="I1946" t="s">
        <v>1510</v>
      </c>
      <c r="J1946" t="s">
        <v>1641</v>
      </c>
      <c r="K1946">
        <v>10457</v>
      </c>
      <c r="L1946" t="s">
        <v>1670</v>
      </c>
      <c r="M1946" t="s">
        <v>1670</v>
      </c>
      <c r="N1946" t="s">
        <v>12406</v>
      </c>
      <c r="O1946" t="s">
        <v>1941</v>
      </c>
      <c r="P1946" t="s">
        <v>1964</v>
      </c>
      <c r="R1946" t="s">
        <v>50</v>
      </c>
      <c r="S1946" t="s">
        <v>1670</v>
      </c>
      <c r="U1946" t="s">
        <v>1972</v>
      </c>
      <c r="W1946" t="s">
        <v>359</v>
      </c>
      <c r="X1946" t="s">
        <v>13051</v>
      </c>
      <c r="Y1946" t="s">
        <v>2006</v>
      </c>
      <c r="Z1946" t="s">
        <v>2015</v>
      </c>
      <c r="AB1946" t="s">
        <v>14415</v>
      </c>
      <c r="AC1946" t="s">
        <v>15234</v>
      </c>
      <c r="AD1946" t="s">
        <v>16826</v>
      </c>
      <c r="AE1946">
        <v>38</v>
      </c>
      <c r="AF1946" t="s">
        <v>2904</v>
      </c>
      <c r="AH1946">
        <v>1</v>
      </c>
      <c r="AI1946">
        <v>1</v>
      </c>
      <c r="AJ1946">
        <v>0</v>
      </c>
      <c r="AK1946">
        <v>83.81999999999999</v>
      </c>
      <c r="AN1946" t="s">
        <v>2927</v>
      </c>
      <c r="AO1946">
        <v>10176</v>
      </c>
      <c r="AU1946" t="s">
        <v>13051</v>
      </c>
      <c r="AW1946" t="s">
        <v>3054</v>
      </c>
    </row>
    <row r="1947" spans="1:50">
      <c r="A1947" s="1" t="s">
        <v>94</v>
      </c>
      <c r="B1947" t="s">
        <v>163</v>
      </c>
      <c r="C1947" t="s">
        <v>5157</v>
      </c>
      <c r="D1947" t="s">
        <v>206</v>
      </c>
      <c r="F1947" t="s">
        <v>6937</v>
      </c>
      <c r="G1947" t="s">
        <v>770</v>
      </c>
      <c r="H1947" t="s">
        <v>10268</v>
      </c>
      <c r="I1947">
        <v>35</v>
      </c>
      <c r="J1947" t="s">
        <v>1643</v>
      </c>
      <c r="K1947">
        <v>10032</v>
      </c>
      <c r="L1947" t="s">
        <v>1670</v>
      </c>
      <c r="M1947" t="s">
        <v>1672</v>
      </c>
      <c r="O1947" t="s">
        <v>1941</v>
      </c>
      <c r="P1947" t="s">
        <v>1960</v>
      </c>
      <c r="R1947" t="s">
        <v>50</v>
      </c>
      <c r="S1947" t="s">
        <v>1671</v>
      </c>
      <c r="U1947" t="s">
        <v>1972</v>
      </c>
      <c r="W1947" t="s">
        <v>206</v>
      </c>
      <c r="X1947">
        <v>1147.19</v>
      </c>
      <c r="Y1947" t="s">
        <v>2008</v>
      </c>
      <c r="Z1947" t="s">
        <v>2013</v>
      </c>
      <c r="AB1947" t="s">
        <v>14416</v>
      </c>
      <c r="AD1947" t="s">
        <v>16827</v>
      </c>
      <c r="AE1947">
        <v>30</v>
      </c>
      <c r="AF1947" t="s">
        <v>2902</v>
      </c>
      <c r="AG1947" t="s">
        <v>2919</v>
      </c>
      <c r="AH1947">
        <v>27</v>
      </c>
      <c r="AI1947">
        <v>3</v>
      </c>
      <c r="AJ1947">
        <v>0</v>
      </c>
      <c r="AK1947">
        <v>83.83</v>
      </c>
      <c r="AN1947" t="s">
        <v>2927</v>
      </c>
      <c r="AO1947">
        <v>17880</v>
      </c>
      <c r="AU1947">
        <v>3.13</v>
      </c>
      <c r="AV1947" t="s">
        <v>333</v>
      </c>
      <c r="AW1947" t="s">
        <v>3042</v>
      </c>
      <c r="AX1947" t="s">
        <v>18685</v>
      </c>
    </row>
    <row r="1948" spans="1:50">
      <c r="A1948" s="1" t="s">
        <v>74</v>
      </c>
      <c r="B1948" t="s">
        <v>163</v>
      </c>
      <c r="C1948" t="s">
        <v>5158</v>
      </c>
      <c r="D1948" t="s">
        <v>306</v>
      </c>
      <c r="F1948" t="s">
        <v>7367</v>
      </c>
      <c r="G1948" t="s">
        <v>8501</v>
      </c>
      <c r="H1948" t="s">
        <v>1131</v>
      </c>
      <c r="I1948" t="s">
        <v>11037</v>
      </c>
      <c r="J1948" t="s">
        <v>1641</v>
      </c>
      <c r="K1948">
        <v>10460</v>
      </c>
      <c r="L1948" t="s">
        <v>1670</v>
      </c>
      <c r="M1948" t="s">
        <v>1670</v>
      </c>
      <c r="N1948" t="s">
        <v>1692</v>
      </c>
      <c r="O1948" t="s">
        <v>1939</v>
      </c>
      <c r="P1948" t="s">
        <v>1960</v>
      </c>
      <c r="R1948" t="s">
        <v>50</v>
      </c>
      <c r="S1948" t="s">
        <v>1670</v>
      </c>
      <c r="U1948" t="s">
        <v>1972</v>
      </c>
      <c r="W1948" t="s">
        <v>283</v>
      </c>
      <c r="X1948">
        <v>391</v>
      </c>
      <c r="Y1948" t="s">
        <v>2006</v>
      </c>
      <c r="Z1948" t="s">
        <v>2015</v>
      </c>
      <c r="AB1948" t="s">
        <v>14354</v>
      </c>
      <c r="AC1948" t="s">
        <v>15235</v>
      </c>
      <c r="AD1948" t="s">
        <v>16768</v>
      </c>
      <c r="AE1948">
        <v>168</v>
      </c>
      <c r="AF1948" t="s">
        <v>2903</v>
      </c>
      <c r="AG1948" t="s">
        <v>2915</v>
      </c>
      <c r="AH1948">
        <v>10</v>
      </c>
      <c r="AI1948">
        <v>2</v>
      </c>
      <c r="AJ1948">
        <v>0</v>
      </c>
      <c r="AK1948">
        <v>83.98999999999999</v>
      </c>
      <c r="AN1948" t="s">
        <v>2927</v>
      </c>
      <c r="AO1948">
        <v>13824</v>
      </c>
      <c r="AU1948" t="s">
        <v>13051</v>
      </c>
      <c r="AW1948" t="s">
        <v>3046</v>
      </c>
    </row>
    <row r="1949" spans="1:50">
      <c r="A1949" s="1" t="s">
        <v>54</v>
      </c>
      <c r="B1949" t="s">
        <v>164</v>
      </c>
      <c r="C1949" t="s">
        <v>5159</v>
      </c>
      <c r="D1949" t="s">
        <v>187</v>
      </c>
      <c r="E1949" t="s">
        <v>371</v>
      </c>
      <c r="F1949" t="s">
        <v>605</v>
      </c>
      <c r="G1949" t="s">
        <v>8134</v>
      </c>
      <c r="H1949" t="s">
        <v>10269</v>
      </c>
      <c r="I1949" t="s">
        <v>11126</v>
      </c>
      <c r="J1949" t="s">
        <v>1643</v>
      </c>
      <c r="K1949">
        <v>10034</v>
      </c>
      <c r="L1949" t="s">
        <v>1670</v>
      </c>
      <c r="M1949" t="s">
        <v>1670</v>
      </c>
      <c r="O1949" t="s">
        <v>1938</v>
      </c>
      <c r="P1949" t="s">
        <v>1958</v>
      </c>
      <c r="Q1949" t="s">
        <v>1965</v>
      </c>
      <c r="R1949" t="s">
        <v>50</v>
      </c>
      <c r="S1949" t="s">
        <v>1671</v>
      </c>
      <c r="U1949" t="s">
        <v>1972</v>
      </c>
      <c r="W1949" t="s">
        <v>187</v>
      </c>
      <c r="X1949">
        <v>959</v>
      </c>
      <c r="Y1949" t="s">
        <v>2008</v>
      </c>
      <c r="Z1949" t="s">
        <v>2020</v>
      </c>
      <c r="AA1949" t="s">
        <v>2029</v>
      </c>
      <c r="AB1949" t="s">
        <v>14417</v>
      </c>
      <c r="AD1949" t="s">
        <v>16828</v>
      </c>
      <c r="AE1949">
        <v>54</v>
      </c>
      <c r="AF1949" t="s">
        <v>2902</v>
      </c>
      <c r="AG1949" t="s">
        <v>1754</v>
      </c>
      <c r="AH1949">
        <v>19</v>
      </c>
      <c r="AI1949">
        <v>1</v>
      </c>
      <c r="AJ1949">
        <v>0</v>
      </c>
      <c r="AK1949">
        <v>84.02</v>
      </c>
      <c r="AN1949" t="s">
        <v>2927</v>
      </c>
      <c r="AO1949">
        <v>10200</v>
      </c>
      <c r="AU1949">
        <v>0.15</v>
      </c>
      <c r="AV1949" t="s">
        <v>371</v>
      </c>
      <c r="AW1949" t="s">
        <v>3042</v>
      </c>
    </row>
    <row r="1950" spans="1:50">
      <c r="A1950" s="1" t="s">
        <v>3182</v>
      </c>
      <c r="B1950" t="s">
        <v>164</v>
      </c>
      <c r="C1950" t="s">
        <v>5160</v>
      </c>
      <c r="D1950" t="s">
        <v>242</v>
      </c>
      <c r="E1950" t="s">
        <v>170</v>
      </c>
      <c r="F1950" t="s">
        <v>728</v>
      </c>
      <c r="G1950" t="s">
        <v>843</v>
      </c>
      <c r="H1950" t="s">
        <v>10270</v>
      </c>
      <c r="I1950" t="s">
        <v>1519</v>
      </c>
      <c r="J1950" t="s">
        <v>1641</v>
      </c>
      <c r="K1950">
        <v>10467</v>
      </c>
      <c r="L1950" t="s">
        <v>1670</v>
      </c>
      <c r="M1950" t="s">
        <v>1670</v>
      </c>
      <c r="N1950" t="s">
        <v>12407</v>
      </c>
      <c r="O1950" t="s">
        <v>1945</v>
      </c>
      <c r="P1950" t="s">
        <v>1959</v>
      </c>
      <c r="Q1950" t="s">
        <v>1965</v>
      </c>
      <c r="R1950" t="s">
        <v>50</v>
      </c>
      <c r="S1950" t="s">
        <v>1671</v>
      </c>
      <c r="U1950" t="s">
        <v>1980</v>
      </c>
      <c r="W1950" t="s">
        <v>242</v>
      </c>
      <c r="X1950">
        <v>1017</v>
      </c>
      <c r="Y1950" t="s">
        <v>2006</v>
      </c>
      <c r="Z1950" t="s">
        <v>2021</v>
      </c>
      <c r="AA1950" t="s">
        <v>2029</v>
      </c>
      <c r="AB1950" t="s">
        <v>14418</v>
      </c>
      <c r="AD1950" t="s">
        <v>16829</v>
      </c>
      <c r="AE1950">
        <v>90</v>
      </c>
      <c r="AF1950" t="s">
        <v>2902</v>
      </c>
      <c r="AG1950" t="s">
        <v>2919</v>
      </c>
      <c r="AH1950">
        <v>6</v>
      </c>
      <c r="AI1950">
        <v>1</v>
      </c>
      <c r="AJ1950">
        <v>0</v>
      </c>
      <c r="AK1950">
        <v>84.02</v>
      </c>
      <c r="AN1950" t="s">
        <v>2927</v>
      </c>
      <c r="AO1950">
        <v>10200</v>
      </c>
      <c r="AU1950">
        <v>0.1</v>
      </c>
      <c r="AV1950" t="s">
        <v>312</v>
      </c>
      <c r="AW1950" t="s">
        <v>3054</v>
      </c>
    </row>
    <row r="1951" spans="1:50">
      <c r="A1951" s="1" t="s">
        <v>79</v>
      </c>
      <c r="B1951" t="s">
        <v>163</v>
      </c>
      <c r="C1951" t="s">
        <v>5161</v>
      </c>
      <c r="D1951" t="s">
        <v>197</v>
      </c>
      <c r="F1951" t="s">
        <v>7009</v>
      </c>
      <c r="G1951" t="s">
        <v>835</v>
      </c>
      <c r="H1951" t="s">
        <v>10220</v>
      </c>
      <c r="J1951" t="s">
        <v>1644</v>
      </c>
      <c r="K1951">
        <v>11208</v>
      </c>
      <c r="L1951" t="s">
        <v>1670</v>
      </c>
      <c r="M1951" t="s">
        <v>1672</v>
      </c>
      <c r="N1951" t="s">
        <v>12408</v>
      </c>
      <c r="O1951" t="s">
        <v>1940</v>
      </c>
      <c r="P1951" t="s">
        <v>1959</v>
      </c>
      <c r="R1951" t="s">
        <v>50</v>
      </c>
      <c r="S1951" t="s">
        <v>1671</v>
      </c>
      <c r="U1951" t="s">
        <v>1972</v>
      </c>
      <c r="W1951" t="s">
        <v>228</v>
      </c>
      <c r="X1951" t="s">
        <v>13051</v>
      </c>
      <c r="Y1951" t="s">
        <v>2009</v>
      </c>
      <c r="AB1951" t="s">
        <v>14349</v>
      </c>
      <c r="AE1951" t="s">
        <v>13051</v>
      </c>
      <c r="AH1951" t="s">
        <v>13051</v>
      </c>
      <c r="AI1951">
        <v>1</v>
      </c>
      <c r="AJ1951">
        <v>0</v>
      </c>
      <c r="AK1951">
        <v>84.02</v>
      </c>
      <c r="AN1951" t="s">
        <v>2926</v>
      </c>
      <c r="AO1951">
        <v>10200</v>
      </c>
      <c r="AU1951">
        <v>10.2</v>
      </c>
      <c r="AV1951" t="s">
        <v>373</v>
      </c>
      <c r="AW1951" t="s">
        <v>79</v>
      </c>
      <c r="AX1951" t="s">
        <v>18685</v>
      </c>
    </row>
    <row r="1952" spans="1:50">
      <c r="A1952" s="1" t="s">
        <v>53</v>
      </c>
      <c r="B1952" t="s">
        <v>164</v>
      </c>
      <c r="C1952" t="s">
        <v>5162</v>
      </c>
      <c r="D1952" t="s">
        <v>280</v>
      </c>
      <c r="E1952" t="s">
        <v>224</v>
      </c>
      <c r="F1952" t="s">
        <v>7266</v>
      </c>
      <c r="G1952" t="s">
        <v>8765</v>
      </c>
      <c r="H1952" t="s">
        <v>1332</v>
      </c>
      <c r="I1952">
        <v>1611</v>
      </c>
      <c r="J1952" t="s">
        <v>1649</v>
      </c>
      <c r="K1952">
        <v>11692</v>
      </c>
      <c r="L1952" t="s">
        <v>1670</v>
      </c>
      <c r="M1952" t="s">
        <v>1670</v>
      </c>
      <c r="N1952" t="s">
        <v>12409</v>
      </c>
      <c r="O1952" t="s">
        <v>1936</v>
      </c>
      <c r="P1952" t="s">
        <v>1960</v>
      </c>
      <c r="Q1952" t="s">
        <v>1967</v>
      </c>
      <c r="R1952" t="s">
        <v>50</v>
      </c>
      <c r="S1952" t="s">
        <v>1671</v>
      </c>
      <c r="U1952" t="s">
        <v>1972</v>
      </c>
      <c r="V1952" t="s">
        <v>1984</v>
      </c>
      <c r="W1952" t="s">
        <v>352</v>
      </c>
      <c r="X1952">
        <v>1400</v>
      </c>
      <c r="Y1952" t="s">
        <v>2007</v>
      </c>
      <c r="Z1952" t="s">
        <v>2014</v>
      </c>
      <c r="AA1952" t="s">
        <v>2032</v>
      </c>
      <c r="AB1952" t="s">
        <v>14419</v>
      </c>
      <c r="AD1952" t="s">
        <v>16830</v>
      </c>
      <c r="AE1952">
        <v>40</v>
      </c>
      <c r="AF1952" t="s">
        <v>2904</v>
      </c>
      <c r="AG1952" t="s">
        <v>2915</v>
      </c>
      <c r="AH1952">
        <v>10</v>
      </c>
      <c r="AI1952">
        <v>1</v>
      </c>
      <c r="AJ1952">
        <v>0</v>
      </c>
      <c r="AK1952">
        <v>84.02</v>
      </c>
      <c r="AN1952" t="s">
        <v>2926</v>
      </c>
      <c r="AO1952">
        <v>10200</v>
      </c>
      <c r="AQ1952" t="s">
        <v>2979</v>
      </c>
      <c r="AR1952" t="s">
        <v>2982</v>
      </c>
      <c r="AS1952" t="s">
        <v>2992</v>
      </c>
      <c r="AT1952" t="s">
        <v>3013</v>
      </c>
      <c r="AU1952">
        <v>14.1</v>
      </c>
      <c r="AV1952" t="s">
        <v>383</v>
      </c>
      <c r="AW1952" t="s">
        <v>89</v>
      </c>
    </row>
    <row r="1953" spans="1:50">
      <c r="A1953" s="1" t="s">
        <v>79</v>
      </c>
      <c r="B1953" t="s">
        <v>164</v>
      </c>
      <c r="C1953" t="s">
        <v>5163</v>
      </c>
      <c r="D1953" t="s">
        <v>387</v>
      </c>
      <c r="E1953" t="s">
        <v>382</v>
      </c>
      <c r="F1953" t="s">
        <v>530</v>
      </c>
      <c r="G1953" t="s">
        <v>890</v>
      </c>
      <c r="H1953" t="s">
        <v>9438</v>
      </c>
      <c r="I1953" t="s">
        <v>11308</v>
      </c>
      <c r="J1953" t="s">
        <v>1644</v>
      </c>
      <c r="K1953">
        <v>11208</v>
      </c>
      <c r="L1953" t="s">
        <v>1670</v>
      </c>
      <c r="M1953" t="s">
        <v>1670</v>
      </c>
      <c r="N1953" t="s">
        <v>11937</v>
      </c>
      <c r="O1953" t="s">
        <v>1940</v>
      </c>
      <c r="P1953" t="s">
        <v>1960</v>
      </c>
      <c r="Q1953" t="s">
        <v>1969</v>
      </c>
      <c r="R1953" t="s">
        <v>50</v>
      </c>
      <c r="U1953" t="s">
        <v>1972</v>
      </c>
      <c r="W1953" t="s">
        <v>370</v>
      </c>
      <c r="X1953">
        <v>400</v>
      </c>
      <c r="Y1953" t="s">
        <v>2009</v>
      </c>
      <c r="Z1953" t="s">
        <v>2018</v>
      </c>
      <c r="AA1953" t="s">
        <v>2032</v>
      </c>
      <c r="AB1953" t="s">
        <v>14348</v>
      </c>
      <c r="AD1953" t="s">
        <v>16763</v>
      </c>
      <c r="AE1953">
        <v>9</v>
      </c>
      <c r="AG1953" t="s">
        <v>1754</v>
      </c>
      <c r="AH1953" t="s">
        <v>13051</v>
      </c>
      <c r="AI1953">
        <v>1</v>
      </c>
      <c r="AJ1953">
        <v>0</v>
      </c>
      <c r="AK1953">
        <v>84.02</v>
      </c>
      <c r="AN1953" t="s">
        <v>2926</v>
      </c>
      <c r="AO1953">
        <v>10200</v>
      </c>
      <c r="AP1953" t="s">
        <v>2963</v>
      </c>
      <c r="AQ1953" t="s">
        <v>2979</v>
      </c>
      <c r="AR1953" t="s">
        <v>2988</v>
      </c>
      <c r="AS1953" t="s">
        <v>2992</v>
      </c>
      <c r="AT1953" t="s">
        <v>18578</v>
      </c>
      <c r="AU1953">
        <v>53.2</v>
      </c>
      <c r="AV1953" t="s">
        <v>384</v>
      </c>
      <c r="AW1953" t="s">
        <v>3069</v>
      </c>
    </row>
    <row r="1954" spans="1:50">
      <c r="A1954" s="1" t="s">
        <v>74</v>
      </c>
      <c r="B1954" t="s">
        <v>163</v>
      </c>
      <c r="C1954" t="s">
        <v>5164</v>
      </c>
      <c r="D1954" t="s">
        <v>367</v>
      </c>
      <c r="F1954" t="s">
        <v>6796</v>
      </c>
      <c r="G1954" t="s">
        <v>8092</v>
      </c>
      <c r="H1954" t="s">
        <v>1131</v>
      </c>
      <c r="I1954" t="s">
        <v>1504</v>
      </c>
      <c r="J1954" t="s">
        <v>1641</v>
      </c>
      <c r="K1954">
        <v>10460</v>
      </c>
      <c r="L1954" t="s">
        <v>1670</v>
      </c>
      <c r="M1954" t="s">
        <v>1670</v>
      </c>
      <c r="N1954" t="s">
        <v>1692</v>
      </c>
      <c r="O1954" t="s">
        <v>1939</v>
      </c>
      <c r="P1954" t="s">
        <v>1960</v>
      </c>
      <c r="R1954" t="s">
        <v>50</v>
      </c>
      <c r="S1954" t="s">
        <v>1670</v>
      </c>
      <c r="U1954" t="s">
        <v>1972</v>
      </c>
      <c r="W1954" t="s">
        <v>283</v>
      </c>
      <c r="X1954">
        <v>1200</v>
      </c>
      <c r="Y1954" t="s">
        <v>2006</v>
      </c>
      <c r="Z1954" t="s">
        <v>2015</v>
      </c>
      <c r="AB1954" t="s">
        <v>14350</v>
      </c>
      <c r="AD1954" t="s">
        <v>16764</v>
      </c>
      <c r="AE1954">
        <v>168</v>
      </c>
      <c r="AF1954" t="s">
        <v>2902</v>
      </c>
      <c r="AG1954" t="s">
        <v>2915</v>
      </c>
      <c r="AH1954">
        <v>4</v>
      </c>
      <c r="AI1954">
        <v>1</v>
      </c>
      <c r="AJ1954">
        <v>0</v>
      </c>
      <c r="AK1954">
        <v>84.02</v>
      </c>
      <c r="AN1954" t="s">
        <v>2926</v>
      </c>
      <c r="AO1954">
        <v>10200</v>
      </c>
      <c r="AU1954" t="s">
        <v>13051</v>
      </c>
      <c r="AW1954" t="s">
        <v>3054</v>
      </c>
    </row>
    <row r="1955" spans="1:50">
      <c r="A1955" s="1" t="s">
        <v>57</v>
      </c>
      <c r="B1955" t="s">
        <v>163</v>
      </c>
      <c r="C1955" t="s">
        <v>5165</v>
      </c>
      <c r="D1955" t="s">
        <v>316</v>
      </c>
      <c r="F1955" t="s">
        <v>6912</v>
      </c>
      <c r="G1955" t="s">
        <v>8157</v>
      </c>
      <c r="H1955" t="s">
        <v>9500</v>
      </c>
      <c r="I1955" t="s">
        <v>11320</v>
      </c>
      <c r="J1955" t="s">
        <v>1641</v>
      </c>
      <c r="K1955">
        <v>10453</v>
      </c>
      <c r="L1955" t="s">
        <v>1670</v>
      </c>
      <c r="M1955" t="s">
        <v>1670</v>
      </c>
      <c r="O1955" t="s">
        <v>1938</v>
      </c>
      <c r="P1955" t="s">
        <v>1961</v>
      </c>
      <c r="R1955" t="s">
        <v>50</v>
      </c>
      <c r="S1955" t="s">
        <v>1670</v>
      </c>
      <c r="U1955" t="s">
        <v>1972</v>
      </c>
      <c r="W1955" t="s">
        <v>283</v>
      </c>
      <c r="X1955">
        <v>1069.19</v>
      </c>
      <c r="Y1955" t="s">
        <v>2006</v>
      </c>
      <c r="Z1955" t="s">
        <v>2016</v>
      </c>
      <c r="AB1955" t="s">
        <v>14420</v>
      </c>
      <c r="AD1955" t="s">
        <v>16831</v>
      </c>
      <c r="AE1955">
        <v>170</v>
      </c>
      <c r="AF1955" t="s">
        <v>2902</v>
      </c>
      <c r="AG1955" t="s">
        <v>2915</v>
      </c>
      <c r="AH1955">
        <v>33</v>
      </c>
      <c r="AI1955">
        <v>1</v>
      </c>
      <c r="AJ1955">
        <v>0</v>
      </c>
      <c r="AK1955">
        <v>84.06999999999999</v>
      </c>
      <c r="AN1955" t="s">
        <v>2926</v>
      </c>
      <c r="AO1955">
        <v>10500</v>
      </c>
      <c r="AU1955" t="s">
        <v>13051</v>
      </c>
      <c r="AW1955" t="s">
        <v>3045</v>
      </c>
    </row>
    <row r="1956" spans="1:50">
      <c r="A1956" s="1" t="s">
        <v>57</v>
      </c>
      <c r="B1956" t="s">
        <v>163</v>
      </c>
      <c r="C1956" t="s">
        <v>5166</v>
      </c>
      <c r="D1956" t="s">
        <v>182</v>
      </c>
      <c r="F1956" t="s">
        <v>6912</v>
      </c>
      <c r="G1956" t="s">
        <v>8157</v>
      </c>
      <c r="H1956" t="s">
        <v>9500</v>
      </c>
      <c r="J1956" t="s">
        <v>1641</v>
      </c>
      <c r="K1956">
        <v>10453</v>
      </c>
      <c r="L1956" t="s">
        <v>1670</v>
      </c>
      <c r="M1956" t="s">
        <v>1670</v>
      </c>
      <c r="N1956" t="s">
        <v>1677</v>
      </c>
      <c r="O1956" t="s">
        <v>1939</v>
      </c>
      <c r="P1956" t="s">
        <v>1960</v>
      </c>
      <c r="R1956" t="s">
        <v>50</v>
      </c>
      <c r="S1956" t="s">
        <v>1670</v>
      </c>
      <c r="U1956" t="s">
        <v>1972</v>
      </c>
      <c r="W1956" t="s">
        <v>283</v>
      </c>
      <c r="X1956">
        <v>1069.18</v>
      </c>
      <c r="Y1956" t="s">
        <v>2006</v>
      </c>
      <c r="Z1956" t="s">
        <v>2016</v>
      </c>
      <c r="AB1956" t="s">
        <v>14420</v>
      </c>
      <c r="AD1956" t="s">
        <v>16831</v>
      </c>
      <c r="AE1956">
        <v>170</v>
      </c>
      <c r="AF1956" t="s">
        <v>2902</v>
      </c>
      <c r="AG1956" t="s">
        <v>2915</v>
      </c>
      <c r="AH1956">
        <v>33</v>
      </c>
      <c r="AI1956">
        <v>1</v>
      </c>
      <c r="AJ1956">
        <v>0</v>
      </c>
      <c r="AK1956">
        <v>84.06999999999999</v>
      </c>
      <c r="AN1956" t="s">
        <v>2926</v>
      </c>
      <c r="AO1956">
        <v>10500</v>
      </c>
      <c r="AU1956" t="s">
        <v>13051</v>
      </c>
      <c r="AW1956" t="s">
        <v>3045</v>
      </c>
    </row>
    <row r="1957" spans="1:50">
      <c r="A1957" s="1" t="s">
        <v>52</v>
      </c>
      <c r="B1957" t="s">
        <v>164</v>
      </c>
      <c r="C1957" t="s">
        <v>5167</v>
      </c>
      <c r="D1957" t="s">
        <v>379</v>
      </c>
      <c r="E1957" t="s">
        <v>379</v>
      </c>
      <c r="F1957" t="s">
        <v>681</v>
      </c>
      <c r="G1957" t="s">
        <v>7181</v>
      </c>
      <c r="H1957" t="s">
        <v>10271</v>
      </c>
      <c r="I1957" t="s">
        <v>11175</v>
      </c>
      <c r="J1957" t="s">
        <v>1641</v>
      </c>
      <c r="K1957">
        <v>10473</v>
      </c>
      <c r="L1957" t="s">
        <v>1670</v>
      </c>
      <c r="M1957" t="s">
        <v>1672</v>
      </c>
      <c r="N1957" t="s">
        <v>12410</v>
      </c>
      <c r="O1957" t="s">
        <v>1945</v>
      </c>
      <c r="P1957" t="s">
        <v>1962</v>
      </c>
      <c r="Q1957" t="s">
        <v>1968</v>
      </c>
      <c r="R1957" t="s">
        <v>50</v>
      </c>
      <c r="S1957" t="s">
        <v>1671</v>
      </c>
      <c r="U1957" t="s">
        <v>1980</v>
      </c>
      <c r="W1957" t="s">
        <v>1991</v>
      </c>
      <c r="X1957">
        <v>958</v>
      </c>
      <c r="Y1957" t="s">
        <v>2006</v>
      </c>
      <c r="Z1957" t="s">
        <v>2020</v>
      </c>
      <c r="AA1957" t="s">
        <v>2034</v>
      </c>
      <c r="AB1957" t="s">
        <v>14421</v>
      </c>
      <c r="AC1957" t="s">
        <v>15236</v>
      </c>
      <c r="AD1957" t="s">
        <v>16832</v>
      </c>
      <c r="AE1957">
        <v>244</v>
      </c>
      <c r="AF1957" t="s">
        <v>2902</v>
      </c>
      <c r="AG1957" t="s">
        <v>2919</v>
      </c>
      <c r="AH1957">
        <v>46</v>
      </c>
      <c r="AI1957">
        <v>1</v>
      </c>
      <c r="AJ1957">
        <v>0</v>
      </c>
      <c r="AK1957">
        <v>84.08</v>
      </c>
      <c r="AN1957" t="s">
        <v>2926</v>
      </c>
      <c r="AO1957">
        <v>10501</v>
      </c>
      <c r="AU1957">
        <v>1</v>
      </c>
      <c r="AV1957" t="s">
        <v>392</v>
      </c>
      <c r="AW1957" t="s">
        <v>3045</v>
      </c>
      <c r="AX1957" t="s">
        <v>18685</v>
      </c>
    </row>
    <row r="1958" spans="1:50">
      <c r="A1958" s="1" t="s">
        <v>146</v>
      </c>
      <c r="B1958" t="s">
        <v>163</v>
      </c>
      <c r="C1958" t="s">
        <v>5168</v>
      </c>
      <c r="D1958" t="s">
        <v>228</v>
      </c>
      <c r="F1958" t="s">
        <v>605</v>
      </c>
      <c r="G1958" t="s">
        <v>8766</v>
      </c>
      <c r="H1958" t="s">
        <v>10272</v>
      </c>
      <c r="I1958" t="s">
        <v>1538</v>
      </c>
      <c r="J1958" t="s">
        <v>1641</v>
      </c>
      <c r="K1958">
        <v>10460</v>
      </c>
      <c r="L1958" t="s">
        <v>1670</v>
      </c>
      <c r="M1958" t="s">
        <v>1670</v>
      </c>
      <c r="O1958" t="s">
        <v>1943</v>
      </c>
      <c r="P1958" t="s">
        <v>1959</v>
      </c>
      <c r="R1958" t="s">
        <v>50</v>
      </c>
      <c r="S1958" t="s">
        <v>1671</v>
      </c>
      <c r="U1958" t="s">
        <v>1973</v>
      </c>
      <c r="W1958" t="s">
        <v>228</v>
      </c>
      <c r="X1958">
        <v>1379.07</v>
      </c>
      <c r="Y1958" t="s">
        <v>2006</v>
      </c>
      <c r="Z1958" t="s">
        <v>2011</v>
      </c>
      <c r="AB1958" t="s">
        <v>14422</v>
      </c>
      <c r="AC1958" t="s">
        <v>15237</v>
      </c>
      <c r="AD1958" t="s">
        <v>16833</v>
      </c>
      <c r="AE1958">
        <v>34</v>
      </c>
      <c r="AF1958" t="s">
        <v>2902</v>
      </c>
      <c r="AG1958" t="s">
        <v>2915</v>
      </c>
      <c r="AH1958">
        <v>10</v>
      </c>
      <c r="AI1958">
        <v>1</v>
      </c>
      <c r="AJ1958">
        <v>0</v>
      </c>
      <c r="AK1958">
        <v>84.12</v>
      </c>
      <c r="AN1958" t="s">
        <v>2926</v>
      </c>
      <c r="AO1958">
        <v>10212</v>
      </c>
      <c r="AU1958">
        <v>10.3</v>
      </c>
      <c r="AV1958" t="s">
        <v>265</v>
      </c>
      <c r="AW1958" t="s">
        <v>76</v>
      </c>
    </row>
    <row r="1959" spans="1:50">
      <c r="A1959" s="1" t="s">
        <v>146</v>
      </c>
      <c r="B1959" t="s">
        <v>163</v>
      </c>
      <c r="C1959" t="s">
        <v>5169</v>
      </c>
      <c r="D1959" t="s">
        <v>184</v>
      </c>
      <c r="F1959" t="s">
        <v>605</v>
      </c>
      <c r="G1959" t="s">
        <v>8766</v>
      </c>
      <c r="H1959" t="s">
        <v>10272</v>
      </c>
      <c r="I1959" t="s">
        <v>1538</v>
      </c>
      <c r="J1959" t="s">
        <v>1641</v>
      </c>
      <c r="K1959">
        <v>10460</v>
      </c>
      <c r="L1959" t="s">
        <v>1670</v>
      </c>
      <c r="M1959" t="s">
        <v>1670</v>
      </c>
      <c r="N1959" t="s">
        <v>12411</v>
      </c>
      <c r="O1959" t="s">
        <v>1936</v>
      </c>
      <c r="P1959" t="s">
        <v>1960</v>
      </c>
      <c r="R1959" t="s">
        <v>50</v>
      </c>
      <c r="S1959" t="s">
        <v>1671</v>
      </c>
      <c r="U1959" t="s">
        <v>1972</v>
      </c>
      <c r="V1959" t="s">
        <v>1984</v>
      </c>
      <c r="W1959" t="s">
        <v>352</v>
      </c>
      <c r="X1959">
        <v>1379.07</v>
      </c>
      <c r="Y1959" t="s">
        <v>2006</v>
      </c>
      <c r="Z1959" t="s">
        <v>2023</v>
      </c>
      <c r="AB1959" t="s">
        <v>14422</v>
      </c>
      <c r="AC1959" t="s">
        <v>15237</v>
      </c>
      <c r="AD1959" t="s">
        <v>16833</v>
      </c>
      <c r="AE1959">
        <v>34</v>
      </c>
      <c r="AF1959" t="s">
        <v>2902</v>
      </c>
      <c r="AG1959" t="s">
        <v>2915</v>
      </c>
      <c r="AH1959">
        <v>10</v>
      </c>
      <c r="AI1959">
        <v>1</v>
      </c>
      <c r="AJ1959">
        <v>0</v>
      </c>
      <c r="AK1959">
        <v>84.12</v>
      </c>
      <c r="AN1959" t="s">
        <v>2926</v>
      </c>
      <c r="AO1959">
        <v>10212</v>
      </c>
      <c r="AQ1959" t="s">
        <v>2979</v>
      </c>
      <c r="AU1959">
        <v>51.55</v>
      </c>
      <c r="AV1959" t="s">
        <v>249</v>
      </c>
      <c r="AW1959" t="s">
        <v>3084</v>
      </c>
    </row>
    <row r="1960" spans="1:50">
      <c r="A1960" s="1" t="s">
        <v>126</v>
      </c>
      <c r="B1960" t="s">
        <v>163</v>
      </c>
      <c r="C1960" t="s">
        <v>5170</v>
      </c>
      <c r="D1960" t="s">
        <v>245</v>
      </c>
      <c r="F1960" t="s">
        <v>7572</v>
      </c>
      <c r="G1960" t="s">
        <v>6919</v>
      </c>
      <c r="H1960" t="s">
        <v>9627</v>
      </c>
      <c r="I1960" t="s">
        <v>11321</v>
      </c>
      <c r="J1960" t="s">
        <v>1641</v>
      </c>
      <c r="K1960">
        <v>10451</v>
      </c>
      <c r="L1960" t="s">
        <v>1670</v>
      </c>
      <c r="M1960" t="s">
        <v>1670</v>
      </c>
      <c r="N1960" t="s">
        <v>11981</v>
      </c>
      <c r="O1960" t="s">
        <v>1939</v>
      </c>
      <c r="P1960" t="s">
        <v>1960</v>
      </c>
      <c r="R1960" t="s">
        <v>50</v>
      </c>
      <c r="S1960" t="s">
        <v>1670</v>
      </c>
      <c r="U1960" t="s">
        <v>1972</v>
      </c>
      <c r="W1960" t="s">
        <v>359</v>
      </c>
      <c r="X1960">
        <v>1000</v>
      </c>
      <c r="Y1960" t="s">
        <v>2006</v>
      </c>
      <c r="Z1960" t="s">
        <v>2015</v>
      </c>
      <c r="AB1960" t="s">
        <v>14423</v>
      </c>
      <c r="AD1960" t="s">
        <v>16834</v>
      </c>
      <c r="AE1960">
        <v>100</v>
      </c>
      <c r="AF1960" t="s">
        <v>2902</v>
      </c>
      <c r="AG1960" t="s">
        <v>1754</v>
      </c>
      <c r="AH1960">
        <v>19</v>
      </c>
      <c r="AI1960">
        <v>1</v>
      </c>
      <c r="AJ1960">
        <v>0</v>
      </c>
      <c r="AK1960">
        <v>84.12</v>
      </c>
      <c r="AN1960" t="s">
        <v>2927</v>
      </c>
      <c r="AO1960">
        <v>10212</v>
      </c>
      <c r="AU1960">
        <v>3</v>
      </c>
      <c r="AV1960" t="s">
        <v>399</v>
      </c>
      <c r="AW1960" t="s">
        <v>3047</v>
      </c>
    </row>
    <row r="1961" spans="1:50">
      <c r="A1961" s="1" t="s">
        <v>3150</v>
      </c>
      <c r="B1961" t="s">
        <v>163</v>
      </c>
      <c r="C1961" t="s">
        <v>5171</v>
      </c>
      <c r="D1961" t="s">
        <v>6193</v>
      </c>
      <c r="F1961" t="s">
        <v>7573</v>
      </c>
      <c r="G1961" t="s">
        <v>8767</v>
      </c>
      <c r="H1961" t="s">
        <v>10273</v>
      </c>
      <c r="I1961">
        <v>3</v>
      </c>
      <c r="J1961" t="s">
        <v>1644</v>
      </c>
      <c r="K1961">
        <v>11212</v>
      </c>
      <c r="L1961" t="s">
        <v>1670</v>
      </c>
      <c r="M1961" t="s">
        <v>1670</v>
      </c>
      <c r="O1961" t="s">
        <v>1675</v>
      </c>
      <c r="P1961" t="s">
        <v>1959</v>
      </c>
      <c r="R1961" t="s">
        <v>50</v>
      </c>
      <c r="U1961" t="s">
        <v>1972</v>
      </c>
      <c r="W1961" t="s">
        <v>1989</v>
      </c>
      <c r="X1961">
        <v>231.6</v>
      </c>
      <c r="Y1961" t="s">
        <v>2008</v>
      </c>
      <c r="Z1961" t="s">
        <v>2016</v>
      </c>
      <c r="AB1961" t="s">
        <v>14424</v>
      </c>
      <c r="AD1961" t="s">
        <v>16835</v>
      </c>
      <c r="AE1961" t="s">
        <v>13051</v>
      </c>
      <c r="AF1961" t="s">
        <v>2904</v>
      </c>
      <c r="AG1961" t="s">
        <v>1754</v>
      </c>
      <c r="AH1961">
        <v>1</v>
      </c>
      <c r="AI1961">
        <v>1</v>
      </c>
      <c r="AJ1961">
        <v>0</v>
      </c>
      <c r="AK1961">
        <v>84.22</v>
      </c>
      <c r="AN1961" t="s">
        <v>2926</v>
      </c>
      <c r="AO1961">
        <v>10224</v>
      </c>
      <c r="AU1961">
        <v>0.8</v>
      </c>
      <c r="AV1961" t="s">
        <v>6158</v>
      </c>
      <c r="AW1961" t="s">
        <v>3048</v>
      </c>
    </row>
    <row r="1962" spans="1:50">
      <c r="A1962" s="1" t="s">
        <v>115</v>
      </c>
      <c r="B1962" t="s">
        <v>164</v>
      </c>
      <c r="C1962" t="s">
        <v>5172</v>
      </c>
      <c r="D1962" t="s">
        <v>381</v>
      </c>
      <c r="E1962" t="s">
        <v>286</v>
      </c>
      <c r="F1962" t="s">
        <v>438</v>
      </c>
      <c r="G1962" t="s">
        <v>848</v>
      </c>
      <c r="H1962" t="s">
        <v>10274</v>
      </c>
      <c r="I1962" t="s">
        <v>1602</v>
      </c>
      <c r="J1962" t="s">
        <v>1641</v>
      </c>
      <c r="K1962">
        <v>10452</v>
      </c>
      <c r="L1962" t="s">
        <v>1670</v>
      </c>
      <c r="M1962" t="s">
        <v>1670</v>
      </c>
      <c r="O1962" t="s">
        <v>1675</v>
      </c>
      <c r="P1962" t="s">
        <v>1958</v>
      </c>
      <c r="Q1962" t="s">
        <v>1965</v>
      </c>
      <c r="R1962" t="s">
        <v>50</v>
      </c>
      <c r="S1962" t="s">
        <v>1671</v>
      </c>
      <c r="U1962" t="s">
        <v>1972</v>
      </c>
      <c r="W1962" t="s">
        <v>381</v>
      </c>
      <c r="X1962">
        <v>786.4</v>
      </c>
      <c r="Y1962" t="s">
        <v>2006</v>
      </c>
      <c r="Z1962" t="s">
        <v>2015</v>
      </c>
      <c r="AA1962" t="s">
        <v>2029</v>
      </c>
      <c r="AB1962" t="s">
        <v>14425</v>
      </c>
      <c r="AE1962">
        <v>72</v>
      </c>
      <c r="AF1962" t="s">
        <v>2902</v>
      </c>
      <c r="AG1962" t="s">
        <v>2915</v>
      </c>
      <c r="AH1962">
        <v>33</v>
      </c>
      <c r="AI1962">
        <v>1</v>
      </c>
      <c r="AJ1962">
        <v>0</v>
      </c>
      <c r="AK1962">
        <v>84.36</v>
      </c>
      <c r="AN1962" t="s">
        <v>2927</v>
      </c>
      <c r="AO1962">
        <v>10536</v>
      </c>
      <c r="AU1962">
        <v>1.3</v>
      </c>
      <c r="AV1962" t="s">
        <v>286</v>
      </c>
      <c r="AW1962" t="s">
        <v>115</v>
      </c>
    </row>
    <row r="1963" spans="1:50">
      <c r="A1963" s="1" t="s">
        <v>57</v>
      </c>
      <c r="B1963" t="s">
        <v>163</v>
      </c>
      <c r="C1963" t="s">
        <v>5173</v>
      </c>
      <c r="D1963" t="s">
        <v>313</v>
      </c>
      <c r="F1963" t="s">
        <v>724</v>
      </c>
      <c r="G1963" t="s">
        <v>870</v>
      </c>
      <c r="H1963" t="s">
        <v>1112</v>
      </c>
      <c r="I1963" t="s">
        <v>11322</v>
      </c>
      <c r="J1963" t="s">
        <v>1641</v>
      </c>
      <c r="K1963">
        <v>10453</v>
      </c>
      <c r="L1963" t="s">
        <v>1670</v>
      </c>
      <c r="M1963" t="s">
        <v>1670</v>
      </c>
      <c r="O1963" t="s">
        <v>1938</v>
      </c>
      <c r="P1963" t="s">
        <v>1961</v>
      </c>
      <c r="R1963" t="s">
        <v>50</v>
      </c>
      <c r="S1963" t="s">
        <v>1670</v>
      </c>
      <c r="U1963" t="s">
        <v>1972</v>
      </c>
      <c r="W1963" t="s">
        <v>283</v>
      </c>
      <c r="X1963">
        <v>1270</v>
      </c>
      <c r="Y1963" t="s">
        <v>2006</v>
      </c>
      <c r="Z1963" t="s">
        <v>2015</v>
      </c>
      <c r="AB1963" t="s">
        <v>14426</v>
      </c>
      <c r="AE1963">
        <v>170</v>
      </c>
      <c r="AF1963" t="s">
        <v>2902</v>
      </c>
      <c r="AG1963" t="s">
        <v>2915</v>
      </c>
      <c r="AH1963">
        <v>8</v>
      </c>
      <c r="AI1963">
        <v>1</v>
      </c>
      <c r="AJ1963">
        <v>0</v>
      </c>
      <c r="AK1963">
        <v>84.36</v>
      </c>
      <c r="AN1963" t="s">
        <v>2927</v>
      </c>
      <c r="AO1963">
        <v>10536</v>
      </c>
      <c r="AU1963" t="s">
        <v>13051</v>
      </c>
      <c r="AW1963" t="s">
        <v>3047</v>
      </c>
    </row>
    <row r="1964" spans="1:50">
      <c r="A1964" s="1" t="s">
        <v>57</v>
      </c>
      <c r="B1964" t="s">
        <v>163</v>
      </c>
      <c r="C1964" t="s">
        <v>5174</v>
      </c>
      <c r="D1964" t="s">
        <v>313</v>
      </c>
      <c r="F1964" t="s">
        <v>724</v>
      </c>
      <c r="G1964" t="s">
        <v>870</v>
      </c>
      <c r="H1964" t="s">
        <v>1112</v>
      </c>
      <c r="I1964" t="s">
        <v>11322</v>
      </c>
      <c r="J1964" t="s">
        <v>1641</v>
      </c>
      <c r="K1964">
        <v>10453</v>
      </c>
      <c r="L1964" t="s">
        <v>1670</v>
      </c>
      <c r="M1964" t="s">
        <v>1670</v>
      </c>
      <c r="N1964" t="s">
        <v>1677</v>
      </c>
      <c r="O1964" t="s">
        <v>1939</v>
      </c>
      <c r="P1964" t="s">
        <v>1960</v>
      </c>
      <c r="R1964" t="s">
        <v>50</v>
      </c>
      <c r="S1964" t="s">
        <v>1670</v>
      </c>
      <c r="U1964" t="s">
        <v>1972</v>
      </c>
      <c r="W1964" t="s">
        <v>283</v>
      </c>
      <c r="X1964">
        <v>1270</v>
      </c>
      <c r="Y1964" t="s">
        <v>2006</v>
      </c>
      <c r="Z1964" t="s">
        <v>2015</v>
      </c>
      <c r="AB1964" t="s">
        <v>14426</v>
      </c>
      <c r="AE1964">
        <v>170</v>
      </c>
      <c r="AF1964" t="s">
        <v>2902</v>
      </c>
      <c r="AG1964" t="s">
        <v>2915</v>
      </c>
      <c r="AH1964">
        <v>8</v>
      </c>
      <c r="AI1964">
        <v>1</v>
      </c>
      <c r="AJ1964">
        <v>0</v>
      </c>
      <c r="AK1964">
        <v>84.36</v>
      </c>
      <c r="AN1964" t="s">
        <v>2927</v>
      </c>
      <c r="AO1964">
        <v>10536</v>
      </c>
      <c r="AU1964" t="s">
        <v>13051</v>
      </c>
      <c r="AW1964" t="s">
        <v>3047</v>
      </c>
    </row>
    <row r="1965" spans="1:50">
      <c r="A1965" s="1" t="s">
        <v>3175</v>
      </c>
      <c r="B1965" t="s">
        <v>164</v>
      </c>
      <c r="C1965" t="s">
        <v>5175</v>
      </c>
      <c r="D1965" t="s">
        <v>323</v>
      </c>
      <c r="E1965" t="s">
        <v>225</v>
      </c>
      <c r="F1965" t="s">
        <v>7574</v>
      </c>
      <c r="G1965" t="s">
        <v>8768</v>
      </c>
      <c r="H1965" t="s">
        <v>10275</v>
      </c>
      <c r="I1965">
        <v>905</v>
      </c>
      <c r="J1965" t="s">
        <v>1658</v>
      </c>
      <c r="K1965">
        <v>11415</v>
      </c>
      <c r="L1965" t="s">
        <v>1670</v>
      </c>
      <c r="M1965" t="s">
        <v>1670</v>
      </c>
      <c r="N1965" t="s">
        <v>12412</v>
      </c>
      <c r="O1965" t="s">
        <v>1940</v>
      </c>
      <c r="P1965" t="s">
        <v>1958</v>
      </c>
      <c r="Q1965" t="s">
        <v>1965</v>
      </c>
      <c r="R1965" t="s">
        <v>50</v>
      </c>
      <c r="S1965" t="s">
        <v>1671</v>
      </c>
      <c r="U1965" t="s">
        <v>1972</v>
      </c>
      <c r="V1965" t="s">
        <v>1983</v>
      </c>
      <c r="W1965" t="s">
        <v>323</v>
      </c>
      <c r="X1965">
        <v>633</v>
      </c>
      <c r="Y1965" t="s">
        <v>2007</v>
      </c>
      <c r="Z1965" t="s">
        <v>2014</v>
      </c>
      <c r="AA1965" t="s">
        <v>2029</v>
      </c>
      <c r="AB1965" t="s">
        <v>14427</v>
      </c>
      <c r="AC1965" t="s">
        <v>15238</v>
      </c>
      <c r="AD1965" t="s">
        <v>16836</v>
      </c>
      <c r="AE1965">
        <v>100</v>
      </c>
      <c r="AF1965" t="s">
        <v>2906</v>
      </c>
      <c r="AG1965" t="s">
        <v>1754</v>
      </c>
      <c r="AH1965">
        <v>29</v>
      </c>
      <c r="AI1965">
        <v>1</v>
      </c>
      <c r="AJ1965">
        <v>0</v>
      </c>
      <c r="AK1965">
        <v>84.42</v>
      </c>
      <c r="AN1965" t="s">
        <v>2926</v>
      </c>
      <c r="AO1965">
        <v>10248</v>
      </c>
      <c r="AU1965">
        <v>1.75</v>
      </c>
      <c r="AV1965" t="s">
        <v>225</v>
      </c>
      <c r="AW1965" t="s">
        <v>3044</v>
      </c>
    </row>
    <row r="1966" spans="1:50">
      <c r="A1966" s="1" t="s">
        <v>97</v>
      </c>
      <c r="B1966" t="s">
        <v>164</v>
      </c>
      <c r="C1966" t="s">
        <v>5176</v>
      </c>
      <c r="D1966" t="s">
        <v>6194</v>
      </c>
      <c r="E1966" t="s">
        <v>306</v>
      </c>
      <c r="F1966" t="s">
        <v>7241</v>
      </c>
      <c r="G1966" t="s">
        <v>843</v>
      </c>
      <c r="H1966" t="s">
        <v>10276</v>
      </c>
      <c r="I1966">
        <v>53</v>
      </c>
      <c r="J1966" t="s">
        <v>1643</v>
      </c>
      <c r="K1966">
        <v>10034</v>
      </c>
      <c r="L1966" t="s">
        <v>1670</v>
      </c>
      <c r="M1966" t="s">
        <v>1670</v>
      </c>
      <c r="O1966" t="s">
        <v>1675</v>
      </c>
      <c r="P1966" t="s">
        <v>1962</v>
      </c>
      <c r="Q1966" t="s">
        <v>1968</v>
      </c>
      <c r="R1966" t="s">
        <v>50</v>
      </c>
      <c r="S1966" t="s">
        <v>1671</v>
      </c>
      <c r="U1966" t="s">
        <v>1972</v>
      </c>
      <c r="W1966" t="s">
        <v>1990</v>
      </c>
      <c r="X1966">
        <v>310.58</v>
      </c>
      <c r="Y1966" t="s">
        <v>2008</v>
      </c>
      <c r="Z1966" t="s">
        <v>2027</v>
      </c>
      <c r="AA1966" t="s">
        <v>2030</v>
      </c>
      <c r="AB1966" t="s">
        <v>14428</v>
      </c>
      <c r="AE1966">
        <v>20</v>
      </c>
      <c r="AF1966" t="s">
        <v>2908</v>
      </c>
      <c r="AG1966" t="s">
        <v>2919</v>
      </c>
      <c r="AH1966">
        <v>39</v>
      </c>
      <c r="AI1966">
        <v>1</v>
      </c>
      <c r="AJ1966">
        <v>0</v>
      </c>
      <c r="AK1966">
        <v>84.48</v>
      </c>
      <c r="AN1966" t="s">
        <v>2927</v>
      </c>
      <c r="AO1966">
        <v>10188</v>
      </c>
      <c r="AU1966">
        <v>2.7</v>
      </c>
      <c r="AV1966" t="s">
        <v>18648</v>
      </c>
      <c r="AW1966" t="s">
        <v>18674</v>
      </c>
      <c r="AX1966" t="s">
        <v>18685</v>
      </c>
    </row>
    <row r="1967" spans="1:50">
      <c r="A1967" s="1" t="s">
        <v>116</v>
      </c>
      <c r="B1967" t="s">
        <v>163</v>
      </c>
      <c r="C1967" t="s">
        <v>5177</v>
      </c>
      <c r="D1967" t="s">
        <v>221</v>
      </c>
      <c r="F1967" t="s">
        <v>7526</v>
      </c>
      <c r="G1967" t="s">
        <v>8710</v>
      </c>
      <c r="H1967" t="s">
        <v>10192</v>
      </c>
      <c r="I1967" t="s">
        <v>11292</v>
      </c>
      <c r="J1967" t="s">
        <v>1643</v>
      </c>
      <c r="K1967">
        <v>10029</v>
      </c>
      <c r="L1967" t="s">
        <v>1670</v>
      </c>
      <c r="M1967" t="s">
        <v>1670</v>
      </c>
      <c r="O1967" t="s">
        <v>1675</v>
      </c>
      <c r="P1967" t="s">
        <v>1963</v>
      </c>
      <c r="R1967" t="s">
        <v>50</v>
      </c>
      <c r="S1967" t="s">
        <v>1671</v>
      </c>
      <c r="U1967" t="s">
        <v>1972</v>
      </c>
      <c r="V1967" t="s">
        <v>1984</v>
      </c>
      <c r="W1967" t="s">
        <v>294</v>
      </c>
      <c r="X1967">
        <v>1500</v>
      </c>
      <c r="Y1967" t="s">
        <v>2008</v>
      </c>
      <c r="Z1967" t="s">
        <v>2013</v>
      </c>
      <c r="AB1967" t="s">
        <v>14303</v>
      </c>
      <c r="AD1967" t="s">
        <v>16723</v>
      </c>
      <c r="AE1967">
        <v>8</v>
      </c>
      <c r="AF1967" t="s">
        <v>2904</v>
      </c>
      <c r="AG1967" t="s">
        <v>1754</v>
      </c>
      <c r="AH1967">
        <v>18</v>
      </c>
      <c r="AI1967">
        <v>1</v>
      </c>
      <c r="AJ1967">
        <v>0</v>
      </c>
      <c r="AK1967">
        <v>84.55</v>
      </c>
      <c r="AN1967" t="s">
        <v>2927</v>
      </c>
      <c r="AO1967">
        <v>10560</v>
      </c>
      <c r="AU1967">
        <v>5.5</v>
      </c>
      <c r="AV1967" t="s">
        <v>186</v>
      </c>
      <c r="AW1967" t="s">
        <v>3052</v>
      </c>
    </row>
    <row r="1968" spans="1:50">
      <c r="A1968" s="1" t="s">
        <v>97</v>
      </c>
      <c r="B1968" t="s">
        <v>163</v>
      </c>
      <c r="C1968" t="s">
        <v>5178</v>
      </c>
      <c r="D1968" t="s">
        <v>217</v>
      </c>
      <c r="F1968" t="s">
        <v>427</v>
      </c>
      <c r="G1968" t="s">
        <v>848</v>
      </c>
      <c r="H1968" t="s">
        <v>1271</v>
      </c>
      <c r="I1968" t="s">
        <v>1506</v>
      </c>
      <c r="J1968" t="s">
        <v>1643</v>
      </c>
      <c r="K1968">
        <v>10034</v>
      </c>
      <c r="L1968" t="s">
        <v>1670</v>
      </c>
      <c r="M1968" t="s">
        <v>1672</v>
      </c>
      <c r="N1968" t="s">
        <v>12413</v>
      </c>
      <c r="O1968" t="s">
        <v>1936</v>
      </c>
      <c r="P1968" t="s">
        <v>1962</v>
      </c>
      <c r="R1968" t="s">
        <v>51</v>
      </c>
      <c r="S1968" t="s">
        <v>1671</v>
      </c>
      <c r="U1968" t="s">
        <v>1972</v>
      </c>
      <c r="W1968" t="s">
        <v>1989</v>
      </c>
      <c r="X1968" t="s">
        <v>13051</v>
      </c>
      <c r="Y1968" t="s">
        <v>2008</v>
      </c>
      <c r="Z1968" t="s">
        <v>2013</v>
      </c>
      <c r="AB1968" t="s">
        <v>14429</v>
      </c>
      <c r="AD1968" t="s">
        <v>16837</v>
      </c>
      <c r="AE1968">
        <v>44</v>
      </c>
      <c r="AF1968" t="s">
        <v>2902</v>
      </c>
      <c r="AG1968" t="s">
        <v>1754</v>
      </c>
      <c r="AH1968">
        <v>33</v>
      </c>
      <c r="AI1968">
        <v>1</v>
      </c>
      <c r="AJ1968">
        <v>0</v>
      </c>
      <c r="AK1968">
        <v>84.55</v>
      </c>
      <c r="AL1968" t="s">
        <v>2923</v>
      </c>
      <c r="AM1968" t="s">
        <v>2924</v>
      </c>
      <c r="AN1968" t="s">
        <v>2927</v>
      </c>
      <c r="AO1968">
        <v>10560</v>
      </c>
      <c r="AU1968">
        <v>1</v>
      </c>
      <c r="AV1968" t="s">
        <v>272</v>
      </c>
      <c r="AW1968" t="s">
        <v>3065</v>
      </c>
      <c r="AX1968" t="s">
        <v>18685</v>
      </c>
    </row>
    <row r="1969" spans="1:50">
      <c r="A1969" s="1" t="s">
        <v>3170</v>
      </c>
      <c r="B1969" t="s">
        <v>163</v>
      </c>
      <c r="C1969" t="s">
        <v>5179</v>
      </c>
      <c r="D1969" t="s">
        <v>206</v>
      </c>
      <c r="F1969" t="s">
        <v>458</v>
      </c>
      <c r="G1969" t="s">
        <v>8123</v>
      </c>
      <c r="H1969" t="s">
        <v>10277</v>
      </c>
      <c r="I1969" t="s">
        <v>1501</v>
      </c>
      <c r="J1969" t="s">
        <v>1643</v>
      </c>
      <c r="K1969">
        <v>10023</v>
      </c>
      <c r="L1969" t="s">
        <v>1670</v>
      </c>
      <c r="M1969" t="s">
        <v>1672</v>
      </c>
      <c r="N1969" t="s">
        <v>12414</v>
      </c>
      <c r="O1969" t="s">
        <v>1936</v>
      </c>
      <c r="P1969" t="s">
        <v>1963</v>
      </c>
      <c r="R1969" t="s">
        <v>50</v>
      </c>
      <c r="S1969" t="s">
        <v>1671</v>
      </c>
      <c r="U1969" t="s">
        <v>1972</v>
      </c>
      <c r="V1969" t="s">
        <v>1984</v>
      </c>
      <c r="W1969" t="s">
        <v>206</v>
      </c>
      <c r="X1969">
        <v>364.74</v>
      </c>
      <c r="Y1969" t="s">
        <v>2008</v>
      </c>
      <c r="Z1969" t="s">
        <v>2019</v>
      </c>
      <c r="AB1969" t="s">
        <v>14430</v>
      </c>
      <c r="AD1969" t="s">
        <v>16838</v>
      </c>
      <c r="AE1969" t="s">
        <v>13051</v>
      </c>
      <c r="AF1969" t="s">
        <v>2902</v>
      </c>
      <c r="AG1969" t="s">
        <v>1754</v>
      </c>
      <c r="AH1969">
        <v>44</v>
      </c>
      <c r="AI1969">
        <v>1</v>
      </c>
      <c r="AJ1969">
        <v>0</v>
      </c>
      <c r="AK1969">
        <v>84.64</v>
      </c>
      <c r="AN1969" t="s">
        <v>2926</v>
      </c>
      <c r="AO1969">
        <v>10572</v>
      </c>
      <c r="AU1969">
        <v>0.6</v>
      </c>
      <c r="AV1969" t="s">
        <v>206</v>
      </c>
      <c r="AW1969" t="s">
        <v>3051</v>
      </c>
      <c r="AX1969" t="s">
        <v>18685</v>
      </c>
    </row>
    <row r="1970" spans="1:50">
      <c r="A1970" s="1" t="s">
        <v>130</v>
      </c>
      <c r="B1970" t="s">
        <v>164</v>
      </c>
      <c r="C1970" t="s">
        <v>5180</v>
      </c>
      <c r="D1970" t="s">
        <v>209</v>
      </c>
      <c r="E1970" t="s">
        <v>206</v>
      </c>
      <c r="F1970" t="s">
        <v>7575</v>
      </c>
      <c r="G1970" t="s">
        <v>8769</v>
      </c>
      <c r="H1970" t="s">
        <v>9932</v>
      </c>
      <c r="I1970" t="s">
        <v>11323</v>
      </c>
      <c r="J1970" t="s">
        <v>1644</v>
      </c>
      <c r="K1970">
        <v>11221</v>
      </c>
      <c r="L1970" t="s">
        <v>1670</v>
      </c>
      <c r="M1970" t="s">
        <v>1670</v>
      </c>
      <c r="O1970" t="s">
        <v>1675</v>
      </c>
      <c r="P1970" t="s">
        <v>1962</v>
      </c>
      <c r="Q1970" t="s">
        <v>1968</v>
      </c>
      <c r="R1970" t="s">
        <v>50</v>
      </c>
      <c r="S1970" t="s">
        <v>1670</v>
      </c>
      <c r="U1970" t="s">
        <v>1972</v>
      </c>
      <c r="W1970" t="s">
        <v>360</v>
      </c>
      <c r="X1970">
        <v>1500</v>
      </c>
      <c r="Y1970" t="s">
        <v>2009</v>
      </c>
      <c r="Z1970" t="s">
        <v>2016</v>
      </c>
      <c r="AA1970" t="s">
        <v>2030</v>
      </c>
      <c r="AB1970" t="s">
        <v>13785</v>
      </c>
      <c r="AD1970" t="s">
        <v>16839</v>
      </c>
      <c r="AE1970">
        <v>54</v>
      </c>
      <c r="AF1970" t="s">
        <v>2907</v>
      </c>
      <c r="AG1970" t="s">
        <v>2017</v>
      </c>
      <c r="AH1970">
        <v>12</v>
      </c>
      <c r="AI1970">
        <v>1</v>
      </c>
      <c r="AJ1970">
        <v>0</v>
      </c>
      <c r="AK1970">
        <v>84.70999999999999</v>
      </c>
      <c r="AN1970" t="s">
        <v>2927</v>
      </c>
      <c r="AO1970">
        <v>10284</v>
      </c>
      <c r="AP1970" t="s">
        <v>18294</v>
      </c>
      <c r="AU1970">
        <v>2.2</v>
      </c>
      <c r="AV1970" t="s">
        <v>381</v>
      </c>
      <c r="AW1970" t="s">
        <v>3060</v>
      </c>
      <c r="AX1970" t="s">
        <v>18685</v>
      </c>
    </row>
    <row r="1971" spans="1:50">
      <c r="A1971" s="1" t="s">
        <v>119</v>
      </c>
      <c r="B1971" t="s">
        <v>163</v>
      </c>
      <c r="C1971" t="s">
        <v>5181</v>
      </c>
      <c r="D1971" t="s">
        <v>300</v>
      </c>
      <c r="F1971" t="s">
        <v>7576</v>
      </c>
      <c r="G1971" t="s">
        <v>8770</v>
      </c>
      <c r="H1971" t="s">
        <v>10278</v>
      </c>
      <c r="I1971" t="s">
        <v>11324</v>
      </c>
      <c r="J1971" t="s">
        <v>1644</v>
      </c>
      <c r="K1971">
        <v>11239</v>
      </c>
      <c r="L1971" t="s">
        <v>1670</v>
      </c>
      <c r="M1971" t="s">
        <v>1670</v>
      </c>
      <c r="N1971" t="s">
        <v>12415</v>
      </c>
      <c r="O1971" t="s">
        <v>1940</v>
      </c>
      <c r="P1971" t="s">
        <v>1960</v>
      </c>
      <c r="R1971" t="s">
        <v>50</v>
      </c>
      <c r="S1971" t="s">
        <v>1671</v>
      </c>
      <c r="U1971" t="s">
        <v>1972</v>
      </c>
      <c r="W1971" t="s">
        <v>352</v>
      </c>
      <c r="X1971" t="s">
        <v>13051</v>
      </c>
      <c r="Y1971" t="s">
        <v>2009</v>
      </c>
      <c r="Z1971" t="s">
        <v>2014</v>
      </c>
      <c r="AB1971" t="s">
        <v>14431</v>
      </c>
      <c r="AD1971" t="s">
        <v>16840</v>
      </c>
      <c r="AE1971">
        <v>1463</v>
      </c>
      <c r="AF1971" t="s">
        <v>2909</v>
      </c>
      <c r="AG1971" t="s">
        <v>2915</v>
      </c>
      <c r="AH1971">
        <v>43</v>
      </c>
      <c r="AI1971">
        <v>1</v>
      </c>
      <c r="AJ1971">
        <v>0</v>
      </c>
      <c r="AK1971">
        <v>84.70999999999999</v>
      </c>
      <c r="AN1971" t="s">
        <v>2926</v>
      </c>
      <c r="AO1971">
        <v>10284</v>
      </c>
      <c r="AP1971" t="s">
        <v>18059</v>
      </c>
      <c r="AU1971">
        <v>38.92</v>
      </c>
      <c r="AV1971" t="s">
        <v>379</v>
      </c>
      <c r="AW1971" t="s">
        <v>3079</v>
      </c>
    </row>
    <row r="1972" spans="1:50">
      <c r="A1972" s="1" t="s">
        <v>107</v>
      </c>
      <c r="B1972" t="s">
        <v>163</v>
      </c>
      <c r="C1972" t="s">
        <v>5182</v>
      </c>
      <c r="D1972" t="s">
        <v>281</v>
      </c>
      <c r="F1972" t="s">
        <v>419</v>
      </c>
      <c r="G1972" t="s">
        <v>8771</v>
      </c>
      <c r="H1972" t="s">
        <v>9379</v>
      </c>
      <c r="I1972" t="s">
        <v>1570</v>
      </c>
      <c r="J1972" t="s">
        <v>1644</v>
      </c>
      <c r="K1972">
        <v>11208</v>
      </c>
      <c r="L1972" t="s">
        <v>1670</v>
      </c>
      <c r="M1972" t="s">
        <v>1670</v>
      </c>
      <c r="N1972" t="s">
        <v>12416</v>
      </c>
      <c r="O1972" t="s">
        <v>1936</v>
      </c>
      <c r="P1972" t="s">
        <v>1960</v>
      </c>
      <c r="R1972" t="s">
        <v>50</v>
      </c>
      <c r="U1972" t="s">
        <v>1972</v>
      </c>
      <c r="W1972" t="s">
        <v>6186</v>
      </c>
      <c r="X1972">
        <v>1375</v>
      </c>
      <c r="Y1972" t="s">
        <v>2009</v>
      </c>
      <c r="Z1972" t="s">
        <v>2014</v>
      </c>
      <c r="AB1972" t="s">
        <v>14432</v>
      </c>
      <c r="AC1972" t="s">
        <v>15239</v>
      </c>
      <c r="AD1972" t="s">
        <v>16841</v>
      </c>
      <c r="AE1972">
        <v>56</v>
      </c>
      <c r="AF1972" t="s">
        <v>2902</v>
      </c>
      <c r="AH1972">
        <v>9</v>
      </c>
      <c r="AI1972">
        <v>1</v>
      </c>
      <c r="AJ1972">
        <v>0</v>
      </c>
      <c r="AK1972">
        <v>84.70999999999999</v>
      </c>
      <c r="AN1972" t="s">
        <v>2926</v>
      </c>
      <c r="AO1972">
        <v>10284</v>
      </c>
      <c r="AP1972" t="s">
        <v>2948</v>
      </c>
      <c r="AU1972">
        <v>46.4</v>
      </c>
      <c r="AV1972" t="s">
        <v>400</v>
      </c>
      <c r="AW1972" t="s">
        <v>3049</v>
      </c>
    </row>
    <row r="1973" spans="1:50">
      <c r="A1973" s="1" t="s">
        <v>105</v>
      </c>
      <c r="B1973" t="s">
        <v>163</v>
      </c>
      <c r="C1973" t="s">
        <v>5183</v>
      </c>
      <c r="D1973" t="s">
        <v>267</v>
      </c>
      <c r="F1973" t="s">
        <v>7236</v>
      </c>
      <c r="G1973" t="s">
        <v>7593</v>
      </c>
      <c r="H1973" t="s">
        <v>1312</v>
      </c>
      <c r="I1973" t="s">
        <v>1502</v>
      </c>
      <c r="J1973" t="s">
        <v>1641</v>
      </c>
      <c r="K1973">
        <v>10459</v>
      </c>
      <c r="L1973" t="s">
        <v>1670</v>
      </c>
      <c r="M1973" t="s">
        <v>1670</v>
      </c>
      <c r="O1973" t="s">
        <v>1939</v>
      </c>
      <c r="P1973" t="s">
        <v>1960</v>
      </c>
      <c r="R1973" t="s">
        <v>50</v>
      </c>
      <c r="S1973" t="s">
        <v>1670</v>
      </c>
      <c r="U1973" t="s">
        <v>1972</v>
      </c>
      <c r="W1973" t="s">
        <v>307</v>
      </c>
      <c r="X1973">
        <v>1200</v>
      </c>
      <c r="Y1973" t="s">
        <v>2006</v>
      </c>
      <c r="Z1973" t="s">
        <v>2015</v>
      </c>
      <c r="AB1973" t="s">
        <v>14433</v>
      </c>
      <c r="AD1973" t="s">
        <v>16842</v>
      </c>
      <c r="AE1973">
        <v>48</v>
      </c>
      <c r="AF1973" t="s">
        <v>2902</v>
      </c>
      <c r="AG1973" t="s">
        <v>2915</v>
      </c>
      <c r="AH1973">
        <v>31</v>
      </c>
      <c r="AI1973">
        <v>1</v>
      </c>
      <c r="AJ1973">
        <v>0</v>
      </c>
      <c r="AK1973">
        <v>84.70999999999999</v>
      </c>
      <c r="AN1973" t="s">
        <v>2926</v>
      </c>
      <c r="AO1973">
        <v>10284</v>
      </c>
      <c r="AU1973">
        <v>67.2</v>
      </c>
      <c r="AV1973" t="s">
        <v>396</v>
      </c>
      <c r="AW1973" t="s">
        <v>3047</v>
      </c>
    </row>
    <row r="1974" spans="1:50">
      <c r="A1974" s="1" t="s">
        <v>126</v>
      </c>
      <c r="B1974" t="s">
        <v>163</v>
      </c>
      <c r="C1974" t="s">
        <v>5184</v>
      </c>
      <c r="D1974" t="s">
        <v>245</v>
      </c>
      <c r="F1974" t="s">
        <v>7512</v>
      </c>
      <c r="G1974" t="s">
        <v>835</v>
      </c>
      <c r="H1974" t="s">
        <v>9627</v>
      </c>
      <c r="I1974" t="s">
        <v>11325</v>
      </c>
      <c r="J1974" t="s">
        <v>1641</v>
      </c>
      <c r="K1974">
        <v>10451</v>
      </c>
      <c r="L1974" t="s">
        <v>1670</v>
      </c>
      <c r="M1974" t="s">
        <v>1670</v>
      </c>
      <c r="N1974" t="s">
        <v>11981</v>
      </c>
      <c r="O1974" t="s">
        <v>1939</v>
      </c>
      <c r="P1974" t="s">
        <v>1960</v>
      </c>
      <c r="R1974" t="s">
        <v>50</v>
      </c>
      <c r="S1974" t="s">
        <v>1670</v>
      </c>
      <c r="U1974" t="s">
        <v>1972</v>
      </c>
      <c r="W1974" t="s">
        <v>359</v>
      </c>
      <c r="X1974">
        <v>1212.06</v>
      </c>
      <c r="Y1974" t="s">
        <v>2006</v>
      </c>
      <c r="Z1974" t="s">
        <v>2015</v>
      </c>
      <c r="AB1974" t="s">
        <v>14261</v>
      </c>
      <c r="AD1974" t="s">
        <v>16686</v>
      </c>
      <c r="AE1974">
        <v>100</v>
      </c>
      <c r="AF1974" t="s">
        <v>2902</v>
      </c>
      <c r="AG1974" t="s">
        <v>1754</v>
      </c>
      <c r="AH1974">
        <v>11</v>
      </c>
      <c r="AI1974">
        <v>1</v>
      </c>
      <c r="AJ1974">
        <v>0</v>
      </c>
      <c r="AK1974">
        <v>84.70999999999999</v>
      </c>
      <c r="AN1974" t="s">
        <v>2927</v>
      </c>
      <c r="AO1974">
        <v>10284</v>
      </c>
      <c r="AU1974">
        <v>4.3</v>
      </c>
      <c r="AV1974" t="s">
        <v>256</v>
      </c>
      <c r="AW1974" t="s">
        <v>3047</v>
      </c>
    </row>
    <row r="1975" spans="1:50">
      <c r="A1975" s="1" t="s">
        <v>118</v>
      </c>
      <c r="B1975" t="s">
        <v>163</v>
      </c>
      <c r="C1975" t="s">
        <v>5185</v>
      </c>
      <c r="D1975" t="s">
        <v>404</v>
      </c>
      <c r="F1975" t="s">
        <v>508</v>
      </c>
      <c r="G1975" t="s">
        <v>7087</v>
      </c>
      <c r="H1975" t="s">
        <v>9397</v>
      </c>
      <c r="I1975" t="s">
        <v>1486</v>
      </c>
      <c r="J1975" t="s">
        <v>1641</v>
      </c>
      <c r="K1975">
        <v>10452</v>
      </c>
      <c r="L1975" t="s">
        <v>1670</v>
      </c>
      <c r="M1975" t="s">
        <v>1672</v>
      </c>
      <c r="O1975" t="s">
        <v>1938</v>
      </c>
      <c r="P1975" t="s">
        <v>1960</v>
      </c>
      <c r="R1975" t="s">
        <v>50</v>
      </c>
      <c r="S1975" t="s">
        <v>1670</v>
      </c>
      <c r="U1975" t="s">
        <v>1972</v>
      </c>
      <c r="W1975" t="s">
        <v>1991</v>
      </c>
      <c r="X1975">
        <v>1200</v>
      </c>
      <c r="Y1975" t="s">
        <v>2006</v>
      </c>
      <c r="Z1975" t="s">
        <v>2016</v>
      </c>
      <c r="AB1975" t="s">
        <v>14434</v>
      </c>
      <c r="AE1975">
        <v>52</v>
      </c>
      <c r="AF1975" t="s">
        <v>2902</v>
      </c>
      <c r="AG1975" t="s">
        <v>2921</v>
      </c>
      <c r="AH1975">
        <v>1</v>
      </c>
      <c r="AI1975">
        <v>1</v>
      </c>
      <c r="AJ1975">
        <v>0</v>
      </c>
      <c r="AK1975">
        <v>85.03</v>
      </c>
      <c r="AN1975" t="s">
        <v>2926</v>
      </c>
      <c r="AO1975">
        <v>10620</v>
      </c>
      <c r="AU1975" t="s">
        <v>13051</v>
      </c>
      <c r="AW1975" t="s">
        <v>3045</v>
      </c>
      <c r="AX1975" t="s">
        <v>18685</v>
      </c>
    </row>
    <row r="1976" spans="1:50">
      <c r="A1976" s="1" t="s">
        <v>71</v>
      </c>
      <c r="B1976" t="s">
        <v>163</v>
      </c>
      <c r="C1976" t="s">
        <v>5186</v>
      </c>
      <c r="D1976" t="s">
        <v>363</v>
      </c>
      <c r="F1976" t="s">
        <v>7111</v>
      </c>
      <c r="G1976" t="s">
        <v>8609</v>
      </c>
      <c r="H1976" t="s">
        <v>10279</v>
      </c>
      <c r="I1976" t="s">
        <v>1539</v>
      </c>
      <c r="J1976" t="s">
        <v>1646</v>
      </c>
      <c r="K1976">
        <v>10301</v>
      </c>
      <c r="L1976" t="s">
        <v>1670</v>
      </c>
      <c r="M1976" t="s">
        <v>1670</v>
      </c>
      <c r="N1976" t="s">
        <v>1693</v>
      </c>
      <c r="O1976" t="s">
        <v>1940</v>
      </c>
      <c r="P1976" t="s">
        <v>1962</v>
      </c>
      <c r="R1976" t="s">
        <v>50</v>
      </c>
      <c r="S1976" t="s">
        <v>1671</v>
      </c>
      <c r="U1976" t="s">
        <v>1972</v>
      </c>
      <c r="V1976" t="s">
        <v>1984</v>
      </c>
      <c r="W1976" t="s">
        <v>363</v>
      </c>
      <c r="X1976">
        <v>650</v>
      </c>
      <c r="Y1976" t="s">
        <v>2010</v>
      </c>
      <c r="Z1976" t="s">
        <v>2020</v>
      </c>
      <c r="AB1976" t="s">
        <v>14435</v>
      </c>
      <c r="AD1976" t="s">
        <v>16843</v>
      </c>
      <c r="AE1976">
        <v>19</v>
      </c>
      <c r="AF1976" t="s">
        <v>2902</v>
      </c>
      <c r="AG1976" t="s">
        <v>1754</v>
      </c>
      <c r="AH1976">
        <v>21</v>
      </c>
      <c r="AI1976">
        <v>1</v>
      </c>
      <c r="AJ1976">
        <v>0</v>
      </c>
      <c r="AK1976">
        <v>85.11</v>
      </c>
      <c r="AN1976" t="s">
        <v>2926</v>
      </c>
      <c r="AO1976">
        <v>10332</v>
      </c>
      <c r="AU1976">
        <v>6.1</v>
      </c>
      <c r="AV1976" t="s">
        <v>354</v>
      </c>
      <c r="AW1976" t="s">
        <v>71</v>
      </c>
      <c r="AX1976" t="s">
        <v>18685</v>
      </c>
    </row>
    <row r="1977" spans="1:50">
      <c r="A1977" s="1" t="s">
        <v>133</v>
      </c>
      <c r="B1977" t="s">
        <v>163</v>
      </c>
      <c r="C1977" t="s">
        <v>5187</v>
      </c>
      <c r="D1977" t="s">
        <v>272</v>
      </c>
      <c r="F1977" t="s">
        <v>7577</v>
      </c>
      <c r="G1977" t="s">
        <v>8772</v>
      </c>
      <c r="H1977" t="s">
        <v>1380</v>
      </c>
      <c r="I1977" t="s">
        <v>1581</v>
      </c>
      <c r="J1977" t="s">
        <v>1644</v>
      </c>
      <c r="K1977">
        <v>11213</v>
      </c>
      <c r="L1977" t="s">
        <v>1670</v>
      </c>
      <c r="M1977" t="s">
        <v>1672</v>
      </c>
      <c r="O1977" t="s">
        <v>1675</v>
      </c>
      <c r="P1977" t="s">
        <v>1959</v>
      </c>
      <c r="R1977" t="s">
        <v>50</v>
      </c>
      <c r="S1977" t="s">
        <v>1670</v>
      </c>
      <c r="U1977" t="s">
        <v>1972</v>
      </c>
      <c r="V1977" t="s">
        <v>1984</v>
      </c>
      <c r="W1977" t="s">
        <v>213</v>
      </c>
      <c r="X1977">
        <v>659.52</v>
      </c>
      <c r="Y1977" t="s">
        <v>2009</v>
      </c>
      <c r="Z1977" t="s">
        <v>2015</v>
      </c>
      <c r="AB1977" t="s">
        <v>14436</v>
      </c>
      <c r="AC1977" t="s">
        <v>15240</v>
      </c>
      <c r="AE1977">
        <v>35</v>
      </c>
      <c r="AF1977" t="s">
        <v>2902</v>
      </c>
      <c r="AG1977" t="s">
        <v>1754</v>
      </c>
      <c r="AH1977">
        <v>30</v>
      </c>
      <c r="AI1977">
        <v>2</v>
      </c>
      <c r="AJ1977">
        <v>0</v>
      </c>
      <c r="AK1977">
        <v>85.16</v>
      </c>
      <c r="AN1977" t="s">
        <v>2926</v>
      </c>
      <c r="AO1977">
        <v>14400</v>
      </c>
      <c r="AP1977" t="s">
        <v>18319</v>
      </c>
      <c r="AU1977" t="s">
        <v>13051</v>
      </c>
      <c r="AW1977" t="s">
        <v>3060</v>
      </c>
      <c r="AX1977" t="s">
        <v>18685</v>
      </c>
    </row>
    <row r="1978" spans="1:50">
      <c r="A1978" s="1" t="s">
        <v>57</v>
      </c>
      <c r="B1978" t="s">
        <v>163</v>
      </c>
      <c r="C1978" t="s">
        <v>5188</v>
      </c>
      <c r="D1978" t="s">
        <v>217</v>
      </c>
      <c r="F1978" t="s">
        <v>492</v>
      </c>
      <c r="G1978" t="s">
        <v>8185</v>
      </c>
      <c r="H1978" t="s">
        <v>1193</v>
      </c>
      <c r="I1978" t="s">
        <v>1581</v>
      </c>
      <c r="J1978" t="s">
        <v>1641</v>
      </c>
      <c r="K1978">
        <v>10456</v>
      </c>
      <c r="L1978" t="s">
        <v>1670</v>
      </c>
      <c r="M1978" t="s">
        <v>1670</v>
      </c>
      <c r="O1978" t="s">
        <v>1938</v>
      </c>
      <c r="P1978" t="s">
        <v>1961</v>
      </c>
      <c r="R1978" t="s">
        <v>50</v>
      </c>
      <c r="S1978" t="s">
        <v>1670</v>
      </c>
      <c r="U1978" t="s">
        <v>1972</v>
      </c>
      <c r="V1978" t="s">
        <v>1984</v>
      </c>
      <c r="W1978" t="s">
        <v>213</v>
      </c>
      <c r="X1978">
        <v>1200</v>
      </c>
      <c r="Y1978" t="s">
        <v>2006</v>
      </c>
      <c r="AB1978" t="s">
        <v>13516</v>
      </c>
      <c r="AD1978" t="s">
        <v>16038</v>
      </c>
      <c r="AE1978">
        <v>61</v>
      </c>
      <c r="AF1978" t="s">
        <v>2902</v>
      </c>
      <c r="AH1978" t="s">
        <v>13051</v>
      </c>
      <c r="AI1978">
        <v>2</v>
      </c>
      <c r="AJ1978">
        <v>0</v>
      </c>
      <c r="AK1978">
        <v>85.16</v>
      </c>
      <c r="AN1978" t="s">
        <v>2926</v>
      </c>
      <c r="AO1978">
        <v>14400</v>
      </c>
      <c r="AU1978">
        <v>22.4</v>
      </c>
      <c r="AV1978" t="s">
        <v>1999</v>
      </c>
      <c r="AW1978" t="s">
        <v>57</v>
      </c>
    </row>
    <row r="1979" spans="1:50">
      <c r="A1979" s="1" t="s">
        <v>111</v>
      </c>
      <c r="B1979" t="s">
        <v>164</v>
      </c>
      <c r="C1979" t="s">
        <v>5189</v>
      </c>
      <c r="D1979" t="s">
        <v>322</v>
      </c>
      <c r="E1979" t="s">
        <v>188</v>
      </c>
      <c r="F1979" t="s">
        <v>7578</v>
      </c>
      <c r="G1979" t="s">
        <v>7055</v>
      </c>
      <c r="H1979" t="s">
        <v>10280</v>
      </c>
      <c r="I1979" t="s">
        <v>1488</v>
      </c>
      <c r="J1979" t="s">
        <v>1641</v>
      </c>
      <c r="K1979">
        <v>10472</v>
      </c>
      <c r="L1979" t="s">
        <v>1670</v>
      </c>
      <c r="M1979" t="s">
        <v>1672</v>
      </c>
      <c r="N1979" t="s">
        <v>12417</v>
      </c>
      <c r="O1979" t="s">
        <v>1936</v>
      </c>
      <c r="P1979" t="s">
        <v>1960</v>
      </c>
      <c r="Q1979" t="s">
        <v>1969</v>
      </c>
      <c r="R1979" t="s">
        <v>50</v>
      </c>
      <c r="S1979" t="s">
        <v>1671</v>
      </c>
      <c r="U1979" t="s">
        <v>1972</v>
      </c>
      <c r="V1979" t="s">
        <v>1986</v>
      </c>
      <c r="W1979" t="s">
        <v>1991</v>
      </c>
      <c r="X1979">
        <v>820</v>
      </c>
      <c r="Y1979" t="s">
        <v>2006</v>
      </c>
      <c r="Z1979" t="s">
        <v>2027</v>
      </c>
      <c r="AA1979" t="s">
        <v>2032</v>
      </c>
      <c r="AB1979" t="s">
        <v>14437</v>
      </c>
      <c r="AD1979" t="s">
        <v>16844</v>
      </c>
      <c r="AE1979" t="s">
        <v>13051</v>
      </c>
      <c r="AF1979" t="s">
        <v>2902</v>
      </c>
      <c r="AH1979">
        <v>20</v>
      </c>
      <c r="AI1979">
        <v>2</v>
      </c>
      <c r="AJ1979">
        <v>0</v>
      </c>
      <c r="AK1979">
        <v>85.16</v>
      </c>
      <c r="AO1979">
        <v>14400</v>
      </c>
      <c r="AU1979">
        <v>6</v>
      </c>
      <c r="AV1979" t="s">
        <v>226</v>
      </c>
      <c r="AW1979" t="s">
        <v>111</v>
      </c>
      <c r="AX1979" t="s">
        <v>18685</v>
      </c>
    </row>
    <row r="1980" spans="1:50">
      <c r="A1980" s="1" t="s">
        <v>61</v>
      </c>
      <c r="B1980" t="s">
        <v>163</v>
      </c>
      <c r="C1980" t="s">
        <v>5190</v>
      </c>
      <c r="D1980" t="s">
        <v>364</v>
      </c>
      <c r="F1980" t="s">
        <v>7579</v>
      </c>
      <c r="G1980" t="s">
        <v>8773</v>
      </c>
      <c r="H1980" t="s">
        <v>9387</v>
      </c>
      <c r="I1980" t="s">
        <v>1475</v>
      </c>
      <c r="J1980" t="s">
        <v>1644</v>
      </c>
      <c r="K1980">
        <v>11226</v>
      </c>
      <c r="L1980" t="s">
        <v>1670</v>
      </c>
      <c r="M1980" t="s">
        <v>1672</v>
      </c>
      <c r="N1980" t="s">
        <v>11999</v>
      </c>
      <c r="O1980" t="s">
        <v>1939</v>
      </c>
      <c r="P1980" t="s">
        <v>1960</v>
      </c>
      <c r="R1980" t="s">
        <v>50</v>
      </c>
      <c r="S1980" t="s">
        <v>1670</v>
      </c>
      <c r="U1980" t="s">
        <v>1972</v>
      </c>
      <c r="V1980" t="s">
        <v>1984</v>
      </c>
      <c r="W1980" t="s">
        <v>364</v>
      </c>
      <c r="X1980">
        <v>773.6</v>
      </c>
      <c r="Y1980" t="s">
        <v>2009</v>
      </c>
      <c r="Z1980" t="s">
        <v>2016</v>
      </c>
      <c r="AB1980" t="s">
        <v>14438</v>
      </c>
      <c r="AD1980" t="s">
        <v>16845</v>
      </c>
      <c r="AE1980">
        <v>36</v>
      </c>
      <c r="AF1980" t="s">
        <v>2902</v>
      </c>
      <c r="AH1980">
        <v>65</v>
      </c>
      <c r="AI1980">
        <v>2</v>
      </c>
      <c r="AJ1980">
        <v>0</v>
      </c>
      <c r="AK1980">
        <v>85.16</v>
      </c>
      <c r="AN1980" t="s">
        <v>2926</v>
      </c>
      <c r="AO1980">
        <v>14400</v>
      </c>
      <c r="AU1980">
        <v>23.6</v>
      </c>
      <c r="AV1980" t="s">
        <v>3030</v>
      </c>
      <c r="AW1980" t="s">
        <v>69</v>
      </c>
    </row>
    <row r="1981" spans="1:50">
      <c r="A1981" s="1" t="s">
        <v>74</v>
      </c>
      <c r="B1981" t="s">
        <v>163</v>
      </c>
      <c r="C1981" t="s">
        <v>5191</v>
      </c>
      <c r="D1981" t="s">
        <v>306</v>
      </c>
      <c r="F1981" t="s">
        <v>7387</v>
      </c>
      <c r="G1981" t="s">
        <v>1003</v>
      </c>
      <c r="H1981" t="s">
        <v>1131</v>
      </c>
      <c r="I1981" t="s">
        <v>1548</v>
      </c>
      <c r="J1981" t="s">
        <v>1641</v>
      </c>
      <c r="K1981">
        <v>10460</v>
      </c>
      <c r="L1981" t="s">
        <v>1670</v>
      </c>
      <c r="M1981" t="s">
        <v>1670</v>
      </c>
      <c r="N1981" t="s">
        <v>1692</v>
      </c>
      <c r="O1981" t="s">
        <v>1939</v>
      </c>
      <c r="P1981" t="s">
        <v>1960</v>
      </c>
      <c r="R1981" t="s">
        <v>50</v>
      </c>
      <c r="S1981" t="s">
        <v>1670</v>
      </c>
      <c r="U1981" t="s">
        <v>1972</v>
      </c>
      <c r="W1981" t="s">
        <v>1991</v>
      </c>
      <c r="X1981">
        <v>1621</v>
      </c>
      <c r="Y1981" t="s">
        <v>2006</v>
      </c>
      <c r="Z1981" t="s">
        <v>2015</v>
      </c>
      <c r="AB1981" t="s">
        <v>14006</v>
      </c>
      <c r="AE1981" t="s">
        <v>13051</v>
      </c>
      <c r="AF1981" t="s">
        <v>2904</v>
      </c>
      <c r="AG1981" t="s">
        <v>2915</v>
      </c>
      <c r="AH1981">
        <v>2</v>
      </c>
      <c r="AI1981">
        <v>2</v>
      </c>
      <c r="AJ1981">
        <v>0</v>
      </c>
      <c r="AK1981">
        <v>85.3</v>
      </c>
      <c r="AN1981" t="s">
        <v>2926</v>
      </c>
      <c r="AO1981">
        <v>14040</v>
      </c>
      <c r="AU1981" t="s">
        <v>13051</v>
      </c>
      <c r="AW1981" t="s">
        <v>3046</v>
      </c>
      <c r="AX1981" t="s">
        <v>18685</v>
      </c>
    </row>
    <row r="1982" spans="1:50">
      <c r="A1982" s="1" t="s">
        <v>134</v>
      </c>
      <c r="B1982" t="s">
        <v>164</v>
      </c>
      <c r="C1982" t="s">
        <v>5192</v>
      </c>
      <c r="D1982" t="s">
        <v>403</v>
      </c>
      <c r="E1982" t="s">
        <v>354</v>
      </c>
      <c r="F1982" t="s">
        <v>6930</v>
      </c>
      <c r="G1982" t="s">
        <v>8761</v>
      </c>
      <c r="H1982" t="s">
        <v>1243</v>
      </c>
      <c r="I1982" t="s">
        <v>11022</v>
      </c>
      <c r="J1982" t="s">
        <v>1643</v>
      </c>
      <c r="K1982">
        <v>10033</v>
      </c>
      <c r="L1982" t="s">
        <v>1670</v>
      </c>
      <c r="M1982" t="s">
        <v>1672</v>
      </c>
      <c r="O1982" t="s">
        <v>1945</v>
      </c>
      <c r="P1982" t="s">
        <v>1962</v>
      </c>
      <c r="Q1982" t="s">
        <v>1965</v>
      </c>
      <c r="R1982" t="s">
        <v>50</v>
      </c>
      <c r="S1982" t="s">
        <v>1671</v>
      </c>
      <c r="U1982" t="s">
        <v>1972</v>
      </c>
      <c r="W1982" t="s">
        <v>403</v>
      </c>
      <c r="X1982">
        <v>1478.3</v>
      </c>
      <c r="Y1982" t="s">
        <v>2008</v>
      </c>
      <c r="Z1982" t="s">
        <v>2020</v>
      </c>
      <c r="AA1982" t="s">
        <v>2029</v>
      </c>
      <c r="AB1982" t="s">
        <v>14439</v>
      </c>
      <c r="AD1982" t="s">
        <v>16846</v>
      </c>
      <c r="AE1982">
        <v>480</v>
      </c>
      <c r="AF1982" t="s">
        <v>2902</v>
      </c>
      <c r="AG1982" t="s">
        <v>1754</v>
      </c>
      <c r="AH1982">
        <v>19</v>
      </c>
      <c r="AI1982">
        <v>2</v>
      </c>
      <c r="AJ1982">
        <v>0</v>
      </c>
      <c r="AK1982">
        <v>85.58</v>
      </c>
      <c r="AN1982" t="s">
        <v>2926</v>
      </c>
      <c r="AO1982">
        <v>14472</v>
      </c>
      <c r="AU1982">
        <v>0.9</v>
      </c>
      <c r="AV1982" t="s">
        <v>354</v>
      </c>
      <c r="AW1982" t="s">
        <v>3042</v>
      </c>
      <c r="AX1982" t="s">
        <v>18685</v>
      </c>
    </row>
    <row r="1983" spans="1:50">
      <c r="A1983" s="1" t="s">
        <v>54</v>
      </c>
      <c r="B1983" t="s">
        <v>164</v>
      </c>
      <c r="C1983" t="s">
        <v>5193</v>
      </c>
      <c r="D1983" t="s">
        <v>383</v>
      </c>
      <c r="E1983" t="s">
        <v>331</v>
      </c>
      <c r="F1983" t="s">
        <v>7419</v>
      </c>
      <c r="G1983" t="s">
        <v>8774</v>
      </c>
      <c r="H1983" t="s">
        <v>9507</v>
      </c>
      <c r="I1983">
        <v>55</v>
      </c>
      <c r="J1983" t="s">
        <v>1643</v>
      </c>
      <c r="K1983">
        <v>10034</v>
      </c>
      <c r="L1983" t="s">
        <v>1670</v>
      </c>
      <c r="M1983" t="s">
        <v>1670</v>
      </c>
      <c r="P1983" t="s">
        <v>1962</v>
      </c>
      <c r="Q1983" t="s">
        <v>1968</v>
      </c>
      <c r="R1983" t="s">
        <v>50</v>
      </c>
      <c r="S1983" t="s">
        <v>1671</v>
      </c>
      <c r="U1983" t="s">
        <v>1972</v>
      </c>
      <c r="W1983" t="s">
        <v>383</v>
      </c>
      <c r="X1983">
        <v>856</v>
      </c>
      <c r="Y1983" t="s">
        <v>2008</v>
      </c>
      <c r="Z1983" t="s">
        <v>2013</v>
      </c>
      <c r="AA1983" t="s">
        <v>2030</v>
      </c>
      <c r="AB1983" t="s">
        <v>14440</v>
      </c>
      <c r="AD1983" t="s">
        <v>16847</v>
      </c>
      <c r="AE1983">
        <v>25</v>
      </c>
      <c r="AF1983" t="s">
        <v>2902</v>
      </c>
      <c r="AG1983" t="s">
        <v>2915</v>
      </c>
      <c r="AH1983">
        <v>43</v>
      </c>
      <c r="AI1983">
        <v>1</v>
      </c>
      <c r="AJ1983">
        <v>0</v>
      </c>
      <c r="AK1983">
        <v>85.59999999999999</v>
      </c>
      <c r="AN1983" t="s">
        <v>2927</v>
      </c>
      <c r="AO1983">
        <v>10392</v>
      </c>
      <c r="AU1983">
        <v>1</v>
      </c>
      <c r="AV1983" t="s">
        <v>383</v>
      </c>
      <c r="AW1983" t="s">
        <v>3042</v>
      </c>
    </row>
    <row r="1984" spans="1:50">
      <c r="A1984" s="1" t="s">
        <v>74</v>
      </c>
      <c r="B1984" t="s">
        <v>163</v>
      </c>
      <c r="C1984" t="s">
        <v>5194</v>
      </c>
      <c r="D1984" t="s">
        <v>306</v>
      </c>
      <c r="F1984" t="s">
        <v>7023</v>
      </c>
      <c r="G1984" t="s">
        <v>8514</v>
      </c>
      <c r="H1984" t="s">
        <v>1131</v>
      </c>
      <c r="I1984" t="s">
        <v>1560</v>
      </c>
      <c r="J1984" t="s">
        <v>1641</v>
      </c>
      <c r="K1984">
        <v>10460</v>
      </c>
      <c r="L1984" t="s">
        <v>1670</v>
      </c>
      <c r="M1984" t="s">
        <v>1670</v>
      </c>
      <c r="N1984" t="s">
        <v>1692</v>
      </c>
      <c r="O1984" t="s">
        <v>1939</v>
      </c>
      <c r="P1984" t="s">
        <v>1960</v>
      </c>
      <c r="R1984" t="s">
        <v>50</v>
      </c>
      <c r="S1984" t="s">
        <v>1670</v>
      </c>
      <c r="U1984" t="s">
        <v>1972</v>
      </c>
      <c r="W1984" t="s">
        <v>283</v>
      </c>
      <c r="X1984">
        <v>466</v>
      </c>
      <c r="Y1984" t="s">
        <v>2006</v>
      </c>
      <c r="Z1984" t="s">
        <v>2015</v>
      </c>
      <c r="AB1984" t="s">
        <v>14401</v>
      </c>
      <c r="AE1984">
        <v>168</v>
      </c>
      <c r="AF1984" t="s">
        <v>18014</v>
      </c>
      <c r="AG1984" t="s">
        <v>2915</v>
      </c>
      <c r="AH1984">
        <v>4</v>
      </c>
      <c r="AI1984">
        <v>1</v>
      </c>
      <c r="AJ1984">
        <v>0</v>
      </c>
      <c r="AK1984">
        <v>85.59999999999999</v>
      </c>
      <c r="AN1984" t="s">
        <v>2926</v>
      </c>
      <c r="AO1984">
        <v>10392</v>
      </c>
      <c r="AU1984" t="s">
        <v>13051</v>
      </c>
      <c r="AW1984" t="s">
        <v>3046</v>
      </c>
    </row>
    <row r="1985" spans="1:50">
      <c r="A1985" s="1" t="s">
        <v>98</v>
      </c>
      <c r="B1985" t="s">
        <v>164</v>
      </c>
      <c r="C1985" t="s">
        <v>5195</v>
      </c>
      <c r="D1985" t="s">
        <v>298</v>
      </c>
      <c r="E1985" t="s">
        <v>376</v>
      </c>
      <c r="F1985" t="s">
        <v>724</v>
      </c>
      <c r="G1985" t="s">
        <v>780</v>
      </c>
      <c r="H1985" t="s">
        <v>10281</v>
      </c>
      <c r="I1985" t="s">
        <v>1487</v>
      </c>
      <c r="J1985" t="s">
        <v>1641</v>
      </c>
      <c r="K1985">
        <v>10459</v>
      </c>
      <c r="L1985" t="s">
        <v>1670</v>
      </c>
      <c r="M1985" t="s">
        <v>1670</v>
      </c>
      <c r="O1985" t="s">
        <v>1675</v>
      </c>
      <c r="P1985" t="s">
        <v>1958</v>
      </c>
      <c r="Q1985" t="s">
        <v>1965</v>
      </c>
      <c r="R1985" t="s">
        <v>50</v>
      </c>
      <c r="S1985" t="s">
        <v>1671</v>
      </c>
      <c r="U1985" t="s">
        <v>1972</v>
      </c>
      <c r="W1985" t="s">
        <v>298</v>
      </c>
      <c r="X1985">
        <v>678.54</v>
      </c>
      <c r="Y1985" t="s">
        <v>2006</v>
      </c>
      <c r="AA1985" t="s">
        <v>2029</v>
      </c>
      <c r="AB1985" t="s">
        <v>14441</v>
      </c>
      <c r="AD1985" t="s">
        <v>16848</v>
      </c>
      <c r="AE1985" t="s">
        <v>13051</v>
      </c>
      <c r="AF1985" t="s">
        <v>2902</v>
      </c>
      <c r="AG1985" t="s">
        <v>2919</v>
      </c>
      <c r="AH1985">
        <v>35</v>
      </c>
      <c r="AI1985">
        <v>2</v>
      </c>
      <c r="AJ1985">
        <v>0</v>
      </c>
      <c r="AK1985">
        <v>85.66</v>
      </c>
      <c r="AN1985" t="s">
        <v>2927</v>
      </c>
      <c r="AO1985">
        <v>14100</v>
      </c>
      <c r="AU1985">
        <v>4.5</v>
      </c>
      <c r="AV1985" t="s">
        <v>376</v>
      </c>
      <c r="AW1985" t="s">
        <v>98</v>
      </c>
    </row>
    <row r="1986" spans="1:50">
      <c r="A1986" s="1" t="s">
        <v>156</v>
      </c>
      <c r="B1986" t="s">
        <v>164</v>
      </c>
      <c r="C1986" t="s">
        <v>5196</v>
      </c>
      <c r="D1986" t="s">
        <v>6195</v>
      </c>
      <c r="E1986" t="s">
        <v>6137</v>
      </c>
      <c r="F1986" t="s">
        <v>7580</v>
      </c>
      <c r="G1986" t="s">
        <v>8775</v>
      </c>
      <c r="H1986" t="s">
        <v>10282</v>
      </c>
      <c r="I1986" t="s">
        <v>1519</v>
      </c>
      <c r="J1986" t="s">
        <v>1644</v>
      </c>
      <c r="K1986">
        <v>11207</v>
      </c>
      <c r="L1986" t="s">
        <v>1670</v>
      </c>
      <c r="M1986" t="s">
        <v>1670</v>
      </c>
      <c r="N1986" t="s">
        <v>12418</v>
      </c>
      <c r="O1986" t="s">
        <v>1936</v>
      </c>
      <c r="P1986" t="s">
        <v>1958</v>
      </c>
      <c r="Q1986" t="s">
        <v>1965</v>
      </c>
      <c r="R1986" t="s">
        <v>50</v>
      </c>
      <c r="S1986" t="s">
        <v>1671</v>
      </c>
      <c r="U1986" t="s">
        <v>1972</v>
      </c>
      <c r="W1986" t="s">
        <v>363</v>
      </c>
      <c r="X1986">
        <v>901</v>
      </c>
      <c r="Y1986" t="s">
        <v>2009</v>
      </c>
      <c r="AA1986" t="s">
        <v>2034</v>
      </c>
      <c r="AB1986" t="s">
        <v>14442</v>
      </c>
      <c r="AC1986" t="s">
        <v>15241</v>
      </c>
      <c r="AD1986" t="s">
        <v>16849</v>
      </c>
      <c r="AE1986">
        <v>22</v>
      </c>
      <c r="AF1986" t="s">
        <v>2904</v>
      </c>
      <c r="AG1986" t="s">
        <v>1754</v>
      </c>
      <c r="AH1986">
        <v>5</v>
      </c>
      <c r="AI1986">
        <v>1</v>
      </c>
      <c r="AJ1986">
        <v>0</v>
      </c>
      <c r="AK1986">
        <v>85.67</v>
      </c>
      <c r="AN1986" t="s">
        <v>2926</v>
      </c>
      <c r="AO1986">
        <v>10400</v>
      </c>
      <c r="AP1986" t="s">
        <v>18320</v>
      </c>
      <c r="AU1986">
        <v>3.9</v>
      </c>
      <c r="AV1986" t="s">
        <v>2004</v>
      </c>
      <c r="AW1986" t="s">
        <v>3068</v>
      </c>
    </row>
    <row r="1987" spans="1:50">
      <c r="A1987" s="1" t="s">
        <v>54</v>
      </c>
      <c r="B1987" t="s">
        <v>164</v>
      </c>
      <c r="C1987" t="s">
        <v>5197</v>
      </c>
      <c r="D1987" t="s">
        <v>201</v>
      </c>
      <c r="E1987" t="s">
        <v>323</v>
      </c>
      <c r="F1987" t="s">
        <v>724</v>
      </c>
      <c r="G1987" t="s">
        <v>8222</v>
      </c>
      <c r="H1987" t="s">
        <v>10283</v>
      </c>
      <c r="I1987" t="s">
        <v>1590</v>
      </c>
      <c r="J1987" t="s">
        <v>1643</v>
      </c>
      <c r="K1987">
        <v>10034</v>
      </c>
      <c r="L1987" t="s">
        <v>1670</v>
      </c>
      <c r="M1987" t="s">
        <v>1670</v>
      </c>
      <c r="O1987" t="s">
        <v>1939</v>
      </c>
      <c r="P1987" t="s">
        <v>1958</v>
      </c>
      <c r="Q1987" t="s">
        <v>1965</v>
      </c>
      <c r="R1987" t="s">
        <v>50</v>
      </c>
      <c r="S1987" t="s">
        <v>1671</v>
      </c>
      <c r="U1987" t="s">
        <v>1972</v>
      </c>
      <c r="W1987" t="s">
        <v>201</v>
      </c>
      <c r="X1987">
        <v>940.51</v>
      </c>
      <c r="Y1987" t="s">
        <v>2008</v>
      </c>
      <c r="Z1987" t="s">
        <v>2013</v>
      </c>
      <c r="AA1987" t="s">
        <v>2029</v>
      </c>
      <c r="AB1987" t="s">
        <v>14443</v>
      </c>
      <c r="AD1987" t="s">
        <v>16850</v>
      </c>
      <c r="AE1987">
        <v>20</v>
      </c>
      <c r="AF1987" t="s">
        <v>2902</v>
      </c>
      <c r="AG1987" t="s">
        <v>1754</v>
      </c>
      <c r="AH1987">
        <v>20</v>
      </c>
      <c r="AI1987">
        <v>1</v>
      </c>
      <c r="AJ1987">
        <v>0</v>
      </c>
      <c r="AK1987">
        <v>85.67</v>
      </c>
      <c r="AN1987" t="s">
        <v>2927</v>
      </c>
      <c r="AO1987">
        <v>10400</v>
      </c>
      <c r="AU1987">
        <v>1.5</v>
      </c>
      <c r="AV1987" t="s">
        <v>180</v>
      </c>
      <c r="AW1987" t="s">
        <v>3042</v>
      </c>
    </row>
    <row r="1988" spans="1:50">
      <c r="A1988" s="1" t="s">
        <v>103</v>
      </c>
      <c r="B1988" t="s">
        <v>163</v>
      </c>
      <c r="C1988" t="s">
        <v>5198</v>
      </c>
      <c r="D1988" t="s">
        <v>176</v>
      </c>
      <c r="F1988" t="s">
        <v>7581</v>
      </c>
      <c r="G1988" t="s">
        <v>8776</v>
      </c>
      <c r="H1988" t="s">
        <v>10284</v>
      </c>
      <c r="I1988" t="s">
        <v>11326</v>
      </c>
      <c r="J1988" t="s">
        <v>1644</v>
      </c>
      <c r="K1988">
        <v>11207</v>
      </c>
      <c r="L1988" t="s">
        <v>1670</v>
      </c>
      <c r="M1988" t="s">
        <v>1671</v>
      </c>
      <c r="N1988" t="s">
        <v>12419</v>
      </c>
      <c r="O1988" t="s">
        <v>1936</v>
      </c>
      <c r="P1988" t="s">
        <v>1958</v>
      </c>
      <c r="R1988" t="s">
        <v>50</v>
      </c>
      <c r="S1988" t="s">
        <v>1671</v>
      </c>
      <c r="U1988" t="s">
        <v>1972</v>
      </c>
      <c r="V1988" t="s">
        <v>1984</v>
      </c>
      <c r="W1988" t="s">
        <v>267</v>
      </c>
      <c r="X1988">
        <v>864.49</v>
      </c>
      <c r="Y1988" t="s">
        <v>2009</v>
      </c>
      <c r="Z1988" t="s">
        <v>2013</v>
      </c>
      <c r="AB1988" t="s">
        <v>14444</v>
      </c>
      <c r="AC1988" t="s">
        <v>1691</v>
      </c>
      <c r="AD1988" t="s">
        <v>16851</v>
      </c>
      <c r="AE1988" t="s">
        <v>13051</v>
      </c>
      <c r="AF1988" t="s">
        <v>2909</v>
      </c>
      <c r="AG1988" t="s">
        <v>2922</v>
      </c>
      <c r="AH1988">
        <v>1</v>
      </c>
      <c r="AI1988">
        <v>1</v>
      </c>
      <c r="AJ1988">
        <v>0</v>
      </c>
      <c r="AK1988">
        <v>85.67</v>
      </c>
      <c r="AN1988" t="s">
        <v>2926</v>
      </c>
      <c r="AO1988">
        <v>10400</v>
      </c>
      <c r="AU1988">
        <v>2</v>
      </c>
      <c r="AV1988" t="s">
        <v>299</v>
      </c>
      <c r="AW1988" t="s">
        <v>3060</v>
      </c>
      <c r="AX1988" t="s">
        <v>18685</v>
      </c>
    </row>
    <row r="1989" spans="1:50">
      <c r="A1989" s="1" t="s">
        <v>64</v>
      </c>
      <c r="B1989" t="s">
        <v>163</v>
      </c>
      <c r="C1989" t="s">
        <v>5199</v>
      </c>
      <c r="D1989" t="s">
        <v>169</v>
      </c>
      <c r="F1989" t="s">
        <v>460</v>
      </c>
      <c r="G1989" t="s">
        <v>769</v>
      </c>
      <c r="H1989" t="s">
        <v>1243</v>
      </c>
      <c r="I1989" t="s">
        <v>11327</v>
      </c>
      <c r="J1989" t="s">
        <v>1643</v>
      </c>
      <c r="K1989">
        <v>10033</v>
      </c>
      <c r="L1989" t="s">
        <v>1670</v>
      </c>
      <c r="M1989" t="s">
        <v>1670</v>
      </c>
      <c r="O1989" t="s">
        <v>1939</v>
      </c>
      <c r="P1989" t="s">
        <v>1962</v>
      </c>
      <c r="R1989" t="s">
        <v>50</v>
      </c>
      <c r="S1989" t="s">
        <v>1670</v>
      </c>
      <c r="U1989" t="s">
        <v>1972</v>
      </c>
      <c r="W1989" t="s">
        <v>169</v>
      </c>
      <c r="X1989">
        <v>1180</v>
      </c>
      <c r="Y1989" t="s">
        <v>2008</v>
      </c>
      <c r="Z1989" t="s">
        <v>2016</v>
      </c>
      <c r="AB1989" t="s">
        <v>14445</v>
      </c>
      <c r="AD1989" t="s">
        <v>16852</v>
      </c>
      <c r="AE1989">
        <v>232</v>
      </c>
      <c r="AF1989" t="s">
        <v>2902</v>
      </c>
      <c r="AG1989" t="s">
        <v>2915</v>
      </c>
      <c r="AH1989">
        <v>21</v>
      </c>
      <c r="AI1989">
        <v>1</v>
      </c>
      <c r="AJ1989">
        <v>0</v>
      </c>
      <c r="AK1989">
        <v>85.67</v>
      </c>
      <c r="AN1989" t="s">
        <v>2927</v>
      </c>
      <c r="AO1989">
        <v>10400</v>
      </c>
      <c r="AU1989">
        <v>0.8</v>
      </c>
      <c r="AV1989" t="s">
        <v>179</v>
      </c>
      <c r="AW1989" t="s">
        <v>3042</v>
      </c>
    </row>
    <row r="1990" spans="1:50">
      <c r="A1990" s="1" t="s">
        <v>65</v>
      </c>
      <c r="B1990" t="s">
        <v>163</v>
      </c>
      <c r="C1990" t="s">
        <v>5200</v>
      </c>
      <c r="D1990" t="s">
        <v>1992</v>
      </c>
      <c r="F1990" t="s">
        <v>7567</v>
      </c>
      <c r="G1990" t="s">
        <v>558</v>
      </c>
      <c r="H1990" t="s">
        <v>1335</v>
      </c>
      <c r="I1990" t="s">
        <v>1477</v>
      </c>
      <c r="J1990" t="s">
        <v>1644</v>
      </c>
      <c r="K1990">
        <v>11225</v>
      </c>
      <c r="L1990" t="s">
        <v>1670</v>
      </c>
      <c r="M1990" t="s">
        <v>1670</v>
      </c>
      <c r="O1990" t="s">
        <v>1936</v>
      </c>
      <c r="P1990" t="s">
        <v>1960</v>
      </c>
      <c r="R1990" t="s">
        <v>50</v>
      </c>
      <c r="S1990" t="s">
        <v>1671</v>
      </c>
      <c r="U1990" t="s">
        <v>1972</v>
      </c>
      <c r="W1990" t="s">
        <v>209</v>
      </c>
      <c r="X1990" t="s">
        <v>13051</v>
      </c>
      <c r="Y1990" t="s">
        <v>2009</v>
      </c>
      <c r="Z1990" t="s">
        <v>2016</v>
      </c>
      <c r="AB1990" t="s">
        <v>14408</v>
      </c>
      <c r="AD1990" t="s">
        <v>16820</v>
      </c>
      <c r="AE1990" t="s">
        <v>13051</v>
      </c>
      <c r="AH1990" t="s">
        <v>13051</v>
      </c>
      <c r="AI1990">
        <v>1</v>
      </c>
      <c r="AJ1990">
        <v>0</v>
      </c>
      <c r="AK1990">
        <v>85.67</v>
      </c>
      <c r="AN1990" t="s">
        <v>2926</v>
      </c>
      <c r="AO1990">
        <v>10400</v>
      </c>
      <c r="AP1990" t="s">
        <v>2963</v>
      </c>
      <c r="AU1990">
        <v>77.47</v>
      </c>
      <c r="AV1990" t="s">
        <v>189</v>
      </c>
      <c r="AW1990" t="s">
        <v>69</v>
      </c>
    </row>
    <row r="1991" spans="1:50">
      <c r="A1991" s="1" t="s">
        <v>97</v>
      </c>
      <c r="B1991" t="s">
        <v>163</v>
      </c>
      <c r="C1991" t="s">
        <v>5201</v>
      </c>
      <c r="D1991" t="s">
        <v>194</v>
      </c>
      <c r="F1991" t="s">
        <v>7582</v>
      </c>
      <c r="G1991" t="s">
        <v>8619</v>
      </c>
      <c r="H1991" t="s">
        <v>10246</v>
      </c>
      <c r="I1991" t="s">
        <v>1517</v>
      </c>
      <c r="J1991" t="s">
        <v>1643</v>
      </c>
      <c r="K1991">
        <v>10040</v>
      </c>
      <c r="L1991" t="s">
        <v>1670</v>
      </c>
      <c r="M1991" t="s">
        <v>1670</v>
      </c>
      <c r="O1991" t="s">
        <v>1943</v>
      </c>
      <c r="P1991" t="s">
        <v>1962</v>
      </c>
      <c r="R1991" t="s">
        <v>50</v>
      </c>
      <c r="S1991" t="s">
        <v>1671</v>
      </c>
      <c r="U1991" t="s">
        <v>1972</v>
      </c>
      <c r="W1991" t="s">
        <v>194</v>
      </c>
      <c r="X1991">
        <v>1990.34</v>
      </c>
      <c r="Y1991" t="s">
        <v>2008</v>
      </c>
      <c r="Z1991" t="s">
        <v>2013</v>
      </c>
      <c r="AB1991" t="s">
        <v>13732</v>
      </c>
      <c r="AD1991" t="s">
        <v>16853</v>
      </c>
      <c r="AE1991">
        <v>41</v>
      </c>
      <c r="AF1991" t="s">
        <v>2902</v>
      </c>
      <c r="AG1991" t="s">
        <v>2915</v>
      </c>
      <c r="AH1991">
        <v>7</v>
      </c>
      <c r="AI1991">
        <v>1</v>
      </c>
      <c r="AJ1991">
        <v>0</v>
      </c>
      <c r="AK1991">
        <v>85.7</v>
      </c>
      <c r="AN1991" t="s">
        <v>2927</v>
      </c>
      <c r="AO1991">
        <v>10404</v>
      </c>
      <c r="AU1991">
        <v>2.4</v>
      </c>
      <c r="AV1991" t="s">
        <v>229</v>
      </c>
      <c r="AW1991" t="s">
        <v>3042</v>
      </c>
      <c r="AX1991" t="s">
        <v>18685</v>
      </c>
    </row>
    <row r="1992" spans="1:50">
      <c r="A1992" s="1" t="s">
        <v>79</v>
      </c>
      <c r="B1992" t="s">
        <v>163</v>
      </c>
      <c r="C1992" t="s">
        <v>5202</v>
      </c>
      <c r="D1992" t="s">
        <v>246</v>
      </c>
      <c r="F1992" t="s">
        <v>7583</v>
      </c>
      <c r="G1992" t="s">
        <v>1055</v>
      </c>
      <c r="H1992" t="s">
        <v>10285</v>
      </c>
      <c r="I1992" t="s">
        <v>1488</v>
      </c>
      <c r="J1992" t="s">
        <v>1644</v>
      </c>
      <c r="K1992">
        <v>11212</v>
      </c>
      <c r="L1992" t="s">
        <v>1670</v>
      </c>
      <c r="M1992" t="s">
        <v>1670</v>
      </c>
      <c r="P1992" t="s">
        <v>1960</v>
      </c>
      <c r="R1992" t="s">
        <v>50</v>
      </c>
      <c r="S1992" t="s">
        <v>1670</v>
      </c>
      <c r="U1992" t="s">
        <v>1972</v>
      </c>
      <c r="W1992" t="s">
        <v>246</v>
      </c>
      <c r="X1992" t="s">
        <v>13051</v>
      </c>
      <c r="Y1992" t="s">
        <v>2009</v>
      </c>
      <c r="AB1992" t="s">
        <v>14446</v>
      </c>
      <c r="AD1992" t="s">
        <v>16854</v>
      </c>
      <c r="AE1992">
        <v>36</v>
      </c>
      <c r="AH1992" t="s">
        <v>13051</v>
      </c>
      <c r="AI1992">
        <v>2</v>
      </c>
      <c r="AJ1992">
        <v>0</v>
      </c>
      <c r="AK1992">
        <v>85.73999999999999</v>
      </c>
      <c r="AN1992" t="s">
        <v>2926</v>
      </c>
      <c r="AO1992">
        <v>14112</v>
      </c>
      <c r="AU1992">
        <v>18.7</v>
      </c>
      <c r="AV1992" t="s">
        <v>409</v>
      </c>
      <c r="AW1992" t="s">
        <v>3060</v>
      </c>
    </row>
    <row r="1993" spans="1:50">
      <c r="A1993" s="1" t="s">
        <v>52</v>
      </c>
      <c r="B1993" t="s">
        <v>164</v>
      </c>
      <c r="C1993" t="s">
        <v>5203</v>
      </c>
      <c r="D1993" t="s">
        <v>375</v>
      </c>
      <c r="E1993" t="s">
        <v>240</v>
      </c>
      <c r="F1993" t="s">
        <v>7236</v>
      </c>
      <c r="G1993" t="s">
        <v>8777</v>
      </c>
      <c r="H1993" t="s">
        <v>10286</v>
      </c>
      <c r="I1993" t="s">
        <v>1554</v>
      </c>
      <c r="J1993" t="s">
        <v>1641</v>
      </c>
      <c r="K1993">
        <v>10452</v>
      </c>
      <c r="L1993" t="s">
        <v>1670</v>
      </c>
      <c r="M1993" t="s">
        <v>1670</v>
      </c>
      <c r="N1993" t="s">
        <v>12420</v>
      </c>
      <c r="O1993" t="s">
        <v>1936</v>
      </c>
      <c r="P1993" t="s">
        <v>1960</v>
      </c>
      <c r="Q1993" t="s">
        <v>1969</v>
      </c>
      <c r="R1993" t="s">
        <v>50</v>
      </c>
      <c r="S1993" t="s">
        <v>1671</v>
      </c>
      <c r="U1993" t="s">
        <v>1972</v>
      </c>
      <c r="W1993" t="s">
        <v>304</v>
      </c>
      <c r="X1993">
        <v>519</v>
      </c>
      <c r="Y1993" t="s">
        <v>2006</v>
      </c>
      <c r="AA1993" t="s">
        <v>2032</v>
      </c>
      <c r="AB1993" t="s">
        <v>13743</v>
      </c>
      <c r="AC1993" t="s">
        <v>15242</v>
      </c>
      <c r="AD1993" t="s">
        <v>16855</v>
      </c>
      <c r="AE1993">
        <v>40</v>
      </c>
      <c r="AF1993" t="s">
        <v>2904</v>
      </c>
      <c r="AG1993" t="s">
        <v>2915</v>
      </c>
      <c r="AH1993">
        <v>30</v>
      </c>
      <c r="AI1993">
        <v>1</v>
      </c>
      <c r="AJ1993">
        <v>0</v>
      </c>
      <c r="AK1993">
        <v>85.8</v>
      </c>
      <c r="AN1993" t="s">
        <v>2926</v>
      </c>
      <c r="AO1993">
        <v>10416</v>
      </c>
      <c r="AQ1993" t="s">
        <v>2978</v>
      </c>
      <c r="AR1993" t="s">
        <v>18447</v>
      </c>
      <c r="AS1993" t="s">
        <v>2992</v>
      </c>
      <c r="AT1993" t="s">
        <v>18521</v>
      </c>
      <c r="AU1993">
        <v>19</v>
      </c>
      <c r="AV1993" t="s">
        <v>6191</v>
      </c>
      <c r="AW1993" t="s">
        <v>3071</v>
      </c>
    </row>
    <row r="1994" spans="1:50">
      <c r="A1994" s="1" t="s">
        <v>116</v>
      </c>
      <c r="B1994" t="s">
        <v>163</v>
      </c>
      <c r="C1994" t="s">
        <v>5204</v>
      </c>
      <c r="D1994" t="s">
        <v>179</v>
      </c>
      <c r="F1994" t="s">
        <v>7584</v>
      </c>
      <c r="G1994" t="s">
        <v>840</v>
      </c>
      <c r="H1994" t="s">
        <v>10287</v>
      </c>
      <c r="I1994" t="s">
        <v>1525</v>
      </c>
      <c r="J1994" t="s">
        <v>1643</v>
      </c>
      <c r="K1994">
        <v>10024</v>
      </c>
      <c r="L1994" t="s">
        <v>1670</v>
      </c>
      <c r="M1994" t="s">
        <v>1672</v>
      </c>
      <c r="O1994" t="s">
        <v>1675</v>
      </c>
      <c r="P1994" t="s">
        <v>1963</v>
      </c>
      <c r="R1994" t="s">
        <v>50</v>
      </c>
      <c r="S1994" t="s">
        <v>1670</v>
      </c>
      <c r="U1994" t="s">
        <v>1972</v>
      </c>
      <c r="V1994" t="s">
        <v>1984</v>
      </c>
      <c r="W1994" t="s">
        <v>179</v>
      </c>
      <c r="X1994">
        <v>437</v>
      </c>
      <c r="Y1994" t="s">
        <v>2008</v>
      </c>
      <c r="Z1994" t="s">
        <v>2017</v>
      </c>
      <c r="AB1994" t="s">
        <v>14447</v>
      </c>
      <c r="AD1994" t="s">
        <v>16856</v>
      </c>
      <c r="AE1994">
        <v>24</v>
      </c>
      <c r="AF1994" t="s">
        <v>2908</v>
      </c>
      <c r="AG1994" t="s">
        <v>1754</v>
      </c>
      <c r="AH1994">
        <v>53</v>
      </c>
      <c r="AI1994">
        <v>1</v>
      </c>
      <c r="AJ1994">
        <v>0</v>
      </c>
      <c r="AK1994">
        <v>85.89</v>
      </c>
      <c r="AN1994" t="s">
        <v>2926</v>
      </c>
      <c r="AO1994">
        <v>10728</v>
      </c>
      <c r="AU1994">
        <v>6.5</v>
      </c>
      <c r="AV1994" t="s">
        <v>399</v>
      </c>
      <c r="AW1994" t="s">
        <v>3051</v>
      </c>
      <c r="AX1994" t="s">
        <v>18685</v>
      </c>
    </row>
    <row r="1995" spans="1:50">
      <c r="A1995" s="1" t="s">
        <v>53</v>
      </c>
      <c r="B1995" t="s">
        <v>164</v>
      </c>
      <c r="C1995" t="s">
        <v>5205</v>
      </c>
      <c r="D1995" t="s">
        <v>185</v>
      </c>
      <c r="E1995" t="s">
        <v>167</v>
      </c>
      <c r="F1995" t="s">
        <v>7585</v>
      </c>
      <c r="G1995" t="s">
        <v>8778</v>
      </c>
      <c r="H1995" t="s">
        <v>10158</v>
      </c>
      <c r="I1995">
        <v>314</v>
      </c>
      <c r="J1995" t="s">
        <v>1668</v>
      </c>
      <c r="K1995">
        <v>11354</v>
      </c>
      <c r="L1995" t="s">
        <v>1670</v>
      </c>
      <c r="M1995" t="s">
        <v>1670</v>
      </c>
      <c r="N1995" t="s">
        <v>12421</v>
      </c>
      <c r="O1995" t="s">
        <v>1936</v>
      </c>
      <c r="P1995" t="s">
        <v>1960</v>
      </c>
      <c r="Q1995" t="s">
        <v>1969</v>
      </c>
      <c r="R1995" t="s">
        <v>50</v>
      </c>
      <c r="S1995" t="s">
        <v>1671</v>
      </c>
      <c r="U1995" t="s">
        <v>1972</v>
      </c>
      <c r="V1995" t="s">
        <v>1984</v>
      </c>
      <c r="W1995" t="s">
        <v>185</v>
      </c>
      <c r="X1995">
        <v>970.62</v>
      </c>
      <c r="Y1995" t="s">
        <v>2007</v>
      </c>
      <c r="Z1995" t="s">
        <v>2020</v>
      </c>
      <c r="AA1995" t="s">
        <v>2032</v>
      </c>
      <c r="AB1995" t="s">
        <v>14448</v>
      </c>
      <c r="AC1995" t="s">
        <v>15243</v>
      </c>
      <c r="AD1995" t="s">
        <v>16857</v>
      </c>
      <c r="AE1995">
        <v>120</v>
      </c>
      <c r="AF1995" t="s">
        <v>2902</v>
      </c>
      <c r="AG1995" t="s">
        <v>1754</v>
      </c>
      <c r="AH1995">
        <v>30</v>
      </c>
      <c r="AI1995">
        <v>1</v>
      </c>
      <c r="AJ1995">
        <v>0</v>
      </c>
      <c r="AK1995">
        <v>86</v>
      </c>
      <c r="AN1995" t="s">
        <v>18040</v>
      </c>
      <c r="AO1995">
        <v>10440</v>
      </c>
      <c r="AQ1995" t="s">
        <v>2976</v>
      </c>
      <c r="AR1995" t="s">
        <v>2982</v>
      </c>
      <c r="AS1995" t="s">
        <v>2992</v>
      </c>
      <c r="AT1995" t="s">
        <v>2995</v>
      </c>
      <c r="AU1995">
        <v>17.2</v>
      </c>
      <c r="AV1995" t="s">
        <v>372</v>
      </c>
      <c r="AW1995" t="s">
        <v>3044</v>
      </c>
    </row>
    <row r="1996" spans="1:50">
      <c r="A1996" s="1" t="s">
        <v>151</v>
      </c>
      <c r="B1996" t="s">
        <v>164</v>
      </c>
      <c r="C1996" t="s">
        <v>5206</v>
      </c>
      <c r="D1996" t="s">
        <v>3031</v>
      </c>
      <c r="E1996" t="s">
        <v>6766</v>
      </c>
      <c r="F1996" t="s">
        <v>7586</v>
      </c>
      <c r="G1996" t="s">
        <v>8779</v>
      </c>
      <c r="H1996" t="s">
        <v>10288</v>
      </c>
      <c r="J1996" t="s">
        <v>11754</v>
      </c>
      <c r="K1996">
        <v>11428</v>
      </c>
      <c r="L1996" t="s">
        <v>1670</v>
      </c>
      <c r="M1996" t="s">
        <v>1672</v>
      </c>
      <c r="N1996" t="s">
        <v>12422</v>
      </c>
      <c r="O1996" t="s">
        <v>1954</v>
      </c>
      <c r="P1996" t="s">
        <v>1958</v>
      </c>
      <c r="Q1996" t="s">
        <v>1965</v>
      </c>
      <c r="R1996" t="s">
        <v>50</v>
      </c>
      <c r="S1996" t="s">
        <v>1671</v>
      </c>
      <c r="U1996" t="s">
        <v>1972</v>
      </c>
      <c r="W1996" t="s">
        <v>3031</v>
      </c>
      <c r="X1996" t="s">
        <v>13051</v>
      </c>
      <c r="Y1996" t="s">
        <v>2007</v>
      </c>
      <c r="Z1996" t="s">
        <v>2014</v>
      </c>
      <c r="AA1996" t="s">
        <v>2029</v>
      </c>
      <c r="AB1996" t="s">
        <v>14449</v>
      </c>
      <c r="AD1996" t="s">
        <v>16858</v>
      </c>
      <c r="AE1996">
        <v>1</v>
      </c>
      <c r="AF1996" t="s">
        <v>2903</v>
      </c>
      <c r="AG1996" t="s">
        <v>1754</v>
      </c>
      <c r="AH1996">
        <v>2</v>
      </c>
      <c r="AI1996">
        <v>1</v>
      </c>
      <c r="AJ1996">
        <v>0</v>
      </c>
      <c r="AK1996">
        <v>86.47</v>
      </c>
      <c r="AN1996" t="s">
        <v>2926</v>
      </c>
      <c r="AO1996">
        <v>10800</v>
      </c>
      <c r="AU1996">
        <v>0.8</v>
      </c>
      <c r="AV1996" t="s">
        <v>188</v>
      </c>
      <c r="AW1996" t="s">
        <v>151</v>
      </c>
      <c r="AX1996" t="s">
        <v>18685</v>
      </c>
    </row>
    <row r="1997" spans="1:50">
      <c r="A1997" s="1" t="s">
        <v>115</v>
      </c>
      <c r="B1997" t="s">
        <v>164</v>
      </c>
      <c r="C1997" t="s">
        <v>5207</v>
      </c>
      <c r="D1997" t="s">
        <v>265</v>
      </c>
      <c r="E1997" t="s">
        <v>286</v>
      </c>
      <c r="F1997" t="s">
        <v>7351</v>
      </c>
      <c r="G1997" t="s">
        <v>870</v>
      </c>
      <c r="H1997" t="s">
        <v>10289</v>
      </c>
      <c r="I1997" t="s">
        <v>1562</v>
      </c>
      <c r="J1997" t="s">
        <v>1641</v>
      </c>
      <c r="K1997">
        <v>10468</v>
      </c>
      <c r="L1997" t="s">
        <v>1670</v>
      </c>
      <c r="M1997" t="s">
        <v>1670</v>
      </c>
      <c r="O1997" t="s">
        <v>1675</v>
      </c>
      <c r="P1997" t="s">
        <v>1958</v>
      </c>
      <c r="Q1997" t="s">
        <v>1965</v>
      </c>
      <c r="R1997" t="s">
        <v>50</v>
      </c>
      <c r="S1997" t="s">
        <v>1671</v>
      </c>
      <c r="U1997" t="s">
        <v>1972</v>
      </c>
      <c r="W1997" t="s">
        <v>338</v>
      </c>
      <c r="X1997">
        <v>1505.6</v>
      </c>
      <c r="Y1997" t="s">
        <v>2006</v>
      </c>
      <c r="Z1997" t="s">
        <v>2015</v>
      </c>
      <c r="AA1997" t="s">
        <v>2029</v>
      </c>
      <c r="AB1997" t="s">
        <v>14450</v>
      </c>
      <c r="AD1997" t="s">
        <v>16859</v>
      </c>
      <c r="AE1997">
        <v>49</v>
      </c>
      <c r="AF1997" t="s">
        <v>2902</v>
      </c>
      <c r="AG1997" t="s">
        <v>2915</v>
      </c>
      <c r="AH1997">
        <v>8</v>
      </c>
      <c r="AI1997">
        <v>1</v>
      </c>
      <c r="AJ1997">
        <v>0</v>
      </c>
      <c r="AK1997">
        <v>86.47</v>
      </c>
      <c r="AN1997" t="s">
        <v>2927</v>
      </c>
      <c r="AO1997">
        <v>10800</v>
      </c>
      <c r="AU1997">
        <v>1.2</v>
      </c>
      <c r="AV1997" t="s">
        <v>286</v>
      </c>
      <c r="AW1997" t="s">
        <v>115</v>
      </c>
    </row>
    <row r="1998" spans="1:50">
      <c r="A1998" s="1" t="s">
        <v>132</v>
      </c>
      <c r="B1998" t="s">
        <v>163</v>
      </c>
      <c r="C1998" t="s">
        <v>5208</v>
      </c>
      <c r="D1998" t="s">
        <v>289</v>
      </c>
      <c r="F1998" t="s">
        <v>7303</v>
      </c>
      <c r="G1998" t="s">
        <v>811</v>
      </c>
      <c r="H1998" t="s">
        <v>1248</v>
      </c>
      <c r="I1998" t="s">
        <v>1571</v>
      </c>
      <c r="J1998" t="s">
        <v>1644</v>
      </c>
      <c r="K1998">
        <v>11213</v>
      </c>
      <c r="L1998" t="s">
        <v>1670</v>
      </c>
      <c r="M1998" t="s">
        <v>1672</v>
      </c>
      <c r="N1998" t="s">
        <v>1754</v>
      </c>
      <c r="O1998" t="s">
        <v>1937</v>
      </c>
      <c r="P1998" t="s">
        <v>1962</v>
      </c>
      <c r="R1998" t="s">
        <v>50</v>
      </c>
      <c r="S1998" t="s">
        <v>1670</v>
      </c>
      <c r="U1998" t="s">
        <v>1977</v>
      </c>
      <c r="V1998" t="s">
        <v>1984</v>
      </c>
      <c r="W1998" t="s">
        <v>266</v>
      </c>
      <c r="X1998">
        <v>380.62</v>
      </c>
      <c r="Y1998" t="s">
        <v>2009</v>
      </c>
      <c r="Z1998" t="s">
        <v>2016</v>
      </c>
      <c r="AB1998" t="s">
        <v>14451</v>
      </c>
      <c r="AC1998" t="s">
        <v>1754</v>
      </c>
      <c r="AD1998" t="s">
        <v>16860</v>
      </c>
      <c r="AE1998">
        <v>19</v>
      </c>
      <c r="AF1998" t="s">
        <v>2902</v>
      </c>
      <c r="AG1998" t="s">
        <v>1754</v>
      </c>
      <c r="AH1998">
        <v>8</v>
      </c>
      <c r="AI1998">
        <v>1</v>
      </c>
      <c r="AJ1998">
        <v>0</v>
      </c>
      <c r="AK1998">
        <v>86.47</v>
      </c>
      <c r="AN1998" t="s">
        <v>2926</v>
      </c>
      <c r="AO1998">
        <v>10800</v>
      </c>
      <c r="AU1998" t="s">
        <v>13051</v>
      </c>
      <c r="AW1998" t="s">
        <v>3060</v>
      </c>
      <c r="AX1998" t="s">
        <v>18685</v>
      </c>
    </row>
    <row r="1999" spans="1:50">
      <c r="A1999" s="1" t="s">
        <v>3145</v>
      </c>
      <c r="B1999" t="s">
        <v>163</v>
      </c>
      <c r="C1999" t="s">
        <v>5209</v>
      </c>
      <c r="D1999" t="s">
        <v>361</v>
      </c>
      <c r="F1999" t="s">
        <v>7587</v>
      </c>
      <c r="G1999" t="s">
        <v>8780</v>
      </c>
      <c r="H1999" t="s">
        <v>10290</v>
      </c>
      <c r="I1999">
        <v>1</v>
      </c>
      <c r="J1999" t="s">
        <v>1643</v>
      </c>
      <c r="K1999">
        <v>10032</v>
      </c>
      <c r="L1999" t="s">
        <v>1670</v>
      </c>
      <c r="M1999" t="s">
        <v>1672</v>
      </c>
      <c r="N1999" t="s">
        <v>12423</v>
      </c>
      <c r="O1999" t="s">
        <v>1936</v>
      </c>
      <c r="P1999" t="s">
        <v>1963</v>
      </c>
      <c r="R1999" t="s">
        <v>50</v>
      </c>
      <c r="S1999" t="s">
        <v>1671</v>
      </c>
      <c r="U1999" t="s">
        <v>1972</v>
      </c>
      <c r="W1999" t="s">
        <v>361</v>
      </c>
      <c r="X1999">
        <v>1308</v>
      </c>
      <c r="Y1999" t="s">
        <v>2008</v>
      </c>
      <c r="Z1999" t="s">
        <v>2014</v>
      </c>
      <c r="AB1999" t="s">
        <v>13371</v>
      </c>
      <c r="AD1999" t="s">
        <v>16861</v>
      </c>
      <c r="AE1999" t="s">
        <v>13051</v>
      </c>
      <c r="AF1999" t="s">
        <v>2902</v>
      </c>
      <c r="AG1999" t="s">
        <v>2915</v>
      </c>
      <c r="AH1999">
        <v>48</v>
      </c>
      <c r="AI1999">
        <v>1</v>
      </c>
      <c r="AJ1999">
        <v>0</v>
      </c>
      <c r="AK1999">
        <v>86.47</v>
      </c>
      <c r="AN1999" t="s">
        <v>2926</v>
      </c>
      <c r="AO1999">
        <v>10800</v>
      </c>
      <c r="AU1999">
        <v>3.15</v>
      </c>
      <c r="AV1999" t="s">
        <v>325</v>
      </c>
      <c r="AW1999" t="s">
        <v>3061</v>
      </c>
      <c r="AX1999" t="s">
        <v>18685</v>
      </c>
    </row>
    <row r="2000" spans="1:50">
      <c r="A2000" s="1" t="s">
        <v>91</v>
      </c>
      <c r="B2000" t="s">
        <v>163</v>
      </c>
      <c r="C2000" t="s">
        <v>5210</v>
      </c>
      <c r="D2000" t="s">
        <v>226</v>
      </c>
      <c r="F2000" t="s">
        <v>6843</v>
      </c>
      <c r="G2000" t="s">
        <v>8483</v>
      </c>
      <c r="H2000" t="s">
        <v>10291</v>
      </c>
      <c r="I2000">
        <v>32</v>
      </c>
      <c r="J2000" t="s">
        <v>1643</v>
      </c>
      <c r="K2000">
        <v>10034</v>
      </c>
      <c r="L2000" t="s">
        <v>1670</v>
      </c>
      <c r="M2000" t="s">
        <v>1670</v>
      </c>
      <c r="P2000" t="s">
        <v>1959</v>
      </c>
      <c r="R2000" t="s">
        <v>50</v>
      </c>
      <c r="S2000" t="s">
        <v>1671</v>
      </c>
      <c r="U2000" t="s">
        <v>1972</v>
      </c>
      <c r="W2000" t="s">
        <v>226</v>
      </c>
      <c r="X2000" t="s">
        <v>13051</v>
      </c>
      <c r="Y2000" t="s">
        <v>2008</v>
      </c>
      <c r="Z2000" t="s">
        <v>2013</v>
      </c>
      <c r="AB2000" t="s">
        <v>14452</v>
      </c>
      <c r="AD2000" t="s">
        <v>16862</v>
      </c>
      <c r="AE2000" t="s">
        <v>13051</v>
      </c>
      <c r="AF2000" t="s">
        <v>2902</v>
      </c>
      <c r="AG2000" t="s">
        <v>1754</v>
      </c>
      <c r="AH2000" t="s">
        <v>13051</v>
      </c>
      <c r="AI2000">
        <v>1</v>
      </c>
      <c r="AJ2000">
        <v>0</v>
      </c>
      <c r="AK2000">
        <v>86.47</v>
      </c>
      <c r="AN2000" t="s">
        <v>2926</v>
      </c>
      <c r="AO2000">
        <v>10800</v>
      </c>
      <c r="AU2000">
        <v>2.7</v>
      </c>
      <c r="AV2000" t="s">
        <v>272</v>
      </c>
      <c r="AW2000" t="s">
        <v>3042</v>
      </c>
    </row>
    <row r="2001" spans="1:50">
      <c r="A2001" s="1" t="s">
        <v>145</v>
      </c>
      <c r="B2001" t="s">
        <v>163</v>
      </c>
      <c r="C2001" t="s">
        <v>5211</v>
      </c>
      <c r="D2001" t="s">
        <v>290</v>
      </c>
      <c r="F2001" t="s">
        <v>7303</v>
      </c>
      <c r="G2001" t="s">
        <v>811</v>
      </c>
      <c r="H2001" t="s">
        <v>1248</v>
      </c>
      <c r="I2001" t="s">
        <v>1571</v>
      </c>
      <c r="J2001" t="s">
        <v>1644</v>
      </c>
      <c r="K2001">
        <v>11213</v>
      </c>
      <c r="L2001" t="s">
        <v>1670</v>
      </c>
      <c r="M2001" t="s">
        <v>1672</v>
      </c>
      <c r="O2001" t="s">
        <v>1946</v>
      </c>
      <c r="P2001" t="s">
        <v>1964</v>
      </c>
      <c r="R2001" t="s">
        <v>50</v>
      </c>
      <c r="S2001" t="s">
        <v>1670</v>
      </c>
      <c r="U2001" t="s">
        <v>1978</v>
      </c>
      <c r="V2001" t="s">
        <v>1984</v>
      </c>
      <c r="W2001" t="s">
        <v>275</v>
      </c>
      <c r="X2001">
        <v>380.62</v>
      </c>
      <c r="Y2001" t="s">
        <v>2009</v>
      </c>
      <c r="Z2001" t="s">
        <v>2016</v>
      </c>
      <c r="AB2001" t="s">
        <v>14451</v>
      </c>
      <c r="AD2001" t="s">
        <v>16860</v>
      </c>
      <c r="AE2001">
        <v>19</v>
      </c>
      <c r="AF2001" t="s">
        <v>2902</v>
      </c>
      <c r="AH2001">
        <v>8</v>
      </c>
      <c r="AI2001">
        <v>1</v>
      </c>
      <c r="AJ2001">
        <v>0</v>
      </c>
      <c r="AK2001">
        <v>86.47</v>
      </c>
      <c r="AN2001" t="s">
        <v>2926</v>
      </c>
      <c r="AO2001">
        <v>10800</v>
      </c>
      <c r="AP2001" t="s">
        <v>18321</v>
      </c>
      <c r="AU2001">
        <v>7.5</v>
      </c>
      <c r="AV2001" t="s">
        <v>289</v>
      </c>
      <c r="AW2001" t="s">
        <v>3060</v>
      </c>
      <c r="AX2001" t="s">
        <v>18685</v>
      </c>
    </row>
    <row r="2002" spans="1:50">
      <c r="A2002" s="1" t="s">
        <v>145</v>
      </c>
      <c r="B2002" t="s">
        <v>163</v>
      </c>
      <c r="C2002" t="s">
        <v>5212</v>
      </c>
      <c r="D2002" t="s">
        <v>191</v>
      </c>
      <c r="F2002" t="s">
        <v>7303</v>
      </c>
      <c r="G2002" t="s">
        <v>811</v>
      </c>
      <c r="H2002" t="s">
        <v>1248</v>
      </c>
      <c r="I2002" t="s">
        <v>1571</v>
      </c>
      <c r="J2002" t="s">
        <v>1644</v>
      </c>
      <c r="K2002">
        <v>11213</v>
      </c>
      <c r="L2002" t="s">
        <v>1670</v>
      </c>
      <c r="M2002" t="s">
        <v>1672</v>
      </c>
      <c r="N2002" t="s">
        <v>12424</v>
      </c>
      <c r="O2002" t="s">
        <v>1936</v>
      </c>
      <c r="P2002" t="s">
        <v>1960</v>
      </c>
      <c r="R2002" t="s">
        <v>50</v>
      </c>
      <c r="S2002" t="s">
        <v>1671</v>
      </c>
      <c r="U2002" t="s">
        <v>1972</v>
      </c>
      <c r="V2002" t="s">
        <v>1984</v>
      </c>
      <c r="W2002" t="s">
        <v>191</v>
      </c>
      <c r="X2002">
        <v>380.62</v>
      </c>
      <c r="Y2002" t="s">
        <v>2009</v>
      </c>
      <c r="Z2002" t="s">
        <v>2016</v>
      </c>
      <c r="AB2002" t="s">
        <v>14451</v>
      </c>
      <c r="AD2002" t="s">
        <v>16860</v>
      </c>
      <c r="AE2002">
        <v>19</v>
      </c>
      <c r="AF2002" t="s">
        <v>2902</v>
      </c>
      <c r="AH2002">
        <v>8</v>
      </c>
      <c r="AI2002">
        <v>1</v>
      </c>
      <c r="AJ2002">
        <v>0</v>
      </c>
      <c r="AK2002">
        <v>86.47</v>
      </c>
      <c r="AN2002" t="s">
        <v>2926</v>
      </c>
      <c r="AO2002">
        <v>10800</v>
      </c>
      <c r="AU2002">
        <v>7</v>
      </c>
      <c r="AV2002" t="s">
        <v>405</v>
      </c>
      <c r="AW2002" t="s">
        <v>145</v>
      </c>
      <c r="AX2002" t="s">
        <v>18685</v>
      </c>
    </row>
    <row r="2003" spans="1:50">
      <c r="A2003" s="1" t="s">
        <v>54</v>
      </c>
      <c r="B2003" t="s">
        <v>164</v>
      </c>
      <c r="C2003" t="s">
        <v>5213</v>
      </c>
      <c r="D2003" t="s">
        <v>180</v>
      </c>
      <c r="E2003" t="s">
        <v>371</v>
      </c>
      <c r="F2003" t="s">
        <v>7588</v>
      </c>
      <c r="G2003" t="s">
        <v>914</v>
      </c>
      <c r="H2003" t="s">
        <v>10292</v>
      </c>
      <c r="I2003" t="s">
        <v>1508</v>
      </c>
      <c r="J2003" t="s">
        <v>1643</v>
      </c>
      <c r="K2003">
        <v>10034</v>
      </c>
      <c r="L2003" t="s">
        <v>1670</v>
      </c>
      <c r="M2003" t="s">
        <v>1670</v>
      </c>
      <c r="O2003" t="s">
        <v>1953</v>
      </c>
      <c r="P2003" t="s">
        <v>1958</v>
      </c>
      <c r="Q2003" t="s">
        <v>1965</v>
      </c>
      <c r="R2003" t="s">
        <v>50</v>
      </c>
      <c r="S2003" t="s">
        <v>1671</v>
      </c>
      <c r="U2003" t="s">
        <v>1972</v>
      </c>
      <c r="W2003" t="s">
        <v>180</v>
      </c>
      <c r="X2003">
        <v>1450</v>
      </c>
      <c r="Y2003" t="s">
        <v>2008</v>
      </c>
      <c r="Z2003" t="s">
        <v>2013</v>
      </c>
      <c r="AA2003" t="s">
        <v>2029</v>
      </c>
      <c r="AB2003" t="s">
        <v>14453</v>
      </c>
      <c r="AD2003" t="s">
        <v>16863</v>
      </c>
      <c r="AE2003">
        <v>73</v>
      </c>
      <c r="AF2003" t="s">
        <v>2902</v>
      </c>
      <c r="AG2003" t="s">
        <v>1754</v>
      </c>
      <c r="AH2003">
        <v>9</v>
      </c>
      <c r="AI2003">
        <v>1</v>
      </c>
      <c r="AJ2003">
        <v>0</v>
      </c>
      <c r="AK2003">
        <v>86.48999999999999</v>
      </c>
      <c r="AN2003" t="s">
        <v>2927</v>
      </c>
      <c r="AO2003">
        <v>10500</v>
      </c>
      <c r="AU2003">
        <v>0.4</v>
      </c>
      <c r="AV2003" t="s">
        <v>321</v>
      </c>
      <c r="AW2003" t="s">
        <v>3042</v>
      </c>
    </row>
    <row r="2004" spans="1:50">
      <c r="A2004" s="1" t="s">
        <v>69</v>
      </c>
      <c r="B2004" t="s">
        <v>163</v>
      </c>
      <c r="C2004" t="s">
        <v>5214</v>
      </c>
      <c r="D2004" t="s">
        <v>6196</v>
      </c>
      <c r="F2004" t="s">
        <v>454</v>
      </c>
      <c r="G2004" t="s">
        <v>8781</v>
      </c>
      <c r="H2004" t="s">
        <v>10293</v>
      </c>
      <c r="I2004" t="s">
        <v>11328</v>
      </c>
      <c r="J2004" t="s">
        <v>1644</v>
      </c>
      <c r="K2004">
        <v>11233</v>
      </c>
      <c r="L2004" t="s">
        <v>1670</v>
      </c>
      <c r="M2004" t="s">
        <v>1670</v>
      </c>
      <c r="N2004" t="s">
        <v>12425</v>
      </c>
      <c r="O2004" t="s">
        <v>1949</v>
      </c>
      <c r="P2004" t="s">
        <v>1959</v>
      </c>
      <c r="R2004" t="s">
        <v>50</v>
      </c>
      <c r="S2004" t="s">
        <v>1671</v>
      </c>
      <c r="U2004" t="s">
        <v>1972</v>
      </c>
      <c r="W2004" t="s">
        <v>1992</v>
      </c>
      <c r="X2004">
        <v>654</v>
      </c>
      <c r="Y2004" t="s">
        <v>2009</v>
      </c>
      <c r="Z2004" t="s">
        <v>2021</v>
      </c>
      <c r="AB2004" t="s">
        <v>14265</v>
      </c>
      <c r="AC2004" t="s">
        <v>15244</v>
      </c>
      <c r="AD2004" t="s">
        <v>16864</v>
      </c>
      <c r="AE2004">
        <v>16</v>
      </c>
      <c r="AF2004" t="s">
        <v>2902</v>
      </c>
      <c r="AG2004" t="s">
        <v>1754</v>
      </c>
      <c r="AH2004">
        <v>36</v>
      </c>
      <c r="AI2004">
        <v>1</v>
      </c>
      <c r="AJ2004">
        <v>0</v>
      </c>
      <c r="AK2004">
        <v>86.48999999999999</v>
      </c>
      <c r="AN2004" t="s">
        <v>2926</v>
      </c>
      <c r="AO2004">
        <v>10500</v>
      </c>
      <c r="AU2004">
        <v>12.1</v>
      </c>
      <c r="AV2004" t="s">
        <v>242</v>
      </c>
      <c r="AW2004" t="s">
        <v>3079</v>
      </c>
    </row>
    <row r="2005" spans="1:50">
      <c r="A2005" s="1" t="s">
        <v>118</v>
      </c>
      <c r="B2005" t="s">
        <v>163</v>
      </c>
      <c r="C2005" t="s">
        <v>5215</v>
      </c>
      <c r="D2005" t="s">
        <v>193</v>
      </c>
      <c r="F2005" t="s">
        <v>6921</v>
      </c>
      <c r="G2005" t="s">
        <v>8782</v>
      </c>
      <c r="H2005" t="s">
        <v>10294</v>
      </c>
      <c r="I2005" t="s">
        <v>1510</v>
      </c>
      <c r="J2005" t="s">
        <v>1641</v>
      </c>
      <c r="K2005">
        <v>10452</v>
      </c>
      <c r="L2005" t="s">
        <v>1670</v>
      </c>
      <c r="M2005" t="s">
        <v>1670</v>
      </c>
      <c r="O2005" t="s">
        <v>1675</v>
      </c>
      <c r="P2005" t="s">
        <v>1959</v>
      </c>
      <c r="R2005" t="s">
        <v>50</v>
      </c>
      <c r="S2005" t="s">
        <v>1670</v>
      </c>
      <c r="U2005" t="s">
        <v>1972</v>
      </c>
      <c r="W2005" t="s">
        <v>1991</v>
      </c>
      <c r="X2005">
        <v>831.73</v>
      </c>
      <c r="Y2005" t="s">
        <v>2006</v>
      </c>
      <c r="Z2005" t="s">
        <v>2015</v>
      </c>
      <c r="AB2005" t="s">
        <v>13871</v>
      </c>
      <c r="AC2005">
        <v>86252178934</v>
      </c>
      <c r="AD2005" t="s">
        <v>16865</v>
      </c>
      <c r="AE2005">
        <v>60</v>
      </c>
      <c r="AF2005" t="s">
        <v>2902</v>
      </c>
      <c r="AG2005" t="s">
        <v>1754</v>
      </c>
      <c r="AH2005" t="s">
        <v>13051</v>
      </c>
      <c r="AI2005">
        <v>1</v>
      </c>
      <c r="AJ2005">
        <v>0</v>
      </c>
      <c r="AK2005">
        <v>86.51000000000001</v>
      </c>
      <c r="AN2005" t="s">
        <v>2926</v>
      </c>
      <c r="AO2005">
        <v>10804.8</v>
      </c>
      <c r="AU2005" t="s">
        <v>13051</v>
      </c>
      <c r="AW2005" t="s">
        <v>3046</v>
      </c>
      <c r="AX2005" t="s">
        <v>18685</v>
      </c>
    </row>
    <row r="2006" spans="1:50">
      <c r="A2006" s="1" t="s">
        <v>94</v>
      </c>
      <c r="B2006" t="s">
        <v>163</v>
      </c>
      <c r="C2006" t="s">
        <v>5216</v>
      </c>
      <c r="D2006" t="s">
        <v>348</v>
      </c>
      <c r="F2006" t="s">
        <v>7589</v>
      </c>
      <c r="G2006" t="s">
        <v>8783</v>
      </c>
      <c r="H2006" t="s">
        <v>9407</v>
      </c>
      <c r="I2006" t="s">
        <v>1486</v>
      </c>
      <c r="J2006" t="s">
        <v>1643</v>
      </c>
      <c r="K2006">
        <v>10040</v>
      </c>
      <c r="L2006" t="s">
        <v>1670</v>
      </c>
      <c r="M2006" t="s">
        <v>1670</v>
      </c>
      <c r="O2006" t="s">
        <v>1938</v>
      </c>
      <c r="P2006" t="s">
        <v>1960</v>
      </c>
      <c r="R2006" t="s">
        <v>50</v>
      </c>
      <c r="S2006" t="s">
        <v>1670</v>
      </c>
      <c r="U2006" t="s">
        <v>1972</v>
      </c>
      <c r="W2006" t="s">
        <v>348</v>
      </c>
      <c r="X2006">
        <v>531.28</v>
      </c>
      <c r="Y2006" t="s">
        <v>2008</v>
      </c>
      <c r="Z2006" t="s">
        <v>2016</v>
      </c>
      <c r="AB2006" t="s">
        <v>14454</v>
      </c>
      <c r="AD2006" t="s">
        <v>16866</v>
      </c>
      <c r="AE2006">
        <v>88</v>
      </c>
      <c r="AF2006" t="s">
        <v>2902</v>
      </c>
      <c r="AG2006" t="s">
        <v>2919</v>
      </c>
      <c r="AH2006">
        <v>40</v>
      </c>
      <c r="AI2006">
        <v>1</v>
      </c>
      <c r="AJ2006">
        <v>0</v>
      </c>
      <c r="AK2006">
        <v>86.98999999999999</v>
      </c>
      <c r="AN2006" t="s">
        <v>2927</v>
      </c>
      <c r="AO2006">
        <v>10560</v>
      </c>
      <c r="AU2006" t="s">
        <v>13051</v>
      </c>
      <c r="AW2006" t="s">
        <v>3042</v>
      </c>
    </row>
    <row r="2007" spans="1:50">
      <c r="A2007" s="1" t="s">
        <v>101</v>
      </c>
      <c r="B2007" t="s">
        <v>164</v>
      </c>
      <c r="C2007" t="s">
        <v>5217</v>
      </c>
      <c r="D2007" t="s">
        <v>295</v>
      </c>
      <c r="E2007" t="s">
        <v>405</v>
      </c>
      <c r="F2007" t="s">
        <v>7590</v>
      </c>
      <c r="G2007" t="s">
        <v>8784</v>
      </c>
      <c r="H2007" t="s">
        <v>9845</v>
      </c>
      <c r="I2007" t="s">
        <v>11079</v>
      </c>
      <c r="J2007" t="s">
        <v>1643</v>
      </c>
      <c r="K2007">
        <v>10029</v>
      </c>
      <c r="L2007" t="s">
        <v>1670</v>
      </c>
      <c r="M2007" t="s">
        <v>1670</v>
      </c>
      <c r="O2007" t="s">
        <v>1944</v>
      </c>
      <c r="P2007" t="s">
        <v>1962</v>
      </c>
      <c r="Q2007" t="s">
        <v>1966</v>
      </c>
      <c r="R2007" t="s">
        <v>50</v>
      </c>
      <c r="S2007" t="s">
        <v>1671</v>
      </c>
      <c r="U2007" t="s">
        <v>1976</v>
      </c>
      <c r="V2007" t="s">
        <v>1984</v>
      </c>
      <c r="W2007" t="s">
        <v>295</v>
      </c>
      <c r="X2007">
        <v>1100</v>
      </c>
      <c r="Y2007" t="s">
        <v>2008</v>
      </c>
      <c r="Z2007" t="s">
        <v>2020</v>
      </c>
      <c r="AA2007" t="s">
        <v>13064</v>
      </c>
      <c r="AB2007" t="s">
        <v>14455</v>
      </c>
      <c r="AD2007" t="s">
        <v>16867</v>
      </c>
      <c r="AE2007">
        <v>120</v>
      </c>
      <c r="AF2007" t="s">
        <v>2906</v>
      </c>
      <c r="AG2007" t="s">
        <v>2915</v>
      </c>
      <c r="AH2007">
        <v>15</v>
      </c>
      <c r="AI2007">
        <v>1</v>
      </c>
      <c r="AJ2007">
        <v>0</v>
      </c>
      <c r="AK2007">
        <v>87.09</v>
      </c>
      <c r="AN2007" t="s">
        <v>2926</v>
      </c>
      <c r="AO2007">
        <v>10878</v>
      </c>
      <c r="AU2007">
        <v>16.25</v>
      </c>
      <c r="AV2007" t="s">
        <v>193</v>
      </c>
      <c r="AW2007" t="s">
        <v>3051</v>
      </c>
    </row>
    <row r="2008" spans="1:50">
      <c r="A2008" s="1" t="s">
        <v>82</v>
      </c>
      <c r="B2008" t="s">
        <v>163</v>
      </c>
      <c r="C2008" t="s">
        <v>5218</v>
      </c>
      <c r="D2008" t="s">
        <v>186</v>
      </c>
      <c r="F2008" t="s">
        <v>460</v>
      </c>
      <c r="G2008" t="s">
        <v>1016</v>
      </c>
      <c r="H2008" t="s">
        <v>9420</v>
      </c>
      <c r="I2008" t="s">
        <v>11329</v>
      </c>
      <c r="J2008" t="s">
        <v>1644</v>
      </c>
      <c r="K2008">
        <v>11233</v>
      </c>
      <c r="L2008" t="s">
        <v>1670</v>
      </c>
      <c r="M2008" t="s">
        <v>1671</v>
      </c>
      <c r="O2008" t="s">
        <v>1937</v>
      </c>
      <c r="P2008" t="s">
        <v>1962</v>
      </c>
      <c r="R2008" t="s">
        <v>50</v>
      </c>
      <c r="S2008" t="s">
        <v>1670</v>
      </c>
      <c r="U2008" t="s">
        <v>1972</v>
      </c>
      <c r="V2008" t="s">
        <v>1984</v>
      </c>
      <c r="W2008" t="s">
        <v>221</v>
      </c>
      <c r="X2008">
        <v>603.74</v>
      </c>
      <c r="Y2008" t="s">
        <v>2009</v>
      </c>
      <c r="Z2008" t="s">
        <v>2017</v>
      </c>
      <c r="AB2008" t="s">
        <v>14456</v>
      </c>
      <c r="AE2008">
        <v>359</v>
      </c>
      <c r="AF2008" t="s">
        <v>2902</v>
      </c>
      <c r="AH2008">
        <v>50</v>
      </c>
      <c r="AI2008">
        <v>1</v>
      </c>
      <c r="AJ2008">
        <v>0</v>
      </c>
      <c r="AK2008">
        <v>87.33</v>
      </c>
      <c r="AN2008" t="s">
        <v>2926</v>
      </c>
      <c r="AO2008">
        <v>10908</v>
      </c>
      <c r="AP2008" t="s">
        <v>18322</v>
      </c>
      <c r="AU2008" t="s">
        <v>13051</v>
      </c>
      <c r="AW2008" t="s">
        <v>3059</v>
      </c>
    </row>
    <row r="2009" spans="1:50">
      <c r="A2009" s="1" t="s">
        <v>82</v>
      </c>
      <c r="B2009" t="s">
        <v>163</v>
      </c>
      <c r="C2009" t="s">
        <v>5219</v>
      </c>
      <c r="D2009" t="s">
        <v>186</v>
      </c>
      <c r="F2009" t="s">
        <v>460</v>
      </c>
      <c r="G2009" t="s">
        <v>1016</v>
      </c>
      <c r="H2009" t="s">
        <v>9420</v>
      </c>
      <c r="I2009" t="s">
        <v>11329</v>
      </c>
      <c r="J2009" t="s">
        <v>1644</v>
      </c>
      <c r="K2009">
        <v>11233</v>
      </c>
      <c r="L2009" t="s">
        <v>1670</v>
      </c>
      <c r="M2009" t="s">
        <v>1671</v>
      </c>
      <c r="O2009" t="s">
        <v>1938</v>
      </c>
      <c r="P2009" t="s">
        <v>1961</v>
      </c>
      <c r="R2009" t="s">
        <v>50</v>
      </c>
      <c r="S2009" t="s">
        <v>1670</v>
      </c>
      <c r="U2009" t="s">
        <v>1972</v>
      </c>
      <c r="V2009" t="s">
        <v>1984</v>
      </c>
      <c r="W2009" t="s">
        <v>248</v>
      </c>
      <c r="X2009">
        <v>603.74</v>
      </c>
      <c r="Y2009" t="s">
        <v>2009</v>
      </c>
      <c r="Z2009" t="s">
        <v>2017</v>
      </c>
      <c r="AB2009" t="s">
        <v>14456</v>
      </c>
      <c r="AE2009">
        <v>359</v>
      </c>
      <c r="AF2009" t="s">
        <v>2902</v>
      </c>
      <c r="AG2009" t="s">
        <v>1754</v>
      </c>
      <c r="AH2009">
        <v>50</v>
      </c>
      <c r="AI2009">
        <v>1</v>
      </c>
      <c r="AJ2009">
        <v>0</v>
      </c>
      <c r="AK2009">
        <v>87.33</v>
      </c>
      <c r="AN2009" t="s">
        <v>2926</v>
      </c>
      <c r="AO2009">
        <v>10908</v>
      </c>
      <c r="AP2009" t="s">
        <v>18139</v>
      </c>
      <c r="AU2009" t="s">
        <v>13051</v>
      </c>
      <c r="AW2009" t="s">
        <v>3059</v>
      </c>
    </row>
    <row r="2010" spans="1:50">
      <c r="A2010" s="1" t="s">
        <v>54</v>
      </c>
      <c r="B2010" t="s">
        <v>164</v>
      </c>
      <c r="C2010" t="s">
        <v>5220</v>
      </c>
      <c r="D2010" t="s">
        <v>187</v>
      </c>
      <c r="E2010" t="s">
        <v>273</v>
      </c>
      <c r="F2010" t="s">
        <v>7591</v>
      </c>
      <c r="G2010" t="s">
        <v>8785</v>
      </c>
      <c r="H2010" t="s">
        <v>10295</v>
      </c>
      <c r="I2010" t="s">
        <v>1600</v>
      </c>
      <c r="J2010" t="s">
        <v>1643</v>
      </c>
      <c r="K2010">
        <v>10034</v>
      </c>
      <c r="L2010" t="s">
        <v>1670</v>
      </c>
      <c r="M2010" t="s">
        <v>1670</v>
      </c>
      <c r="P2010" t="s">
        <v>1958</v>
      </c>
      <c r="Q2010" t="s">
        <v>1965</v>
      </c>
      <c r="R2010" t="s">
        <v>50</v>
      </c>
      <c r="S2010" t="s">
        <v>1671</v>
      </c>
      <c r="U2010" t="s">
        <v>1972</v>
      </c>
      <c r="W2010" t="s">
        <v>187</v>
      </c>
      <c r="X2010">
        <v>690.7</v>
      </c>
      <c r="Y2010" t="s">
        <v>2008</v>
      </c>
      <c r="Z2010" t="s">
        <v>2013</v>
      </c>
      <c r="AA2010" t="s">
        <v>2029</v>
      </c>
      <c r="AB2010" t="s">
        <v>14457</v>
      </c>
      <c r="AD2010" t="s">
        <v>16868</v>
      </c>
      <c r="AE2010">
        <v>22</v>
      </c>
      <c r="AF2010" t="s">
        <v>2902</v>
      </c>
      <c r="AG2010" t="s">
        <v>2919</v>
      </c>
      <c r="AH2010">
        <v>40</v>
      </c>
      <c r="AI2010">
        <v>1</v>
      </c>
      <c r="AJ2010">
        <v>0</v>
      </c>
      <c r="AK2010">
        <v>87.38</v>
      </c>
      <c r="AN2010" t="s">
        <v>2927</v>
      </c>
      <c r="AO2010">
        <v>10608</v>
      </c>
      <c r="AU2010">
        <v>0.2</v>
      </c>
      <c r="AV2010" t="s">
        <v>371</v>
      </c>
      <c r="AW2010" t="s">
        <v>3042</v>
      </c>
    </row>
    <row r="2011" spans="1:50">
      <c r="A2011" s="1" t="s">
        <v>72</v>
      </c>
      <c r="B2011" t="s">
        <v>163</v>
      </c>
      <c r="C2011" t="s">
        <v>5221</v>
      </c>
      <c r="D2011" t="s">
        <v>3030</v>
      </c>
      <c r="F2011" t="s">
        <v>7592</v>
      </c>
      <c r="G2011" t="s">
        <v>8256</v>
      </c>
      <c r="H2011" t="s">
        <v>10296</v>
      </c>
      <c r="I2011" t="s">
        <v>1488</v>
      </c>
      <c r="J2011" t="s">
        <v>1643</v>
      </c>
      <c r="K2011">
        <v>10024</v>
      </c>
      <c r="L2011" t="s">
        <v>1670</v>
      </c>
      <c r="M2011" t="s">
        <v>1672</v>
      </c>
      <c r="O2011" t="s">
        <v>1939</v>
      </c>
      <c r="P2011" t="s">
        <v>1963</v>
      </c>
      <c r="R2011" t="s">
        <v>50</v>
      </c>
      <c r="S2011" t="s">
        <v>1670</v>
      </c>
      <c r="U2011" t="s">
        <v>1972</v>
      </c>
      <c r="V2011" t="s">
        <v>1984</v>
      </c>
      <c r="W2011" t="s">
        <v>333</v>
      </c>
      <c r="X2011">
        <v>670</v>
      </c>
      <c r="Y2011" t="s">
        <v>2008</v>
      </c>
      <c r="Z2011" t="s">
        <v>2028</v>
      </c>
      <c r="AB2011" t="s">
        <v>14458</v>
      </c>
      <c r="AD2011" t="s">
        <v>16869</v>
      </c>
      <c r="AE2011">
        <v>12</v>
      </c>
      <c r="AF2011" t="s">
        <v>2908</v>
      </c>
      <c r="AG2011" t="s">
        <v>1754</v>
      </c>
      <c r="AH2011">
        <v>45</v>
      </c>
      <c r="AI2011">
        <v>2</v>
      </c>
      <c r="AJ2011">
        <v>0</v>
      </c>
      <c r="AK2011">
        <v>87.43000000000001</v>
      </c>
      <c r="AN2011" t="s">
        <v>2926</v>
      </c>
      <c r="AO2011">
        <v>14784</v>
      </c>
      <c r="AU2011" t="s">
        <v>13051</v>
      </c>
      <c r="AW2011" t="s">
        <v>3051</v>
      </c>
      <c r="AX2011" t="s">
        <v>18685</v>
      </c>
    </row>
    <row r="2012" spans="1:50">
      <c r="A2012" s="1" t="s">
        <v>107</v>
      </c>
      <c r="B2012" t="s">
        <v>163</v>
      </c>
      <c r="C2012" t="s">
        <v>5222</v>
      </c>
      <c r="D2012" t="s">
        <v>266</v>
      </c>
      <c r="F2012" t="s">
        <v>7593</v>
      </c>
      <c r="G2012" t="s">
        <v>8786</v>
      </c>
      <c r="H2012" t="s">
        <v>10297</v>
      </c>
      <c r="I2012">
        <v>1</v>
      </c>
      <c r="J2012" t="s">
        <v>1644</v>
      </c>
      <c r="K2012">
        <v>11208</v>
      </c>
      <c r="L2012" t="s">
        <v>1670</v>
      </c>
      <c r="M2012" t="s">
        <v>1670</v>
      </c>
      <c r="N2012" t="s">
        <v>12426</v>
      </c>
      <c r="O2012" t="s">
        <v>1940</v>
      </c>
      <c r="P2012" t="s">
        <v>1960</v>
      </c>
      <c r="R2012" t="s">
        <v>50</v>
      </c>
      <c r="S2012" t="s">
        <v>1671</v>
      </c>
      <c r="U2012" t="s">
        <v>1972</v>
      </c>
      <c r="W2012" t="s">
        <v>316</v>
      </c>
      <c r="X2012">
        <v>1268</v>
      </c>
      <c r="Y2012" t="s">
        <v>2009</v>
      </c>
      <c r="Z2012" t="s">
        <v>2014</v>
      </c>
      <c r="AB2012" t="s">
        <v>13205</v>
      </c>
      <c r="AC2012" t="s">
        <v>15245</v>
      </c>
      <c r="AE2012">
        <v>3</v>
      </c>
      <c r="AF2012" t="s">
        <v>2903</v>
      </c>
      <c r="AG2012" t="s">
        <v>2916</v>
      </c>
      <c r="AH2012">
        <v>1</v>
      </c>
      <c r="AI2012">
        <v>1</v>
      </c>
      <c r="AJ2012">
        <v>0</v>
      </c>
      <c r="AK2012">
        <v>87.43000000000001</v>
      </c>
      <c r="AN2012" t="s">
        <v>2926</v>
      </c>
      <c r="AO2012">
        <v>10920</v>
      </c>
      <c r="AU2012">
        <v>42.1</v>
      </c>
      <c r="AV2012" t="s">
        <v>220</v>
      </c>
      <c r="AW2012" t="s">
        <v>3059</v>
      </c>
    </row>
    <row r="2013" spans="1:50">
      <c r="A2013" s="1" t="s">
        <v>103</v>
      </c>
      <c r="B2013" t="s">
        <v>163</v>
      </c>
      <c r="C2013" t="s">
        <v>5223</v>
      </c>
      <c r="D2013" t="s">
        <v>177</v>
      </c>
      <c r="F2013" t="s">
        <v>7391</v>
      </c>
      <c r="G2013" t="s">
        <v>8787</v>
      </c>
      <c r="H2013" t="s">
        <v>9574</v>
      </c>
      <c r="I2013" t="s">
        <v>11330</v>
      </c>
      <c r="J2013" t="s">
        <v>1644</v>
      </c>
      <c r="K2013">
        <v>11208</v>
      </c>
      <c r="L2013" t="s">
        <v>1670</v>
      </c>
      <c r="M2013" t="s">
        <v>1671</v>
      </c>
      <c r="N2013" t="s">
        <v>12427</v>
      </c>
      <c r="O2013" t="s">
        <v>1936</v>
      </c>
      <c r="P2013" t="s">
        <v>1960</v>
      </c>
      <c r="R2013" t="s">
        <v>50</v>
      </c>
      <c r="S2013" t="s">
        <v>1671</v>
      </c>
      <c r="U2013" t="s">
        <v>1972</v>
      </c>
      <c r="V2013" t="s">
        <v>1984</v>
      </c>
      <c r="W2013" t="s">
        <v>327</v>
      </c>
      <c r="X2013">
        <v>1174</v>
      </c>
      <c r="Y2013" t="s">
        <v>2009</v>
      </c>
      <c r="Z2013" t="s">
        <v>2014</v>
      </c>
      <c r="AB2013" t="s">
        <v>14459</v>
      </c>
      <c r="AC2013" t="s">
        <v>15246</v>
      </c>
      <c r="AD2013" t="s">
        <v>16870</v>
      </c>
      <c r="AE2013" t="s">
        <v>13051</v>
      </c>
      <c r="AF2013" t="s">
        <v>2902</v>
      </c>
      <c r="AG2013" t="s">
        <v>2920</v>
      </c>
      <c r="AH2013">
        <v>4</v>
      </c>
      <c r="AI2013">
        <v>1</v>
      </c>
      <c r="AJ2013">
        <v>0</v>
      </c>
      <c r="AK2013">
        <v>87.43000000000001</v>
      </c>
      <c r="AN2013" t="s">
        <v>2926</v>
      </c>
      <c r="AO2013">
        <v>10920</v>
      </c>
      <c r="AU2013">
        <v>21.75</v>
      </c>
      <c r="AV2013" t="s">
        <v>325</v>
      </c>
      <c r="AW2013" t="s">
        <v>3060</v>
      </c>
      <c r="AX2013" t="s">
        <v>18685</v>
      </c>
    </row>
    <row r="2014" spans="1:50">
      <c r="A2014" s="1" t="s">
        <v>123</v>
      </c>
      <c r="B2014" t="s">
        <v>163</v>
      </c>
      <c r="C2014" t="s">
        <v>5224</v>
      </c>
      <c r="D2014" t="s">
        <v>406</v>
      </c>
      <c r="F2014" t="s">
        <v>7594</v>
      </c>
      <c r="G2014" t="s">
        <v>8788</v>
      </c>
      <c r="H2014" t="s">
        <v>10298</v>
      </c>
      <c r="I2014" t="s">
        <v>1538</v>
      </c>
      <c r="J2014" t="s">
        <v>1641</v>
      </c>
      <c r="K2014">
        <v>10453</v>
      </c>
      <c r="L2014" t="s">
        <v>1670</v>
      </c>
      <c r="M2014" t="s">
        <v>1670</v>
      </c>
      <c r="O2014" t="s">
        <v>1675</v>
      </c>
      <c r="P2014" t="s">
        <v>1962</v>
      </c>
      <c r="R2014" t="s">
        <v>50</v>
      </c>
      <c r="U2014" t="s">
        <v>1972</v>
      </c>
      <c r="W2014" t="s">
        <v>406</v>
      </c>
      <c r="X2014">
        <v>1260</v>
      </c>
      <c r="Y2014" t="s">
        <v>2006</v>
      </c>
      <c r="Z2014" t="s">
        <v>2013</v>
      </c>
      <c r="AB2014" t="s">
        <v>14460</v>
      </c>
      <c r="AD2014" t="s">
        <v>16871</v>
      </c>
      <c r="AE2014" t="s">
        <v>13051</v>
      </c>
      <c r="AF2014" t="s">
        <v>2902</v>
      </c>
      <c r="AG2014" t="s">
        <v>2915</v>
      </c>
      <c r="AH2014">
        <v>6</v>
      </c>
      <c r="AI2014">
        <v>2</v>
      </c>
      <c r="AJ2014">
        <v>0</v>
      </c>
      <c r="AK2014">
        <v>87.84999999999999</v>
      </c>
      <c r="AN2014" t="s">
        <v>2927</v>
      </c>
      <c r="AO2014">
        <v>14856</v>
      </c>
      <c r="AU2014">
        <v>0.85</v>
      </c>
      <c r="AV2014" t="s">
        <v>3030</v>
      </c>
      <c r="AW2014" t="s">
        <v>123</v>
      </c>
    </row>
    <row r="2015" spans="1:50">
      <c r="A2015" s="1" t="s">
        <v>59</v>
      </c>
      <c r="B2015" t="s">
        <v>163</v>
      </c>
      <c r="C2015" t="s">
        <v>5225</v>
      </c>
      <c r="D2015" t="s">
        <v>198</v>
      </c>
      <c r="F2015" t="s">
        <v>7595</v>
      </c>
      <c r="G2015" t="s">
        <v>8789</v>
      </c>
      <c r="H2015" t="s">
        <v>10299</v>
      </c>
      <c r="I2015" t="s">
        <v>11331</v>
      </c>
      <c r="J2015" t="s">
        <v>1641</v>
      </c>
      <c r="K2015">
        <v>10458</v>
      </c>
      <c r="L2015" t="s">
        <v>1670</v>
      </c>
      <c r="M2015" t="s">
        <v>1672</v>
      </c>
      <c r="P2015" t="s">
        <v>1958</v>
      </c>
      <c r="R2015" t="s">
        <v>50</v>
      </c>
      <c r="S2015" t="s">
        <v>1671</v>
      </c>
      <c r="U2015" t="s">
        <v>1972</v>
      </c>
      <c r="W2015" t="s">
        <v>337</v>
      </c>
      <c r="X2015">
        <v>1585.54</v>
      </c>
      <c r="Y2015" t="s">
        <v>2006</v>
      </c>
      <c r="Z2015" t="s">
        <v>2015</v>
      </c>
      <c r="AB2015" t="s">
        <v>14461</v>
      </c>
      <c r="AD2015" t="s">
        <v>16872</v>
      </c>
      <c r="AE2015">
        <v>53</v>
      </c>
      <c r="AF2015" t="s">
        <v>2902</v>
      </c>
      <c r="AG2015" t="s">
        <v>2917</v>
      </c>
      <c r="AH2015">
        <v>20</v>
      </c>
      <c r="AI2015">
        <v>1</v>
      </c>
      <c r="AJ2015">
        <v>0</v>
      </c>
      <c r="AK2015">
        <v>87.91</v>
      </c>
      <c r="AN2015" t="s">
        <v>2927</v>
      </c>
      <c r="AO2015">
        <v>10980</v>
      </c>
      <c r="AU2015">
        <v>0.5</v>
      </c>
      <c r="AV2015" t="s">
        <v>337</v>
      </c>
      <c r="AW2015" t="s">
        <v>3047</v>
      </c>
      <c r="AX2015" t="s">
        <v>18685</v>
      </c>
    </row>
    <row r="2016" spans="1:50">
      <c r="A2016" s="1" t="s">
        <v>64</v>
      </c>
      <c r="B2016" t="s">
        <v>163</v>
      </c>
      <c r="C2016" t="s">
        <v>5226</v>
      </c>
      <c r="D2016" t="s">
        <v>232</v>
      </c>
      <c r="F2016" t="s">
        <v>6930</v>
      </c>
      <c r="G2016" t="s">
        <v>8761</v>
      </c>
      <c r="H2016" t="s">
        <v>1243</v>
      </c>
      <c r="I2016" t="s">
        <v>11022</v>
      </c>
      <c r="J2016" t="s">
        <v>1643</v>
      </c>
      <c r="K2016">
        <v>10033</v>
      </c>
      <c r="L2016" t="s">
        <v>1670</v>
      </c>
      <c r="M2016" t="s">
        <v>1670</v>
      </c>
      <c r="O2016" t="s">
        <v>1939</v>
      </c>
      <c r="P2016" t="s">
        <v>1962</v>
      </c>
      <c r="R2016" t="s">
        <v>50</v>
      </c>
      <c r="S2016" t="s">
        <v>1670</v>
      </c>
      <c r="U2016" t="s">
        <v>1972</v>
      </c>
      <c r="W2016" t="s">
        <v>232</v>
      </c>
      <c r="X2016">
        <v>1478.3</v>
      </c>
      <c r="Y2016" t="s">
        <v>2008</v>
      </c>
      <c r="Z2016" t="s">
        <v>2013</v>
      </c>
      <c r="AB2016" t="s">
        <v>14439</v>
      </c>
      <c r="AD2016" t="s">
        <v>16846</v>
      </c>
      <c r="AE2016">
        <v>232</v>
      </c>
      <c r="AF2016" t="s">
        <v>2902</v>
      </c>
      <c r="AG2016" t="s">
        <v>2915</v>
      </c>
      <c r="AH2016">
        <v>19</v>
      </c>
      <c r="AI2016">
        <v>2</v>
      </c>
      <c r="AJ2016">
        <v>0</v>
      </c>
      <c r="AK2016">
        <v>87.92</v>
      </c>
      <c r="AN2016" t="s">
        <v>2926</v>
      </c>
      <c r="AO2016">
        <v>14472</v>
      </c>
      <c r="AU2016">
        <v>0.6</v>
      </c>
      <c r="AV2016" t="s">
        <v>361</v>
      </c>
      <c r="AW2016" t="s">
        <v>3042</v>
      </c>
    </row>
    <row r="2017" spans="1:50">
      <c r="A2017" s="1" t="s">
        <v>53</v>
      </c>
      <c r="B2017" t="s">
        <v>164</v>
      </c>
      <c r="C2017" t="s">
        <v>5227</v>
      </c>
      <c r="D2017" t="s">
        <v>358</v>
      </c>
      <c r="E2017" t="s">
        <v>209</v>
      </c>
      <c r="F2017" t="s">
        <v>7596</v>
      </c>
      <c r="G2017" t="s">
        <v>8790</v>
      </c>
      <c r="H2017" t="s">
        <v>10300</v>
      </c>
      <c r="J2017" t="s">
        <v>1668</v>
      </c>
      <c r="K2017">
        <v>11354</v>
      </c>
      <c r="L2017" t="s">
        <v>1670</v>
      </c>
      <c r="M2017" t="s">
        <v>1670</v>
      </c>
      <c r="N2017" t="s">
        <v>1754</v>
      </c>
      <c r="O2017" t="s">
        <v>1675</v>
      </c>
      <c r="P2017" t="s">
        <v>1958</v>
      </c>
      <c r="Q2017" t="s">
        <v>1965</v>
      </c>
      <c r="R2017" t="s">
        <v>50</v>
      </c>
      <c r="S2017" t="s">
        <v>1671</v>
      </c>
      <c r="U2017" t="s">
        <v>1972</v>
      </c>
      <c r="V2017" t="s">
        <v>1984</v>
      </c>
      <c r="W2017" t="s">
        <v>358</v>
      </c>
      <c r="X2017" t="s">
        <v>13051</v>
      </c>
      <c r="Y2017" t="s">
        <v>2007</v>
      </c>
      <c r="Z2017" t="s">
        <v>2017</v>
      </c>
      <c r="AA2017" t="s">
        <v>2029</v>
      </c>
      <c r="AB2017" t="s">
        <v>14462</v>
      </c>
      <c r="AC2017" t="s">
        <v>1754</v>
      </c>
      <c r="AD2017" t="s">
        <v>15077</v>
      </c>
      <c r="AE2017">
        <v>68</v>
      </c>
      <c r="AF2017" t="s">
        <v>2903</v>
      </c>
      <c r="AG2017" t="s">
        <v>1754</v>
      </c>
      <c r="AH2017">
        <v>1</v>
      </c>
      <c r="AI2017">
        <v>1</v>
      </c>
      <c r="AJ2017">
        <v>0</v>
      </c>
      <c r="AK2017">
        <v>88.03</v>
      </c>
      <c r="AN2017" t="s">
        <v>2933</v>
      </c>
      <c r="AO2017">
        <v>10687</v>
      </c>
      <c r="AU2017">
        <v>1.4</v>
      </c>
      <c r="AV2017" t="s">
        <v>209</v>
      </c>
      <c r="AW2017" t="s">
        <v>53</v>
      </c>
    </row>
    <row r="2018" spans="1:50">
      <c r="A2018" s="1" t="s">
        <v>126</v>
      </c>
      <c r="B2018" t="s">
        <v>163</v>
      </c>
      <c r="C2018" t="s">
        <v>5228</v>
      </c>
      <c r="D2018" t="s">
        <v>212</v>
      </c>
      <c r="F2018" t="s">
        <v>7597</v>
      </c>
      <c r="G2018" t="s">
        <v>8791</v>
      </c>
      <c r="H2018" t="s">
        <v>10301</v>
      </c>
      <c r="I2018" t="s">
        <v>11332</v>
      </c>
      <c r="J2018" t="s">
        <v>1641</v>
      </c>
      <c r="K2018">
        <v>10453</v>
      </c>
      <c r="L2018" t="s">
        <v>1670</v>
      </c>
      <c r="M2018" t="s">
        <v>1670</v>
      </c>
      <c r="N2018" t="s">
        <v>12428</v>
      </c>
      <c r="O2018" t="s">
        <v>1936</v>
      </c>
      <c r="P2018" t="s">
        <v>1960</v>
      </c>
      <c r="R2018" t="s">
        <v>50</v>
      </c>
      <c r="S2018" t="s">
        <v>1671</v>
      </c>
      <c r="U2018" t="s">
        <v>1972</v>
      </c>
      <c r="W2018" t="s">
        <v>213</v>
      </c>
      <c r="X2018">
        <v>729</v>
      </c>
      <c r="Y2018" t="s">
        <v>2006</v>
      </c>
      <c r="Z2018" t="s">
        <v>2020</v>
      </c>
      <c r="AB2018" t="s">
        <v>14463</v>
      </c>
      <c r="AC2018" t="s">
        <v>15247</v>
      </c>
      <c r="AD2018" t="s">
        <v>16873</v>
      </c>
      <c r="AE2018">
        <v>69</v>
      </c>
      <c r="AG2018" t="s">
        <v>2915</v>
      </c>
      <c r="AH2018" t="s">
        <v>13051</v>
      </c>
      <c r="AI2018">
        <v>1</v>
      </c>
      <c r="AJ2018">
        <v>0</v>
      </c>
      <c r="AK2018">
        <v>88.03</v>
      </c>
      <c r="AN2018" t="s">
        <v>2927</v>
      </c>
      <c r="AO2018">
        <v>10994.64</v>
      </c>
      <c r="AU2018">
        <v>15</v>
      </c>
      <c r="AV2018" t="s">
        <v>389</v>
      </c>
      <c r="AW2018" t="s">
        <v>3047</v>
      </c>
      <c r="AX2018" t="s">
        <v>18686</v>
      </c>
    </row>
    <row r="2019" spans="1:50">
      <c r="A2019" s="1" t="s">
        <v>3180</v>
      </c>
      <c r="B2019" t="s">
        <v>164</v>
      </c>
      <c r="C2019" t="s">
        <v>5229</v>
      </c>
      <c r="D2019" t="s">
        <v>299</v>
      </c>
      <c r="E2019" t="s">
        <v>237</v>
      </c>
      <c r="F2019" t="s">
        <v>438</v>
      </c>
      <c r="G2019" t="s">
        <v>8222</v>
      </c>
      <c r="H2019" t="s">
        <v>10302</v>
      </c>
      <c r="I2019" t="s">
        <v>1549</v>
      </c>
      <c r="J2019" t="s">
        <v>1644</v>
      </c>
      <c r="K2019">
        <v>11208</v>
      </c>
      <c r="L2019" t="s">
        <v>1670</v>
      </c>
      <c r="M2019" t="s">
        <v>1670</v>
      </c>
      <c r="N2019" t="s">
        <v>12429</v>
      </c>
      <c r="O2019" t="s">
        <v>1940</v>
      </c>
      <c r="P2019" t="s">
        <v>1958</v>
      </c>
      <c r="Q2019" t="s">
        <v>1965</v>
      </c>
      <c r="R2019" t="s">
        <v>50</v>
      </c>
      <c r="S2019" t="s">
        <v>1671</v>
      </c>
      <c r="U2019" t="s">
        <v>1972</v>
      </c>
      <c r="V2019" t="s">
        <v>1983</v>
      </c>
      <c r="W2019" t="s">
        <v>237</v>
      </c>
      <c r="X2019">
        <v>200</v>
      </c>
      <c r="Y2019" t="s">
        <v>2009</v>
      </c>
      <c r="Z2019" t="s">
        <v>2014</v>
      </c>
      <c r="AA2019" t="s">
        <v>2029</v>
      </c>
      <c r="AB2019" t="s">
        <v>13460</v>
      </c>
      <c r="AD2019" t="s">
        <v>16874</v>
      </c>
      <c r="AE2019">
        <v>3</v>
      </c>
      <c r="AF2019" t="s">
        <v>2903</v>
      </c>
      <c r="AG2019" t="s">
        <v>1754</v>
      </c>
      <c r="AH2019">
        <v>4</v>
      </c>
      <c r="AI2019">
        <v>1</v>
      </c>
      <c r="AJ2019">
        <v>0</v>
      </c>
      <c r="AK2019">
        <v>88.06999999999999</v>
      </c>
      <c r="AN2019" t="s">
        <v>2927</v>
      </c>
      <c r="AO2019">
        <v>11000</v>
      </c>
      <c r="AU2019">
        <v>0.5</v>
      </c>
      <c r="AV2019" t="s">
        <v>237</v>
      </c>
      <c r="AW2019" t="s">
        <v>3069</v>
      </c>
    </row>
    <row r="2020" spans="1:50">
      <c r="A2020" s="1" t="s">
        <v>133</v>
      </c>
      <c r="B2020" t="s">
        <v>163</v>
      </c>
      <c r="C2020" t="s">
        <v>5230</v>
      </c>
      <c r="D2020" t="s">
        <v>249</v>
      </c>
      <c r="F2020" t="s">
        <v>7598</v>
      </c>
      <c r="G2020" t="s">
        <v>8792</v>
      </c>
      <c r="H2020" t="s">
        <v>9674</v>
      </c>
      <c r="I2020" t="s">
        <v>1486</v>
      </c>
      <c r="J2020" t="s">
        <v>1644</v>
      </c>
      <c r="K2020">
        <v>11212</v>
      </c>
      <c r="L2020" t="s">
        <v>1670</v>
      </c>
      <c r="M2020" t="s">
        <v>1672</v>
      </c>
      <c r="N2020" t="s">
        <v>12009</v>
      </c>
      <c r="P2020" t="s">
        <v>1964</v>
      </c>
      <c r="R2020" t="s">
        <v>50</v>
      </c>
      <c r="S2020" t="s">
        <v>1670</v>
      </c>
      <c r="U2020" t="s">
        <v>1978</v>
      </c>
      <c r="V2020" t="s">
        <v>1984</v>
      </c>
      <c r="W2020" t="s">
        <v>326</v>
      </c>
      <c r="X2020" t="s">
        <v>13051</v>
      </c>
      <c r="Y2020" t="s">
        <v>2009</v>
      </c>
      <c r="Z2020" t="s">
        <v>2016</v>
      </c>
      <c r="AB2020" t="s">
        <v>14464</v>
      </c>
      <c r="AD2020" t="s">
        <v>16875</v>
      </c>
      <c r="AE2020">
        <v>23</v>
      </c>
      <c r="AF2020" t="s">
        <v>2902</v>
      </c>
      <c r="AG2020" t="s">
        <v>1754</v>
      </c>
      <c r="AH2020" t="s">
        <v>13051</v>
      </c>
      <c r="AI2020">
        <v>1</v>
      </c>
      <c r="AJ2020">
        <v>0</v>
      </c>
      <c r="AK2020">
        <v>88.29000000000001</v>
      </c>
      <c r="AN2020" t="s">
        <v>2926</v>
      </c>
      <c r="AO2020">
        <v>11028</v>
      </c>
      <c r="AU2020" t="s">
        <v>13051</v>
      </c>
      <c r="AW2020" t="s">
        <v>3060</v>
      </c>
      <c r="AX2020" t="s">
        <v>18685</v>
      </c>
    </row>
    <row r="2021" spans="1:50">
      <c r="A2021" s="1" t="s">
        <v>62</v>
      </c>
      <c r="B2021" t="s">
        <v>163</v>
      </c>
      <c r="C2021" t="s">
        <v>5231</v>
      </c>
      <c r="D2021" t="s">
        <v>6164</v>
      </c>
      <c r="F2021" t="s">
        <v>7599</v>
      </c>
      <c r="G2021" t="s">
        <v>945</v>
      </c>
      <c r="H2021" t="s">
        <v>9933</v>
      </c>
      <c r="I2021" t="s">
        <v>11260</v>
      </c>
      <c r="J2021" t="s">
        <v>1644</v>
      </c>
      <c r="K2021">
        <v>11226</v>
      </c>
      <c r="L2021" t="s">
        <v>1670</v>
      </c>
      <c r="M2021" t="s">
        <v>1670</v>
      </c>
      <c r="O2021" t="s">
        <v>1941</v>
      </c>
      <c r="P2021" t="s">
        <v>1960</v>
      </c>
      <c r="R2021" t="s">
        <v>50</v>
      </c>
      <c r="S2021" t="s">
        <v>1670</v>
      </c>
      <c r="U2021" t="s">
        <v>1972</v>
      </c>
      <c r="W2021" t="s">
        <v>247</v>
      </c>
      <c r="X2021">
        <v>1800</v>
      </c>
      <c r="Y2021" t="s">
        <v>2009</v>
      </c>
      <c r="Z2021" t="s">
        <v>2020</v>
      </c>
      <c r="AB2021" t="s">
        <v>14465</v>
      </c>
      <c r="AD2021" t="s">
        <v>16876</v>
      </c>
      <c r="AE2021">
        <v>65</v>
      </c>
      <c r="AG2021" t="s">
        <v>2915</v>
      </c>
      <c r="AH2021">
        <v>15</v>
      </c>
      <c r="AI2021">
        <v>2</v>
      </c>
      <c r="AJ2021">
        <v>0</v>
      </c>
      <c r="AK2021">
        <v>88.36</v>
      </c>
      <c r="AN2021" t="s">
        <v>2926</v>
      </c>
      <c r="AO2021">
        <v>14544</v>
      </c>
      <c r="AU2021">
        <v>0.5</v>
      </c>
      <c r="AV2021" t="s">
        <v>6164</v>
      </c>
      <c r="AW2021" t="s">
        <v>3079</v>
      </c>
    </row>
    <row r="2022" spans="1:50">
      <c r="A2022" s="1" t="s">
        <v>101</v>
      </c>
      <c r="B2022" t="s">
        <v>163</v>
      </c>
      <c r="C2022" t="s">
        <v>5232</v>
      </c>
      <c r="D2022" t="s">
        <v>401</v>
      </c>
      <c r="F2022" t="s">
        <v>427</v>
      </c>
      <c r="G2022" t="s">
        <v>8793</v>
      </c>
      <c r="H2022" t="s">
        <v>1199</v>
      </c>
      <c r="I2022">
        <v>409</v>
      </c>
      <c r="J2022" t="s">
        <v>1643</v>
      </c>
      <c r="K2022">
        <v>10029</v>
      </c>
      <c r="L2022" t="s">
        <v>1670</v>
      </c>
      <c r="M2022" t="s">
        <v>1672</v>
      </c>
      <c r="O2022" t="s">
        <v>1939</v>
      </c>
      <c r="P2022" t="s">
        <v>1960</v>
      </c>
      <c r="R2022" t="s">
        <v>50</v>
      </c>
      <c r="S2022" t="s">
        <v>1670</v>
      </c>
      <c r="U2022" t="s">
        <v>1972</v>
      </c>
      <c r="V2022" t="s">
        <v>1984</v>
      </c>
      <c r="W2022" t="s">
        <v>400</v>
      </c>
      <c r="X2022">
        <v>271</v>
      </c>
      <c r="Y2022" t="s">
        <v>2008</v>
      </c>
      <c r="Z2022" t="s">
        <v>2020</v>
      </c>
      <c r="AB2022" t="s">
        <v>14063</v>
      </c>
      <c r="AD2022" t="s">
        <v>16877</v>
      </c>
      <c r="AE2022">
        <v>108</v>
      </c>
      <c r="AF2022" t="s">
        <v>2909</v>
      </c>
      <c r="AG2022" t="s">
        <v>2915</v>
      </c>
      <c r="AH2022">
        <v>30</v>
      </c>
      <c r="AI2022">
        <v>1</v>
      </c>
      <c r="AJ2022">
        <v>0</v>
      </c>
      <c r="AK2022">
        <v>88.39</v>
      </c>
      <c r="AN2022" t="s">
        <v>2927</v>
      </c>
      <c r="AO2022">
        <v>11040</v>
      </c>
      <c r="AU2022">
        <v>0.5</v>
      </c>
      <c r="AV2022" t="s">
        <v>397</v>
      </c>
      <c r="AW2022" t="s">
        <v>3051</v>
      </c>
      <c r="AX2022" t="s">
        <v>18685</v>
      </c>
    </row>
    <row r="2023" spans="1:50">
      <c r="A2023" s="1" t="s">
        <v>3196</v>
      </c>
      <c r="B2023" t="s">
        <v>164</v>
      </c>
      <c r="C2023" t="s">
        <v>5233</v>
      </c>
      <c r="D2023" t="s">
        <v>6197</v>
      </c>
      <c r="E2023" t="s">
        <v>378</v>
      </c>
      <c r="F2023" t="s">
        <v>7405</v>
      </c>
      <c r="G2023" t="s">
        <v>8398</v>
      </c>
      <c r="H2023" t="s">
        <v>10002</v>
      </c>
      <c r="I2023" t="s">
        <v>11113</v>
      </c>
      <c r="J2023" t="s">
        <v>1644</v>
      </c>
      <c r="K2023">
        <v>11216</v>
      </c>
      <c r="L2023" t="s">
        <v>1670</v>
      </c>
      <c r="M2023" t="s">
        <v>1671</v>
      </c>
      <c r="O2023" t="s">
        <v>1941</v>
      </c>
      <c r="P2023" t="s">
        <v>1959</v>
      </c>
      <c r="Q2023" t="s">
        <v>1968</v>
      </c>
      <c r="R2023" t="s">
        <v>50</v>
      </c>
      <c r="S2023" t="s">
        <v>1671</v>
      </c>
      <c r="U2023" t="s">
        <v>1972</v>
      </c>
      <c r="W2023" t="s">
        <v>378</v>
      </c>
      <c r="X2023">
        <v>600</v>
      </c>
      <c r="Y2023" t="s">
        <v>2009</v>
      </c>
      <c r="Z2023" t="s">
        <v>2015</v>
      </c>
      <c r="AA2023" t="s">
        <v>2030</v>
      </c>
      <c r="AB2023" t="s">
        <v>14466</v>
      </c>
      <c r="AC2023" t="s">
        <v>15248</v>
      </c>
      <c r="AD2023" t="s">
        <v>16878</v>
      </c>
      <c r="AE2023">
        <v>10</v>
      </c>
      <c r="AF2023" t="s">
        <v>2902</v>
      </c>
      <c r="AG2023" t="s">
        <v>1754</v>
      </c>
      <c r="AH2023">
        <v>5</v>
      </c>
      <c r="AI2023">
        <v>2</v>
      </c>
      <c r="AJ2023">
        <v>0</v>
      </c>
      <c r="AK2023">
        <v>88.45999999999999</v>
      </c>
      <c r="AN2023" t="s">
        <v>2926</v>
      </c>
      <c r="AO2023">
        <v>14560</v>
      </c>
      <c r="AU2023">
        <v>5.3</v>
      </c>
      <c r="AV2023" t="s">
        <v>378</v>
      </c>
      <c r="AW2023" t="s">
        <v>3079</v>
      </c>
    </row>
    <row r="2024" spans="1:50">
      <c r="A2024" s="1" t="s">
        <v>152</v>
      </c>
      <c r="B2024" t="s">
        <v>163</v>
      </c>
      <c r="C2024" t="s">
        <v>5234</v>
      </c>
      <c r="D2024" t="s">
        <v>328</v>
      </c>
      <c r="F2024" t="s">
        <v>7600</v>
      </c>
      <c r="G2024" t="s">
        <v>8794</v>
      </c>
      <c r="H2024" t="s">
        <v>10303</v>
      </c>
      <c r="J2024" t="s">
        <v>1644</v>
      </c>
      <c r="K2024">
        <v>11219</v>
      </c>
      <c r="L2024" t="s">
        <v>1670</v>
      </c>
      <c r="M2024" t="s">
        <v>1672</v>
      </c>
      <c r="O2024" t="s">
        <v>1675</v>
      </c>
      <c r="P2024" t="s">
        <v>1962</v>
      </c>
      <c r="R2024" t="s">
        <v>50</v>
      </c>
      <c r="S2024" t="s">
        <v>1671</v>
      </c>
      <c r="U2024" t="s">
        <v>1972</v>
      </c>
      <c r="W2024" t="s">
        <v>328</v>
      </c>
      <c r="X2024" t="s">
        <v>13051</v>
      </c>
      <c r="Y2024" t="s">
        <v>2008</v>
      </c>
      <c r="Z2024" t="s">
        <v>2016</v>
      </c>
      <c r="AB2024" t="s">
        <v>14467</v>
      </c>
      <c r="AE2024" t="s">
        <v>13051</v>
      </c>
      <c r="AF2024" t="s">
        <v>2904</v>
      </c>
      <c r="AG2024" t="s">
        <v>1754</v>
      </c>
      <c r="AH2024" t="s">
        <v>13051</v>
      </c>
      <c r="AI2024">
        <v>2</v>
      </c>
      <c r="AJ2024">
        <v>0</v>
      </c>
      <c r="AK2024">
        <v>88.63</v>
      </c>
      <c r="AN2024" t="s">
        <v>18038</v>
      </c>
      <c r="AO2024">
        <v>14988</v>
      </c>
      <c r="AU2024" t="s">
        <v>13051</v>
      </c>
      <c r="AW2024" t="s">
        <v>3048</v>
      </c>
      <c r="AX2024" t="s">
        <v>18685</v>
      </c>
    </row>
    <row r="2025" spans="1:50">
      <c r="A2025" s="1" t="s">
        <v>115</v>
      </c>
      <c r="B2025" t="s">
        <v>164</v>
      </c>
      <c r="C2025" t="s">
        <v>5235</v>
      </c>
      <c r="D2025" t="s">
        <v>215</v>
      </c>
      <c r="E2025" t="s">
        <v>359</v>
      </c>
      <c r="F2025" t="s">
        <v>7420</v>
      </c>
      <c r="G2025" t="s">
        <v>8055</v>
      </c>
      <c r="H2025" t="s">
        <v>9700</v>
      </c>
      <c r="I2025" t="s">
        <v>1544</v>
      </c>
      <c r="J2025" t="s">
        <v>1641</v>
      </c>
      <c r="K2025">
        <v>10452</v>
      </c>
      <c r="L2025" t="s">
        <v>1670</v>
      </c>
      <c r="M2025" t="s">
        <v>1670</v>
      </c>
      <c r="O2025" t="s">
        <v>1939</v>
      </c>
      <c r="P2025" t="s">
        <v>1958</v>
      </c>
      <c r="Q2025" t="s">
        <v>1965</v>
      </c>
      <c r="R2025" t="s">
        <v>50</v>
      </c>
      <c r="S2025" t="s">
        <v>1670</v>
      </c>
      <c r="U2025" t="s">
        <v>1972</v>
      </c>
      <c r="W2025" t="s">
        <v>359</v>
      </c>
      <c r="X2025">
        <v>1200</v>
      </c>
      <c r="Y2025" t="s">
        <v>2006</v>
      </c>
      <c r="Z2025" t="s">
        <v>2021</v>
      </c>
      <c r="AA2025" t="s">
        <v>2029</v>
      </c>
      <c r="AB2025" t="s">
        <v>14468</v>
      </c>
      <c r="AC2025" t="s">
        <v>15249</v>
      </c>
      <c r="AD2025" t="s">
        <v>16879</v>
      </c>
      <c r="AE2025">
        <v>149</v>
      </c>
      <c r="AF2025" t="s">
        <v>2902</v>
      </c>
      <c r="AG2025" t="s">
        <v>1754</v>
      </c>
      <c r="AH2025">
        <v>13</v>
      </c>
      <c r="AI2025">
        <v>1</v>
      </c>
      <c r="AJ2025">
        <v>0</v>
      </c>
      <c r="AK2025">
        <v>88.95999999999999</v>
      </c>
      <c r="AN2025" t="s">
        <v>2926</v>
      </c>
      <c r="AO2025">
        <v>10800</v>
      </c>
      <c r="AU2025">
        <v>0.2</v>
      </c>
      <c r="AV2025" t="s">
        <v>271</v>
      </c>
      <c r="AW2025" t="s">
        <v>3054</v>
      </c>
    </row>
    <row r="2026" spans="1:50">
      <c r="A2026" s="1" t="s">
        <v>75</v>
      </c>
      <c r="B2026" t="s">
        <v>164</v>
      </c>
      <c r="C2026" t="s">
        <v>5236</v>
      </c>
      <c r="D2026" t="s">
        <v>204</v>
      </c>
      <c r="E2026" t="s">
        <v>231</v>
      </c>
      <c r="F2026" t="s">
        <v>684</v>
      </c>
      <c r="G2026" t="s">
        <v>8795</v>
      </c>
      <c r="H2026" t="s">
        <v>10304</v>
      </c>
      <c r="I2026">
        <v>109</v>
      </c>
      <c r="J2026" t="s">
        <v>1643</v>
      </c>
      <c r="K2026">
        <v>10035</v>
      </c>
      <c r="L2026" t="s">
        <v>1670</v>
      </c>
      <c r="M2026" t="s">
        <v>1670</v>
      </c>
      <c r="N2026" t="s">
        <v>12430</v>
      </c>
      <c r="O2026" t="s">
        <v>1940</v>
      </c>
      <c r="P2026" t="s">
        <v>1958</v>
      </c>
      <c r="Q2026" t="s">
        <v>1965</v>
      </c>
      <c r="R2026" t="s">
        <v>50</v>
      </c>
      <c r="S2026" t="s">
        <v>1671</v>
      </c>
      <c r="T2026" t="s">
        <v>50</v>
      </c>
      <c r="U2026" t="s">
        <v>1972</v>
      </c>
      <c r="V2026" t="s">
        <v>1986</v>
      </c>
      <c r="W2026" t="s">
        <v>2005</v>
      </c>
      <c r="X2026">
        <v>1519</v>
      </c>
      <c r="Y2026" t="s">
        <v>2008</v>
      </c>
      <c r="Z2026" t="s">
        <v>2020</v>
      </c>
      <c r="AA2026" t="s">
        <v>2029</v>
      </c>
      <c r="AB2026" t="s">
        <v>14469</v>
      </c>
      <c r="AD2026" t="s">
        <v>16880</v>
      </c>
      <c r="AE2026">
        <v>132</v>
      </c>
      <c r="AF2026" t="s">
        <v>2913</v>
      </c>
      <c r="AG2026" t="s">
        <v>1754</v>
      </c>
      <c r="AH2026">
        <v>22</v>
      </c>
      <c r="AI2026">
        <v>1</v>
      </c>
      <c r="AJ2026">
        <v>0</v>
      </c>
      <c r="AK2026">
        <v>88.95999999999999</v>
      </c>
      <c r="AN2026" t="s">
        <v>2926</v>
      </c>
      <c r="AO2026">
        <v>10800</v>
      </c>
      <c r="AU2026">
        <v>0.2</v>
      </c>
      <c r="AV2026" t="s">
        <v>231</v>
      </c>
      <c r="AW2026" t="s">
        <v>18675</v>
      </c>
    </row>
    <row r="2027" spans="1:50">
      <c r="A2027" s="1" t="s">
        <v>118</v>
      </c>
      <c r="B2027" t="s">
        <v>163</v>
      </c>
      <c r="C2027" t="s">
        <v>5237</v>
      </c>
      <c r="D2027" t="s">
        <v>193</v>
      </c>
      <c r="F2027" t="s">
        <v>7601</v>
      </c>
      <c r="G2027" t="s">
        <v>835</v>
      </c>
      <c r="H2027" t="s">
        <v>9805</v>
      </c>
      <c r="I2027" t="s">
        <v>11333</v>
      </c>
      <c r="J2027" t="s">
        <v>1641</v>
      </c>
      <c r="K2027">
        <v>10452</v>
      </c>
      <c r="L2027" t="s">
        <v>1670</v>
      </c>
      <c r="M2027" t="s">
        <v>1670</v>
      </c>
      <c r="O2027" t="s">
        <v>1675</v>
      </c>
      <c r="P2027" t="s">
        <v>1959</v>
      </c>
      <c r="R2027" t="s">
        <v>50</v>
      </c>
      <c r="S2027" t="s">
        <v>1670</v>
      </c>
      <c r="U2027" t="s">
        <v>1972</v>
      </c>
      <c r="W2027" t="s">
        <v>1991</v>
      </c>
      <c r="X2027">
        <v>360</v>
      </c>
      <c r="Y2027" t="s">
        <v>2006</v>
      </c>
      <c r="Z2027" t="s">
        <v>2015</v>
      </c>
      <c r="AB2027" t="s">
        <v>14470</v>
      </c>
      <c r="AE2027">
        <v>60</v>
      </c>
      <c r="AF2027" t="s">
        <v>2902</v>
      </c>
      <c r="AG2027" t="s">
        <v>2919</v>
      </c>
      <c r="AH2027">
        <v>50</v>
      </c>
      <c r="AI2027">
        <v>2</v>
      </c>
      <c r="AJ2027">
        <v>0</v>
      </c>
      <c r="AK2027">
        <v>89.41</v>
      </c>
      <c r="AN2027" t="s">
        <v>2927</v>
      </c>
      <c r="AO2027">
        <v>15120</v>
      </c>
      <c r="AU2027" t="s">
        <v>13051</v>
      </c>
      <c r="AW2027" t="s">
        <v>3046</v>
      </c>
      <c r="AX2027" t="s">
        <v>18685</v>
      </c>
    </row>
    <row r="2028" spans="1:50">
      <c r="A2028" s="1" t="s">
        <v>101</v>
      </c>
      <c r="B2028" t="s">
        <v>164</v>
      </c>
      <c r="C2028" t="s">
        <v>5238</v>
      </c>
      <c r="D2028" t="s">
        <v>348</v>
      </c>
      <c r="E2028" t="s">
        <v>405</v>
      </c>
      <c r="F2028" t="s">
        <v>7590</v>
      </c>
      <c r="G2028" t="s">
        <v>8784</v>
      </c>
      <c r="H2028" t="s">
        <v>9845</v>
      </c>
      <c r="I2028" t="s">
        <v>11079</v>
      </c>
      <c r="J2028" t="s">
        <v>1643</v>
      </c>
      <c r="K2028">
        <v>10029</v>
      </c>
      <c r="L2028" t="s">
        <v>1670</v>
      </c>
      <c r="M2028" t="s">
        <v>1670</v>
      </c>
      <c r="N2028" t="s">
        <v>12431</v>
      </c>
      <c r="O2028" t="s">
        <v>1936</v>
      </c>
      <c r="P2028" t="s">
        <v>1960</v>
      </c>
      <c r="Q2028" t="s">
        <v>1969</v>
      </c>
      <c r="R2028" t="s">
        <v>50</v>
      </c>
      <c r="S2028" t="s">
        <v>1671</v>
      </c>
      <c r="U2028" t="s">
        <v>1972</v>
      </c>
      <c r="V2028" t="s">
        <v>1984</v>
      </c>
      <c r="W2028" t="s">
        <v>348</v>
      </c>
      <c r="X2028">
        <v>1100</v>
      </c>
      <c r="Y2028" t="s">
        <v>2008</v>
      </c>
      <c r="Z2028" t="s">
        <v>2011</v>
      </c>
      <c r="AA2028" t="s">
        <v>2032</v>
      </c>
      <c r="AB2028" t="s">
        <v>14455</v>
      </c>
      <c r="AD2028" t="s">
        <v>16867</v>
      </c>
      <c r="AE2028">
        <v>120</v>
      </c>
      <c r="AF2028" t="s">
        <v>2906</v>
      </c>
      <c r="AG2028" t="s">
        <v>2915</v>
      </c>
      <c r="AH2028">
        <v>15</v>
      </c>
      <c r="AI2028">
        <v>1</v>
      </c>
      <c r="AJ2028">
        <v>0</v>
      </c>
      <c r="AK2028">
        <v>89.59999999999999</v>
      </c>
      <c r="AN2028" t="s">
        <v>2926</v>
      </c>
      <c r="AO2028">
        <v>10878</v>
      </c>
      <c r="AQ2028" t="s">
        <v>2978</v>
      </c>
      <c r="AR2028" t="s">
        <v>2982</v>
      </c>
      <c r="AS2028" t="s">
        <v>2992</v>
      </c>
      <c r="AT2028" t="s">
        <v>18579</v>
      </c>
      <c r="AU2028">
        <v>35.7</v>
      </c>
      <c r="AV2028" t="s">
        <v>206</v>
      </c>
      <c r="AW2028" t="s">
        <v>3051</v>
      </c>
      <c r="AX2028" t="s">
        <v>18685</v>
      </c>
    </row>
    <row r="2029" spans="1:50">
      <c r="A2029" s="1" t="s">
        <v>74</v>
      </c>
      <c r="B2029" t="s">
        <v>163</v>
      </c>
      <c r="C2029" t="s">
        <v>5239</v>
      </c>
      <c r="D2029" t="s">
        <v>191</v>
      </c>
      <c r="F2029" t="s">
        <v>7602</v>
      </c>
      <c r="G2029" t="s">
        <v>8187</v>
      </c>
      <c r="H2029" t="s">
        <v>1131</v>
      </c>
      <c r="I2029" t="s">
        <v>11334</v>
      </c>
      <c r="J2029" t="s">
        <v>1641</v>
      </c>
      <c r="K2029">
        <v>10460</v>
      </c>
      <c r="L2029" t="s">
        <v>1670</v>
      </c>
      <c r="M2029" t="s">
        <v>1672</v>
      </c>
      <c r="N2029" t="s">
        <v>1691</v>
      </c>
      <c r="O2029" t="s">
        <v>1675</v>
      </c>
      <c r="P2029" t="s">
        <v>1959</v>
      </c>
      <c r="R2029" t="s">
        <v>50</v>
      </c>
      <c r="S2029" t="s">
        <v>1670</v>
      </c>
      <c r="U2029" t="s">
        <v>1972</v>
      </c>
      <c r="W2029" t="s">
        <v>1991</v>
      </c>
      <c r="X2029">
        <v>262</v>
      </c>
      <c r="Y2029" t="s">
        <v>2006</v>
      </c>
      <c r="Z2029" t="s">
        <v>2015</v>
      </c>
      <c r="AB2029" t="s">
        <v>14471</v>
      </c>
      <c r="AD2029" t="s">
        <v>16881</v>
      </c>
      <c r="AE2029">
        <v>168</v>
      </c>
      <c r="AF2029" t="s">
        <v>2907</v>
      </c>
      <c r="AG2029" t="s">
        <v>2915</v>
      </c>
      <c r="AH2029">
        <v>27</v>
      </c>
      <c r="AI2029">
        <v>1</v>
      </c>
      <c r="AJ2029">
        <v>0</v>
      </c>
      <c r="AK2029">
        <v>89.67</v>
      </c>
      <c r="AN2029" t="s">
        <v>2926</v>
      </c>
      <c r="AO2029">
        <v>11199.96</v>
      </c>
      <c r="AU2029" t="s">
        <v>13051</v>
      </c>
      <c r="AW2029" t="s">
        <v>3047</v>
      </c>
      <c r="AX2029" t="s">
        <v>18685</v>
      </c>
    </row>
    <row r="2030" spans="1:50">
      <c r="A2030" s="1" t="s">
        <v>3192</v>
      </c>
      <c r="B2030" t="s">
        <v>164</v>
      </c>
      <c r="C2030" t="s">
        <v>5240</v>
      </c>
      <c r="D2030" t="s">
        <v>230</v>
      </c>
      <c r="E2030" t="s">
        <v>3037</v>
      </c>
      <c r="F2030" t="s">
        <v>604</v>
      </c>
      <c r="G2030" t="s">
        <v>8796</v>
      </c>
      <c r="H2030" t="s">
        <v>10305</v>
      </c>
      <c r="J2030" t="s">
        <v>1651</v>
      </c>
      <c r="K2030">
        <v>11412</v>
      </c>
      <c r="L2030" t="s">
        <v>1670</v>
      </c>
      <c r="M2030" t="s">
        <v>1672</v>
      </c>
      <c r="N2030" t="s">
        <v>12432</v>
      </c>
      <c r="O2030" t="s">
        <v>1940</v>
      </c>
      <c r="P2030" t="s">
        <v>1958</v>
      </c>
      <c r="Q2030" t="s">
        <v>1965</v>
      </c>
      <c r="R2030" t="s">
        <v>50</v>
      </c>
      <c r="S2030" t="s">
        <v>1671</v>
      </c>
      <c r="U2030" t="s">
        <v>1972</v>
      </c>
      <c r="V2030" t="s">
        <v>1983</v>
      </c>
      <c r="W2030" t="s">
        <v>230</v>
      </c>
      <c r="X2030" t="s">
        <v>13051</v>
      </c>
      <c r="Y2030" t="s">
        <v>2007</v>
      </c>
      <c r="Z2030" t="s">
        <v>2014</v>
      </c>
      <c r="AA2030" t="s">
        <v>2029</v>
      </c>
      <c r="AB2030" t="s">
        <v>14472</v>
      </c>
      <c r="AC2030" t="s">
        <v>15077</v>
      </c>
      <c r="AD2030" t="s">
        <v>16882</v>
      </c>
      <c r="AE2030">
        <v>2</v>
      </c>
      <c r="AF2030" t="s">
        <v>2904</v>
      </c>
      <c r="AG2030" t="s">
        <v>1754</v>
      </c>
      <c r="AH2030">
        <v>3</v>
      </c>
      <c r="AI2030">
        <v>1</v>
      </c>
      <c r="AJ2030">
        <v>0</v>
      </c>
      <c r="AK2030">
        <v>89.83</v>
      </c>
      <c r="AN2030" t="s">
        <v>2926</v>
      </c>
      <c r="AO2030">
        <v>11220</v>
      </c>
      <c r="AU2030">
        <v>1</v>
      </c>
      <c r="AV2030" t="s">
        <v>230</v>
      </c>
      <c r="AW2030" t="s">
        <v>3073</v>
      </c>
      <c r="AX2030" t="s">
        <v>18685</v>
      </c>
    </row>
    <row r="2031" spans="1:50">
      <c r="A2031" s="1" t="s">
        <v>54</v>
      </c>
      <c r="B2031" t="s">
        <v>163</v>
      </c>
      <c r="C2031" t="s">
        <v>5241</v>
      </c>
      <c r="D2031" t="s">
        <v>293</v>
      </c>
      <c r="F2031" t="s">
        <v>7603</v>
      </c>
      <c r="G2031" t="s">
        <v>840</v>
      </c>
      <c r="H2031" t="s">
        <v>9457</v>
      </c>
      <c r="I2031" t="s">
        <v>10967</v>
      </c>
      <c r="J2031" t="s">
        <v>1643</v>
      </c>
      <c r="K2031">
        <v>10040</v>
      </c>
      <c r="L2031" t="s">
        <v>1670</v>
      </c>
      <c r="M2031" t="s">
        <v>1670</v>
      </c>
      <c r="P2031" t="s">
        <v>1958</v>
      </c>
      <c r="R2031" t="s">
        <v>50</v>
      </c>
      <c r="S2031" t="s">
        <v>1671</v>
      </c>
      <c r="U2031" t="s">
        <v>1972</v>
      </c>
      <c r="W2031" t="s">
        <v>293</v>
      </c>
      <c r="X2031">
        <v>1045.94</v>
      </c>
      <c r="Y2031" t="s">
        <v>2008</v>
      </c>
      <c r="Z2031" t="s">
        <v>2020</v>
      </c>
      <c r="AB2031" t="s">
        <v>14473</v>
      </c>
      <c r="AD2031" t="s">
        <v>16883</v>
      </c>
      <c r="AE2031">
        <v>44</v>
      </c>
      <c r="AF2031" t="s">
        <v>2902</v>
      </c>
      <c r="AG2031" t="s">
        <v>1754</v>
      </c>
      <c r="AH2031">
        <v>36</v>
      </c>
      <c r="AI2031">
        <v>3</v>
      </c>
      <c r="AJ2031">
        <v>0</v>
      </c>
      <c r="AK2031">
        <v>89.84999999999999</v>
      </c>
      <c r="AN2031" t="s">
        <v>2927</v>
      </c>
      <c r="AO2031">
        <v>19164</v>
      </c>
      <c r="AU2031">
        <v>18.8</v>
      </c>
      <c r="AV2031" t="s">
        <v>289</v>
      </c>
      <c r="AW2031" t="s">
        <v>3042</v>
      </c>
    </row>
    <row r="2032" spans="1:50">
      <c r="A2032" s="1" t="s">
        <v>88</v>
      </c>
      <c r="B2032" t="s">
        <v>164</v>
      </c>
      <c r="C2032" t="s">
        <v>5242</v>
      </c>
      <c r="D2032" t="s">
        <v>249</v>
      </c>
      <c r="E2032" t="s">
        <v>249</v>
      </c>
      <c r="F2032" t="s">
        <v>7604</v>
      </c>
      <c r="G2032" t="s">
        <v>8797</v>
      </c>
      <c r="H2032" t="s">
        <v>10306</v>
      </c>
      <c r="I2032">
        <v>1</v>
      </c>
      <c r="J2032" t="s">
        <v>1644</v>
      </c>
      <c r="K2032">
        <v>11207</v>
      </c>
      <c r="L2032" t="s">
        <v>1670</v>
      </c>
      <c r="M2032" t="s">
        <v>1672</v>
      </c>
      <c r="N2032" t="s">
        <v>12433</v>
      </c>
      <c r="O2032" t="s">
        <v>1940</v>
      </c>
      <c r="P2032" t="s">
        <v>1958</v>
      </c>
      <c r="Q2032" t="s">
        <v>1965</v>
      </c>
      <c r="R2032" t="s">
        <v>50</v>
      </c>
      <c r="U2032" t="s">
        <v>1972</v>
      </c>
      <c r="W2032" t="s">
        <v>249</v>
      </c>
      <c r="X2032">
        <v>557</v>
      </c>
      <c r="Y2032" t="s">
        <v>2009</v>
      </c>
      <c r="Z2032" t="s">
        <v>2011</v>
      </c>
      <c r="AA2032" t="s">
        <v>2029</v>
      </c>
      <c r="AB2032" t="s">
        <v>14474</v>
      </c>
      <c r="AC2032">
        <v>7956478</v>
      </c>
      <c r="AD2032" t="s">
        <v>16884</v>
      </c>
      <c r="AE2032">
        <v>3</v>
      </c>
      <c r="AF2032" t="s">
        <v>2904</v>
      </c>
      <c r="AG2032" t="s">
        <v>2915</v>
      </c>
      <c r="AH2032">
        <v>10</v>
      </c>
      <c r="AI2032">
        <v>3</v>
      </c>
      <c r="AJ2032">
        <v>0</v>
      </c>
      <c r="AK2032">
        <v>90.12</v>
      </c>
      <c r="AN2032" t="s">
        <v>2926</v>
      </c>
      <c r="AO2032">
        <v>19222</v>
      </c>
      <c r="AU2032">
        <v>1</v>
      </c>
      <c r="AV2032" t="s">
        <v>249</v>
      </c>
      <c r="AW2032" t="s">
        <v>3049</v>
      </c>
      <c r="AX2032" t="s">
        <v>18685</v>
      </c>
    </row>
    <row r="2033" spans="1:50">
      <c r="A2033" s="1" t="s">
        <v>64</v>
      </c>
      <c r="B2033" t="s">
        <v>163</v>
      </c>
      <c r="C2033" t="s">
        <v>5243</v>
      </c>
      <c r="D2033" t="s">
        <v>349</v>
      </c>
      <c r="F2033" t="s">
        <v>7605</v>
      </c>
      <c r="G2033" t="s">
        <v>946</v>
      </c>
      <c r="H2033" t="s">
        <v>10307</v>
      </c>
      <c r="I2033" t="s">
        <v>11240</v>
      </c>
      <c r="J2033" t="s">
        <v>1643</v>
      </c>
      <c r="K2033">
        <v>10033</v>
      </c>
      <c r="L2033" t="s">
        <v>1670</v>
      </c>
      <c r="M2033" t="s">
        <v>1670</v>
      </c>
      <c r="O2033" t="s">
        <v>1939</v>
      </c>
      <c r="P2033" t="s">
        <v>1962</v>
      </c>
      <c r="R2033" t="s">
        <v>50</v>
      </c>
      <c r="S2033" t="s">
        <v>1670</v>
      </c>
      <c r="U2033" t="s">
        <v>1972</v>
      </c>
      <c r="W2033" t="s">
        <v>349</v>
      </c>
      <c r="X2033">
        <v>1026</v>
      </c>
      <c r="Y2033" t="s">
        <v>2008</v>
      </c>
      <c r="Z2033" t="s">
        <v>2016</v>
      </c>
      <c r="AB2033" t="s">
        <v>14475</v>
      </c>
      <c r="AD2033" t="s">
        <v>16885</v>
      </c>
      <c r="AE2033">
        <v>232</v>
      </c>
      <c r="AF2033" t="s">
        <v>2902</v>
      </c>
      <c r="AG2033" t="s">
        <v>2919</v>
      </c>
      <c r="AH2033">
        <v>25</v>
      </c>
      <c r="AI2033">
        <v>2</v>
      </c>
      <c r="AJ2033">
        <v>0</v>
      </c>
      <c r="AK2033">
        <v>90.40000000000001</v>
      </c>
      <c r="AO2033">
        <v>14880</v>
      </c>
      <c r="AU2033">
        <v>0.4</v>
      </c>
      <c r="AV2033" t="s">
        <v>1995</v>
      </c>
      <c r="AW2033" t="s">
        <v>3042</v>
      </c>
    </row>
    <row r="2034" spans="1:50">
      <c r="A2034" s="1" t="s">
        <v>59</v>
      </c>
      <c r="B2034" t="s">
        <v>163</v>
      </c>
      <c r="C2034" t="s">
        <v>5244</v>
      </c>
      <c r="D2034" t="s">
        <v>198</v>
      </c>
      <c r="F2034" t="s">
        <v>6916</v>
      </c>
      <c r="G2034" t="s">
        <v>8798</v>
      </c>
      <c r="H2034" t="s">
        <v>10308</v>
      </c>
      <c r="I2034" t="s">
        <v>1569</v>
      </c>
      <c r="J2034" t="s">
        <v>1641</v>
      </c>
      <c r="K2034">
        <v>10456</v>
      </c>
      <c r="L2034" t="s">
        <v>1670</v>
      </c>
      <c r="M2034" t="s">
        <v>1672</v>
      </c>
      <c r="P2034" t="s">
        <v>1962</v>
      </c>
      <c r="R2034" t="s">
        <v>50</v>
      </c>
      <c r="S2034" t="s">
        <v>1671</v>
      </c>
      <c r="U2034" t="s">
        <v>1972</v>
      </c>
      <c r="W2034" t="s">
        <v>400</v>
      </c>
      <c r="X2034">
        <v>690.4</v>
      </c>
      <c r="Y2034" t="s">
        <v>2006</v>
      </c>
      <c r="Z2034" t="s">
        <v>2015</v>
      </c>
      <c r="AB2034" t="s">
        <v>14476</v>
      </c>
      <c r="AD2034" t="s">
        <v>16886</v>
      </c>
      <c r="AE2034">
        <v>30</v>
      </c>
      <c r="AF2034" t="s">
        <v>2908</v>
      </c>
      <c r="AG2034" t="s">
        <v>2919</v>
      </c>
      <c r="AH2034">
        <v>43</v>
      </c>
      <c r="AI2034">
        <v>2</v>
      </c>
      <c r="AJ2034">
        <v>0</v>
      </c>
      <c r="AK2034">
        <v>90.55</v>
      </c>
      <c r="AN2034" t="s">
        <v>2927</v>
      </c>
      <c r="AO2034">
        <v>15312</v>
      </c>
      <c r="AU2034">
        <v>0.5</v>
      </c>
      <c r="AV2034" t="s">
        <v>337</v>
      </c>
      <c r="AW2034" t="s">
        <v>3047</v>
      </c>
      <c r="AX2034" t="s">
        <v>18685</v>
      </c>
    </row>
    <row r="2035" spans="1:50">
      <c r="A2035" s="1" t="s">
        <v>63</v>
      </c>
      <c r="B2035" t="s">
        <v>163</v>
      </c>
      <c r="C2035" t="s">
        <v>5245</v>
      </c>
      <c r="D2035" t="s">
        <v>287</v>
      </c>
      <c r="F2035" t="s">
        <v>7403</v>
      </c>
      <c r="G2035" t="s">
        <v>780</v>
      </c>
      <c r="H2035" t="s">
        <v>10132</v>
      </c>
      <c r="I2035" t="s">
        <v>1601</v>
      </c>
      <c r="J2035" t="s">
        <v>1641</v>
      </c>
      <c r="K2035">
        <v>10452</v>
      </c>
      <c r="L2035" t="s">
        <v>1670</v>
      </c>
      <c r="M2035" t="s">
        <v>1670</v>
      </c>
      <c r="N2035" t="s">
        <v>12315</v>
      </c>
      <c r="O2035" t="s">
        <v>1949</v>
      </c>
      <c r="P2035" t="s">
        <v>1961</v>
      </c>
      <c r="R2035" t="s">
        <v>50</v>
      </c>
      <c r="S2035" t="s">
        <v>1670</v>
      </c>
      <c r="U2035" t="s">
        <v>1972</v>
      </c>
      <c r="W2035" t="s">
        <v>1992</v>
      </c>
      <c r="X2035">
        <v>718.26</v>
      </c>
      <c r="Y2035" t="s">
        <v>2006</v>
      </c>
      <c r="Z2035" t="s">
        <v>2015</v>
      </c>
      <c r="AB2035" t="s">
        <v>14477</v>
      </c>
      <c r="AD2035" t="s">
        <v>16887</v>
      </c>
      <c r="AE2035">
        <v>70</v>
      </c>
      <c r="AF2035" t="s">
        <v>2902</v>
      </c>
      <c r="AG2035" t="s">
        <v>1754</v>
      </c>
      <c r="AH2035">
        <v>37</v>
      </c>
      <c r="AI2035">
        <v>4</v>
      </c>
      <c r="AJ2035">
        <v>0</v>
      </c>
      <c r="AK2035">
        <v>90.84</v>
      </c>
      <c r="AN2035" t="s">
        <v>2927</v>
      </c>
      <c r="AO2035">
        <v>22800</v>
      </c>
      <c r="AP2035" t="s">
        <v>18323</v>
      </c>
      <c r="AU2035" t="s">
        <v>13051</v>
      </c>
      <c r="AW2035" t="s">
        <v>3046</v>
      </c>
    </row>
    <row r="2036" spans="1:50">
      <c r="A2036" s="1" t="s">
        <v>118</v>
      </c>
      <c r="B2036" t="s">
        <v>163</v>
      </c>
      <c r="C2036" t="s">
        <v>5246</v>
      </c>
      <c r="D2036" t="s">
        <v>193</v>
      </c>
      <c r="F2036" t="s">
        <v>739</v>
      </c>
      <c r="G2036" t="s">
        <v>803</v>
      </c>
      <c r="H2036" t="s">
        <v>9805</v>
      </c>
      <c r="I2036" t="s">
        <v>1602</v>
      </c>
      <c r="J2036" t="s">
        <v>1641</v>
      </c>
      <c r="K2036">
        <v>10452</v>
      </c>
      <c r="L2036" t="s">
        <v>1670</v>
      </c>
      <c r="M2036" t="s">
        <v>1670</v>
      </c>
      <c r="O2036" t="s">
        <v>1675</v>
      </c>
      <c r="P2036" t="s">
        <v>1959</v>
      </c>
      <c r="R2036" t="s">
        <v>50</v>
      </c>
      <c r="S2036" t="s">
        <v>1670</v>
      </c>
      <c r="U2036" t="s">
        <v>1972</v>
      </c>
      <c r="W2036" t="s">
        <v>1991</v>
      </c>
      <c r="X2036">
        <v>460.75</v>
      </c>
      <c r="Y2036" t="s">
        <v>2006</v>
      </c>
      <c r="Z2036" t="s">
        <v>2015</v>
      </c>
      <c r="AB2036" t="s">
        <v>14478</v>
      </c>
      <c r="AD2036" t="s">
        <v>16888</v>
      </c>
      <c r="AE2036">
        <v>60</v>
      </c>
      <c r="AF2036" t="s">
        <v>2902</v>
      </c>
      <c r="AG2036" t="s">
        <v>2919</v>
      </c>
      <c r="AH2036">
        <v>39</v>
      </c>
      <c r="AI2036">
        <v>1</v>
      </c>
      <c r="AJ2036">
        <v>0</v>
      </c>
      <c r="AK2036">
        <v>91.18000000000001</v>
      </c>
      <c r="AN2036" t="s">
        <v>2926</v>
      </c>
      <c r="AO2036">
        <v>11388</v>
      </c>
      <c r="AU2036" t="s">
        <v>13051</v>
      </c>
      <c r="AW2036" t="s">
        <v>3046</v>
      </c>
      <c r="AX2036" t="s">
        <v>18685</v>
      </c>
    </row>
    <row r="2037" spans="1:50">
      <c r="A2037" s="1" t="s">
        <v>73</v>
      </c>
      <c r="B2037" t="s">
        <v>163</v>
      </c>
      <c r="C2037" t="s">
        <v>5247</v>
      </c>
      <c r="D2037" t="s">
        <v>295</v>
      </c>
      <c r="F2037" t="s">
        <v>7606</v>
      </c>
      <c r="G2037" t="s">
        <v>8799</v>
      </c>
      <c r="H2037" t="s">
        <v>1293</v>
      </c>
      <c r="I2037" t="s">
        <v>11335</v>
      </c>
      <c r="J2037" t="s">
        <v>1645</v>
      </c>
      <c r="K2037">
        <v>11691</v>
      </c>
      <c r="L2037" t="s">
        <v>1670</v>
      </c>
      <c r="M2037" t="s">
        <v>1670</v>
      </c>
      <c r="O2037" t="s">
        <v>1938</v>
      </c>
      <c r="P2037" t="s">
        <v>1962</v>
      </c>
      <c r="R2037" t="s">
        <v>50</v>
      </c>
      <c r="S2037" t="s">
        <v>1670</v>
      </c>
      <c r="U2037" t="s">
        <v>1972</v>
      </c>
      <c r="W2037" t="s">
        <v>295</v>
      </c>
      <c r="X2037">
        <v>675</v>
      </c>
      <c r="Y2037" t="s">
        <v>2007</v>
      </c>
      <c r="Z2037" t="s">
        <v>2014</v>
      </c>
      <c r="AB2037" t="s">
        <v>14479</v>
      </c>
      <c r="AD2037" t="s">
        <v>16889</v>
      </c>
      <c r="AE2037">
        <v>43</v>
      </c>
      <c r="AH2037">
        <v>8</v>
      </c>
      <c r="AI2037">
        <v>1</v>
      </c>
      <c r="AJ2037">
        <v>0</v>
      </c>
      <c r="AK2037">
        <v>91.27</v>
      </c>
      <c r="AN2037" t="s">
        <v>2926</v>
      </c>
      <c r="AO2037">
        <v>11400</v>
      </c>
      <c r="AU2037" t="s">
        <v>13051</v>
      </c>
      <c r="AW2037" t="s">
        <v>3073</v>
      </c>
    </row>
    <row r="2038" spans="1:50">
      <c r="A2038" s="1" t="s">
        <v>73</v>
      </c>
      <c r="B2038" t="s">
        <v>163</v>
      </c>
      <c r="C2038" t="s">
        <v>5248</v>
      </c>
      <c r="D2038" t="s">
        <v>295</v>
      </c>
      <c r="F2038" t="s">
        <v>7606</v>
      </c>
      <c r="G2038" t="s">
        <v>8799</v>
      </c>
      <c r="H2038" t="s">
        <v>1293</v>
      </c>
      <c r="I2038" t="s">
        <v>11335</v>
      </c>
      <c r="J2038" t="s">
        <v>1645</v>
      </c>
      <c r="K2038">
        <v>11691</v>
      </c>
      <c r="L2038" t="s">
        <v>1670</v>
      </c>
      <c r="M2038" t="s">
        <v>1670</v>
      </c>
      <c r="O2038" t="s">
        <v>1941</v>
      </c>
      <c r="P2038" t="s">
        <v>1962</v>
      </c>
      <c r="R2038" t="s">
        <v>50</v>
      </c>
      <c r="S2038" t="s">
        <v>1670</v>
      </c>
      <c r="U2038" t="s">
        <v>1972</v>
      </c>
      <c r="W2038" t="s">
        <v>295</v>
      </c>
      <c r="X2038">
        <v>675</v>
      </c>
      <c r="Y2038" t="s">
        <v>2007</v>
      </c>
      <c r="AB2038" t="s">
        <v>14479</v>
      </c>
      <c r="AD2038" t="s">
        <v>16889</v>
      </c>
      <c r="AE2038">
        <v>43</v>
      </c>
      <c r="AH2038">
        <v>8</v>
      </c>
      <c r="AI2038">
        <v>1</v>
      </c>
      <c r="AJ2038">
        <v>0</v>
      </c>
      <c r="AK2038">
        <v>91.27</v>
      </c>
      <c r="AN2038" t="s">
        <v>2926</v>
      </c>
      <c r="AO2038">
        <v>11400</v>
      </c>
      <c r="AU2038" t="s">
        <v>13051</v>
      </c>
      <c r="AW2038" t="s">
        <v>3073</v>
      </c>
    </row>
    <row r="2039" spans="1:50">
      <c r="A2039" s="1" t="s">
        <v>131</v>
      </c>
      <c r="B2039" t="s">
        <v>164</v>
      </c>
      <c r="C2039" t="s">
        <v>5249</v>
      </c>
      <c r="D2039" t="s">
        <v>246</v>
      </c>
      <c r="E2039" t="s">
        <v>293</v>
      </c>
      <c r="F2039" t="s">
        <v>649</v>
      </c>
      <c r="G2039" t="s">
        <v>8800</v>
      </c>
      <c r="H2039" t="s">
        <v>10309</v>
      </c>
      <c r="I2039">
        <v>24</v>
      </c>
      <c r="J2039" t="s">
        <v>1643</v>
      </c>
      <c r="K2039">
        <v>10035</v>
      </c>
      <c r="L2039" t="s">
        <v>1670</v>
      </c>
      <c r="M2039" t="s">
        <v>1670</v>
      </c>
      <c r="O2039" t="s">
        <v>1944</v>
      </c>
      <c r="P2039" t="s">
        <v>1961</v>
      </c>
      <c r="Q2039" t="s">
        <v>1966</v>
      </c>
      <c r="R2039" t="s">
        <v>50</v>
      </c>
      <c r="S2039" t="s">
        <v>1671</v>
      </c>
      <c r="U2039" t="s">
        <v>1976</v>
      </c>
      <c r="V2039" t="s">
        <v>1984</v>
      </c>
      <c r="W2039" t="s">
        <v>246</v>
      </c>
      <c r="X2039">
        <v>2037</v>
      </c>
      <c r="Y2039" t="s">
        <v>2008</v>
      </c>
      <c r="Z2039" t="s">
        <v>2021</v>
      </c>
      <c r="AA2039" t="s">
        <v>13059</v>
      </c>
      <c r="AB2039" t="s">
        <v>14480</v>
      </c>
      <c r="AD2039" t="s">
        <v>16890</v>
      </c>
      <c r="AE2039">
        <v>35</v>
      </c>
      <c r="AF2039" t="s">
        <v>2902</v>
      </c>
      <c r="AG2039" t="s">
        <v>2915</v>
      </c>
      <c r="AH2039">
        <v>27</v>
      </c>
      <c r="AI2039">
        <v>3</v>
      </c>
      <c r="AJ2039">
        <v>0</v>
      </c>
      <c r="AK2039">
        <v>91.33</v>
      </c>
      <c r="AN2039" t="s">
        <v>2926</v>
      </c>
      <c r="AO2039">
        <v>18978.96</v>
      </c>
      <c r="AU2039">
        <v>22.5</v>
      </c>
      <c r="AV2039" t="s">
        <v>217</v>
      </c>
      <c r="AW2039" t="s">
        <v>3051</v>
      </c>
      <c r="AX2039" t="s">
        <v>18685</v>
      </c>
    </row>
    <row r="2040" spans="1:50">
      <c r="A2040" s="1" t="s">
        <v>74</v>
      </c>
      <c r="B2040" t="s">
        <v>163</v>
      </c>
      <c r="C2040" t="s">
        <v>5250</v>
      </c>
      <c r="D2040" t="s">
        <v>328</v>
      </c>
      <c r="F2040" t="s">
        <v>7607</v>
      </c>
      <c r="G2040" t="s">
        <v>8619</v>
      </c>
      <c r="H2040" t="s">
        <v>1131</v>
      </c>
      <c r="I2040" t="s">
        <v>1523</v>
      </c>
      <c r="J2040" t="s">
        <v>1641</v>
      </c>
      <c r="K2040">
        <v>10460</v>
      </c>
      <c r="L2040" t="s">
        <v>1670</v>
      </c>
      <c r="M2040" t="s">
        <v>1672</v>
      </c>
      <c r="O2040" t="s">
        <v>1675</v>
      </c>
      <c r="P2040" t="s">
        <v>1959</v>
      </c>
      <c r="R2040" t="s">
        <v>50</v>
      </c>
      <c r="S2040" t="s">
        <v>1670</v>
      </c>
      <c r="U2040" t="s">
        <v>1972</v>
      </c>
      <c r="W2040" t="s">
        <v>1991</v>
      </c>
      <c r="X2040">
        <v>287</v>
      </c>
      <c r="Y2040" t="s">
        <v>2006</v>
      </c>
      <c r="Z2040" t="s">
        <v>2020</v>
      </c>
      <c r="AB2040" t="s">
        <v>14481</v>
      </c>
      <c r="AD2040" t="s">
        <v>16891</v>
      </c>
      <c r="AE2040">
        <v>168</v>
      </c>
      <c r="AF2040" t="s">
        <v>2908</v>
      </c>
      <c r="AG2040" t="s">
        <v>2915</v>
      </c>
      <c r="AH2040">
        <v>19</v>
      </c>
      <c r="AI2040">
        <v>1</v>
      </c>
      <c r="AJ2040">
        <v>0</v>
      </c>
      <c r="AK2040">
        <v>91.84999999999999</v>
      </c>
      <c r="AN2040" t="s">
        <v>2926</v>
      </c>
      <c r="AO2040">
        <v>11472</v>
      </c>
      <c r="AU2040" t="s">
        <v>13051</v>
      </c>
      <c r="AW2040" t="s">
        <v>3046</v>
      </c>
      <c r="AX2040" t="s">
        <v>18685</v>
      </c>
    </row>
    <row r="2041" spans="1:50">
      <c r="A2041" s="1" t="s">
        <v>104</v>
      </c>
      <c r="B2041" t="s">
        <v>164</v>
      </c>
      <c r="C2041" t="s">
        <v>5251</v>
      </c>
      <c r="D2041" t="s">
        <v>241</v>
      </c>
      <c r="E2041" t="s">
        <v>341</v>
      </c>
      <c r="F2041" t="s">
        <v>7608</v>
      </c>
      <c r="G2041" t="s">
        <v>8801</v>
      </c>
      <c r="H2041" t="s">
        <v>10310</v>
      </c>
      <c r="I2041" t="s">
        <v>11336</v>
      </c>
      <c r="J2041" t="s">
        <v>1646</v>
      </c>
      <c r="K2041">
        <v>10304</v>
      </c>
      <c r="L2041" t="s">
        <v>1670</v>
      </c>
      <c r="M2041" t="s">
        <v>1670</v>
      </c>
      <c r="N2041" t="s">
        <v>12434</v>
      </c>
      <c r="O2041" t="s">
        <v>1936</v>
      </c>
      <c r="P2041" t="s">
        <v>1960</v>
      </c>
      <c r="Q2041" t="s">
        <v>1969</v>
      </c>
      <c r="R2041" t="s">
        <v>50</v>
      </c>
      <c r="S2041" t="s">
        <v>1671</v>
      </c>
      <c r="U2041" t="s">
        <v>1972</v>
      </c>
      <c r="V2041" t="s">
        <v>1984</v>
      </c>
      <c r="W2041" t="s">
        <v>241</v>
      </c>
      <c r="X2041">
        <v>794.6</v>
      </c>
      <c r="Y2041" t="s">
        <v>2010</v>
      </c>
      <c r="Z2041" t="s">
        <v>2015</v>
      </c>
      <c r="AA2041" t="s">
        <v>2032</v>
      </c>
      <c r="AB2041" t="s">
        <v>14482</v>
      </c>
      <c r="AD2041" t="s">
        <v>16892</v>
      </c>
      <c r="AE2041">
        <v>108</v>
      </c>
      <c r="AF2041" t="s">
        <v>2902</v>
      </c>
      <c r="AG2041" t="s">
        <v>2919</v>
      </c>
      <c r="AH2041">
        <v>19</v>
      </c>
      <c r="AI2041">
        <v>2</v>
      </c>
      <c r="AJ2041">
        <v>0</v>
      </c>
      <c r="AK2041">
        <v>91.86</v>
      </c>
      <c r="AN2041" t="s">
        <v>2926</v>
      </c>
      <c r="AO2041">
        <v>15120</v>
      </c>
      <c r="AQ2041" t="s">
        <v>2978</v>
      </c>
      <c r="AR2041" t="s">
        <v>2982</v>
      </c>
      <c r="AS2041" t="s">
        <v>2992</v>
      </c>
      <c r="AT2041" t="s">
        <v>3011</v>
      </c>
      <c r="AU2041">
        <v>32.9</v>
      </c>
      <c r="AV2041" t="s">
        <v>341</v>
      </c>
      <c r="AW2041" t="s">
        <v>3056</v>
      </c>
    </row>
    <row r="2042" spans="1:50">
      <c r="A2042" s="1" t="s">
        <v>142</v>
      </c>
      <c r="B2042" t="s">
        <v>164</v>
      </c>
      <c r="C2042" t="s">
        <v>5252</v>
      </c>
      <c r="D2042" t="s">
        <v>353</v>
      </c>
      <c r="E2042" t="s">
        <v>1999</v>
      </c>
      <c r="F2042" t="s">
        <v>6876</v>
      </c>
      <c r="G2042" t="s">
        <v>8672</v>
      </c>
      <c r="H2042" t="s">
        <v>1112</v>
      </c>
      <c r="I2042" t="s">
        <v>11274</v>
      </c>
      <c r="J2042" t="s">
        <v>1641</v>
      </c>
      <c r="K2042">
        <v>10453</v>
      </c>
      <c r="L2042" t="s">
        <v>1670</v>
      </c>
      <c r="M2042" t="s">
        <v>1670</v>
      </c>
      <c r="N2042" t="s">
        <v>12435</v>
      </c>
      <c r="O2042" t="s">
        <v>1936</v>
      </c>
      <c r="P2042" t="s">
        <v>1960</v>
      </c>
      <c r="Q2042" t="s">
        <v>1969</v>
      </c>
      <c r="R2042" t="s">
        <v>50</v>
      </c>
      <c r="U2042" t="s">
        <v>1972</v>
      </c>
      <c r="W2042" t="s">
        <v>294</v>
      </c>
      <c r="X2042">
        <v>1475.86</v>
      </c>
      <c r="Y2042" t="s">
        <v>2006</v>
      </c>
      <c r="Z2042" t="s">
        <v>2019</v>
      </c>
      <c r="AA2042" t="s">
        <v>2032</v>
      </c>
      <c r="AB2042" t="s">
        <v>14243</v>
      </c>
      <c r="AD2042" t="s">
        <v>16893</v>
      </c>
      <c r="AE2042" t="s">
        <v>13051</v>
      </c>
      <c r="AF2042" t="s">
        <v>2902</v>
      </c>
      <c r="AG2042" t="s">
        <v>2921</v>
      </c>
      <c r="AH2042">
        <v>1</v>
      </c>
      <c r="AI2042">
        <v>2</v>
      </c>
      <c r="AJ2042">
        <v>0</v>
      </c>
      <c r="AK2042">
        <v>91.90000000000001</v>
      </c>
      <c r="AN2042" t="s">
        <v>2926</v>
      </c>
      <c r="AO2042">
        <v>15540</v>
      </c>
      <c r="AU2042">
        <v>24.8</v>
      </c>
      <c r="AV2042" t="s">
        <v>406</v>
      </c>
      <c r="AW2042" t="s">
        <v>3058</v>
      </c>
    </row>
    <row r="2043" spans="1:50">
      <c r="A2043" s="1" t="s">
        <v>64</v>
      </c>
      <c r="B2043" t="s">
        <v>164</v>
      </c>
      <c r="C2043" t="s">
        <v>5253</v>
      </c>
      <c r="D2043" t="s">
        <v>343</v>
      </c>
      <c r="E2043" t="s">
        <v>315</v>
      </c>
      <c r="F2043" t="s">
        <v>7609</v>
      </c>
      <c r="G2043" t="s">
        <v>8802</v>
      </c>
      <c r="H2043" t="s">
        <v>10311</v>
      </c>
      <c r="I2043" t="s">
        <v>11337</v>
      </c>
      <c r="J2043" t="s">
        <v>1643</v>
      </c>
      <c r="K2043">
        <v>10034</v>
      </c>
      <c r="L2043" t="s">
        <v>1670</v>
      </c>
      <c r="M2043" t="s">
        <v>1670</v>
      </c>
      <c r="O2043" t="s">
        <v>1936</v>
      </c>
      <c r="P2043" t="s">
        <v>1958</v>
      </c>
      <c r="Q2043" t="s">
        <v>1965</v>
      </c>
      <c r="R2043" t="s">
        <v>50</v>
      </c>
      <c r="S2043" t="s">
        <v>1671</v>
      </c>
      <c r="U2043" t="s">
        <v>1972</v>
      </c>
      <c r="V2043" t="s">
        <v>1984</v>
      </c>
      <c r="W2043" t="s">
        <v>343</v>
      </c>
      <c r="X2043">
        <v>861.77</v>
      </c>
      <c r="Y2043" t="s">
        <v>2008</v>
      </c>
      <c r="Z2043" t="s">
        <v>2013</v>
      </c>
      <c r="AA2043" t="s">
        <v>2029</v>
      </c>
      <c r="AB2043" t="s">
        <v>14483</v>
      </c>
      <c r="AD2043" t="s">
        <v>16894</v>
      </c>
      <c r="AE2043">
        <v>48</v>
      </c>
      <c r="AF2043" t="s">
        <v>2902</v>
      </c>
      <c r="AG2043" t="s">
        <v>2919</v>
      </c>
      <c r="AH2043">
        <v>10</v>
      </c>
      <c r="AI2043">
        <v>2</v>
      </c>
      <c r="AJ2043">
        <v>0</v>
      </c>
      <c r="AK2043">
        <v>92</v>
      </c>
      <c r="AN2043" t="s">
        <v>2927</v>
      </c>
      <c r="AO2043">
        <v>15144</v>
      </c>
      <c r="AU2043">
        <v>1.1</v>
      </c>
      <c r="AV2043" t="s">
        <v>218</v>
      </c>
      <c r="AW2043" t="s">
        <v>3042</v>
      </c>
    </row>
    <row r="2044" spans="1:50">
      <c r="A2044" s="1" t="s">
        <v>3144</v>
      </c>
      <c r="B2044" t="s">
        <v>163</v>
      </c>
      <c r="C2044" t="s">
        <v>5254</v>
      </c>
      <c r="D2044" t="s">
        <v>275</v>
      </c>
      <c r="F2044" t="s">
        <v>7610</v>
      </c>
      <c r="G2044" t="s">
        <v>8803</v>
      </c>
      <c r="H2044" t="s">
        <v>10312</v>
      </c>
      <c r="I2044" t="s">
        <v>11030</v>
      </c>
      <c r="J2044" t="s">
        <v>1641</v>
      </c>
      <c r="K2044">
        <v>10468</v>
      </c>
      <c r="L2044" t="s">
        <v>1670</v>
      </c>
      <c r="M2044" t="s">
        <v>1670</v>
      </c>
      <c r="O2044" t="s">
        <v>1943</v>
      </c>
      <c r="P2044" t="s">
        <v>1959</v>
      </c>
      <c r="R2044" t="s">
        <v>50</v>
      </c>
      <c r="U2044" t="s">
        <v>1973</v>
      </c>
      <c r="W2044" t="s">
        <v>275</v>
      </c>
      <c r="X2044">
        <v>832</v>
      </c>
      <c r="Y2044" t="s">
        <v>2006</v>
      </c>
      <c r="Z2044" t="s">
        <v>2014</v>
      </c>
      <c r="AB2044" t="s">
        <v>14484</v>
      </c>
      <c r="AC2044" t="s">
        <v>15250</v>
      </c>
      <c r="AD2044" t="s">
        <v>16895</v>
      </c>
      <c r="AE2044">
        <v>74</v>
      </c>
      <c r="AF2044" t="s">
        <v>2911</v>
      </c>
      <c r="AH2044">
        <v>20</v>
      </c>
      <c r="AI2044">
        <v>2</v>
      </c>
      <c r="AJ2044">
        <v>0</v>
      </c>
      <c r="AK2044">
        <v>92.25</v>
      </c>
      <c r="AN2044" t="s">
        <v>2926</v>
      </c>
      <c r="AO2044">
        <v>15600</v>
      </c>
      <c r="AU2044">
        <v>1.5</v>
      </c>
      <c r="AV2044" t="s">
        <v>369</v>
      </c>
      <c r="AW2044" t="s">
        <v>18655</v>
      </c>
      <c r="AX2044" t="s">
        <v>18685</v>
      </c>
    </row>
    <row r="2045" spans="1:50">
      <c r="A2045" s="1" t="s">
        <v>74</v>
      </c>
      <c r="B2045" t="s">
        <v>163</v>
      </c>
      <c r="C2045" t="s">
        <v>5255</v>
      </c>
      <c r="D2045" t="s">
        <v>191</v>
      </c>
      <c r="F2045" t="s">
        <v>7611</v>
      </c>
      <c r="G2045" t="s">
        <v>8610</v>
      </c>
      <c r="H2045" t="s">
        <v>1131</v>
      </c>
      <c r="I2045" t="s">
        <v>11338</v>
      </c>
      <c r="J2045" t="s">
        <v>1641</v>
      </c>
      <c r="K2045">
        <v>10460</v>
      </c>
      <c r="L2045" t="s">
        <v>1670</v>
      </c>
      <c r="M2045" t="s">
        <v>1672</v>
      </c>
      <c r="N2045" t="s">
        <v>1691</v>
      </c>
      <c r="O2045" t="s">
        <v>1675</v>
      </c>
      <c r="P2045" t="s">
        <v>1959</v>
      </c>
      <c r="R2045" t="s">
        <v>50</v>
      </c>
      <c r="S2045" t="s">
        <v>1670</v>
      </c>
      <c r="U2045" t="s">
        <v>1972</v>
      </c>
      <c r="W2045" t="s">
        <v>1991</v>
      </c>
      <c r="X2045">
        <v>1543</v>
      </c>
      <c r="Y2045" t="s">
        <v>2006</v>
      </c>
      <c r="Z2045" t="s">
        <v>2015</v>
      </c>
      <c r="AB2045" t="s">
        <v>14485</v>
      </c>
      <c r="AD2045" t="s">
        <v>16896</v>
      </c>
      <c r="AE2045">
        <v>168</v>
      </c>
      <c r="AF2045" t="s">
        <v>2902</v>
      </c>
      <c r="AG2045" t="s">
        <v>2915</v>
      </c>
      <c r="AH2045">
        <v>24</v>
      </c>
      <c r="AI2045">
        <v>2</v>
      </c>
      <c r="AJ2045">
        <v>0</v>
      </c>
      <c r="AK2045">
        <v>92.25</v>
      </c>
      <c r="AN2045" t="s">
        <v>2926</v>
      </c>
      <c r="AO2045">
        <v>15600</v>
      </c>
      <c r="AU2045" t="s">
        <v>13051</v>
      </c>
      <c r="AW2045" t="s">
        <v>3047</v>
      </c>
      <c r="AX2045" t="s">
        <v>18685</v>
      </c>
    </row>
    <row r="2046" spans="1:50">
      <c r="A2046" s="1" t="s">
        <v>74</v>
      </c>
      <c r="B2046" t="s">
        <v>163</v>
      </c>
      <c r="C2046" t="s">
        <v>5256</v>
      </c>
      <c r="D2046" t="s">
        <v>281</v>
      </c>
      <c r="F2046" t="s">
        <v>7602</v>
      </c>
      <c r="G2046" t="s">
        <v>8187</v>
      </c>
      <c r="H2046" t="s">
        <v>1131</v>
      </c>
      <c r="I2046" t="s">
        <v>11334</v>
      </c>
      <c r="J2046" t="s">
        <v>1641</v>
      </c>
      <c r="K2046">
        <v>10460</v>
      </c>
      <c r="L2046" t="s">
        <v>1670</v>
      </c>
      <c r="M2046" t="s">
        <v>1670</v>
      </c>
      <c r="N2046" t="s">
        <v>1692</v>
      </c>
      <c r="O2046" t="s">
        <v>1939</v>
      </c>
      <c r="P2046" t="s">
        <v>1960</v>
      </c>
      <c r="R2046" t="s">
        <v>50</v>
      </c>
      <c r="S2046" t="s">
        <v>1670</v>
      </c>
      <c r="U2046" t="s">
        <v>1972</v>
      </c>
      <c r="W2046" t="s">
        <v>283</v>
      </c>
      <c r="X2046">
        <v>262</v>
      </c>
      <c r="Y2046" t="s">
        <v>2006</v>
      </c>
      <c r="Z2046" t="s">
        <v>2015</v>
      </c>
      <c r="AB2046" t="s">
        <v>14471</v>
      </c>
      <c r="AD2046" t="s">
        <v>16881</v>
      </c>
      <c r="AE2046">
        <v>169</v>
      </c>
      <c r="AF2046" t="s">
        <v>2907</v>
      </c>
      <c r="AG2046" t="s">
        <v>2915</v>
      </c>
      <c r="AH2046">
        <v>27</v>
      </c>
      <c r="AI2046">
        <v>1</v>
      </c>
      <c r="AJ2046">
        <v>0</v>
      </c>
      <c r="AK2046">
        <v>92.26000000000001</v>
      </c>
      <c r="AN2046" t="s">
        <v>2926</v>
      </c>
      <c r="AO2046">
        <v>11200</v>
      </c>
      <c r="AU2046" t="s">
        <v>13051</v>
      </c>
      <c r="AW2046" t="s">
        <v>76</v>
      </c>
    </row>
    <row r="2047" spans="1:50">
      <c r="A2047" s="1" t="s">
        <v>58</v>
      </c>
      <c r="B2047" t="s">
        <v>163</v>
      </c>
      <c r="C2047" t="s">
        <v>5257</v>
      </c>
      <c r="D2047" t="s">
        <v>171</v>
      </c>
      <c r="F2047" t="s">
        <v>7612</v>
      </c>
      <c r="G2047" t="s">
        <v>8130</v>
      </c>
      <c r="H2047" t="s">
        <v>1113</v>
      </c>
      <c r="I2047" t="s">
        <v>1520</v>
      </c>
      <c r="J2047" t="s">
        <v>1641</v>
      </c>
      <c r="K2047">
        <v>10452</v>
      </c>
      <c r="L2047" t="s">
        <v>1670</v>
      </c>
      <c r="M2047" t="s">
        <v>1672</v>
      </c>
      <c r="O2047" t="s">
        <v>1938</v>
      </c>
      <c r="P2047" t="s">
        <v>1962</v>
      </c>
      <c r="R2047" t="s">
        <v>50</v>
      </c>
      <c r="S2047" t="s">
        <v>1670</v>
      </c>
      <c r="U2047" t="s">
        <v>1972</v>
      </c>
      <c r="W2047" t="s">
        <v>293</v>
      </c>
      <c r="X2047">
        <v>1024.89</v>
      </c>
      <c r="Y2047" t="s">
        <v>2006</v>
      </c>
      <c r="Z2047" t="s">
        <v>2015</v>
      </c>
      <c r="AB2047" t="s">
        <v>14486</v>
      </c>
      <c r="AE2047">
        <v>41</v>
      </c>
      <c r="AF2047" t="s">
        <v>2902</v>
      </c>
      <c r="AG2047" t="s">
        <v>2017</v>
      </c>
      <c r="AH2047">
        <v>12</v>
      </c>
      <c r="AI2047">
        <v>1</v>
      </c>
      <c r="AJ2047">
        <v>0</v>
      </c>
      <c r="AK2047">
        <v>92.91</v>
      </c>
      <c r="AN2047" t="s">
        <v>2927</v>
      </c>
      <c r="AO2047">
        <v>11604</v>
      </c>
      <c r="AU2047" t="s">
        <v>13051</v>
      </c>
      <c r="AW2047" t="s">
        <v>3046</v>
      </c>
      <c r="AX2047" t="s">
        <v>18685</v>
      </c>
    </row>
    <row r="2048" spans="1:50">
      <c r="A2048" s="1" t="s">
        <v>101</v>
      </c>
      <c r="B2048" t="s">
        <v>164</v>
      </c>
      <c r="C2048" t="s">
        <v>5258</v>
      </c>
      <c r="D2048" t="s">
        <v>247</v>
      </c>
      <c r="E2048" t="s">
        <v>224</v>
      </c>
      <c r="F2048" t="s">
        <v>6914</v>
      </c>
      <c r="G2048" t="s">
        <v>8804</v>
      </c>
      <c r="H2048" t="s">
        <v>9757</v>
      </c>
      <c r="I2048" t="s">
        <v>1477</v>
      </c>
      <c r="J2048" t="s">
        <v>1643</v>
      </c>
      <c r="K2048">
        <v>10029</v>
      </c>
      <c r="L2048" t="s">
        <v>1670</v>
      </c>
      <c r="M2048" t="s">
        <v>1670</v>
      </c>
      <c r="N2048" t="s">
        <v>12050</v>
      </c>
      <c r="O2048" t="s">
        <v>1936</v>
      </c>
      <c r="P2048" t="s">
        <v>1958</v>
      </c>
      <c r="Q2048" t="s">
        <v>1965</v>
      </c>
      <c r="R2048" t="s">
        <v>50</v>
      </c>
      <c r="S2048" t="s">
        <v>1671</v>
      </c>
      <c r="U2048" t="s">
        <v>1972</v>
      </c>
      <c r="V2048" t="s">
        <v>1984</v>
      </c>
      <c r="W2048" t="s">
        <v>247</v>
      </c>
      <c r="X2048">
        <v>1306.7</v>
      </c>
      <c r="Y2048" t="s">
        <v>2008</v>
      </c>
      <c r="Z2048" t="s">
        <v>2013</v>
      </c>
      <c r="AA2048" t="s">
        <v>2029</v>
      </c>
      <c r="AB2048" t="s">
        <v>13728</v>
      </c>
      <c r="AD2048" t="s">
        <v>16197</v>
      </c>
      <c r="AE2048">
        <v>15</v>
      </c>
      <c r="AF2048" t="s">
        <v>2902</v>
      </c>
      <c r="AG2048" t="s">
        <v>1754</v>
      </c>
      <c r="AH2048">
        <v>5</v>
      </c>
      <c r="AI2048">
        <v>1</v>
      </c>
      <c r="AJ2048">
        <v>0</v>
      </c>
      <c r="AK2048">
        <v>93.11</v>
      </c>
      <c r="AN2048" t="s">
        <v>2926</v>
      </c>
      <c r="AO2048">
        <v>11304</v>
      </c>
      <c r="AU2048">
        <v>1.25</v>
      </c>
      <c r="AV2048" t="s">
        <v>335</v>
      </c>
      <c r="AW2048" t="s">
        <v>3051</v>
      </c>
    </row>
    <row r="2049" spans="1:50">
      <c r="A2049" s="1" t="s">
        <v>94</v>
      </c>
      <c r="B2049" t="s">
        <v>164</v>
      </c>
      <c r="C2049" t="s">
        <v>5259</v>
      </c>
      <c r="D2049" t="s">
        <v>354</v>
      </c>
      <c r="E2049" t="s">
        <v>354</v>
      </c>
      <c r="F2049" t="s">
        <v>7613</v>
      </c>
      <c r="G2049" t="s">
        <v>8805</v>
      </c>
      <c r="H2049" t="s">
        <v>1109</v>
      </c>
      <c r="I2049" t="s">
        <v>1575</v>
      </c>
      <c r="J2049" t="s">
        <v>1643</v>
      </c>
      <c r="K2049">
        <v>10034</v>
      </c>
      <c r="L2049" t="s">
        <v>1670</v>
      </c>
      <c r="M2049" t="s">
        <v>1672</v>
      </c>
      <c r="O2049" t="s">
        <v>1941</v>
      </c>
      <c r="P2049" t="s">
        <v>1958</v>
      </c>
      <c r="Q2049" t="s">
        <v>1965</v>
      </c>
      <c r="R2049" t="s">
        <v>50</v>
      </c>
      <c r="S2049" t="s">
        <v>1671</v>
      </c>
      <c r="U2049" t="s">
        <v>1972</v>
      </c>
      <c r="W2049" t="s">
        <v>354</v>
      </c>
      <c r="X2049" t="s">
        <v>13051</v>
      </c>
      <c r="Y2049" t="s">
        <v>2008</v>
      </c>
      <c r="Z2049" t="s">
        <v>2013</v>
      </c>
      <c r="AA2049" t="s">
        <v>2029</v>
      </c>
      <c r="AB2049" t="s">
        <v>14487</v>
      </c>
      <c r="AD2049" t="s">
        <v>16897</v>
      </c>
      <c r="AE2049">
        <v>30</v>
      </c>
      <c r="AF2049" t="s">
        <v>2902</v>
      </c>
      <c r="AG2049" t="s">
        <v>1754</v>
      </c>
      <c r="AH2049">
        <v>6</v>
      </c>
      <c r="AI2049">
        <v>1</v>
      </c>
      <c r="AJ2049">
        <v>0</v>
      </c>
      <c r="AK2049">
        <v>93.29000000000001</v>
      </c>
      <c r="AN2049" t="s">
        <v>2926</v>
      </c>
      <c r="AO2049">
        <v>11652</v>
      </c>
      <c r="AU2049">
        <v>0.1</v>
      </c>
      <c r="AV2049" t="s">
        <v>354</v>
      </c>
      <c r="AW2049" t="s">
        <v>3042</v>
      </c>
      <c r="AX2049" t="s">
        <v>18685</v>
      </c>
    </row>
    <row r="2050" spans="1:50">
      <c r="A2050" s="1" t="s">
        <v>101</v>
      </c>
      <c r="B2050" t="s">
        <v>164</v>
      </c>
      <c r="C2050" t="s">
        <v>5260</v>
      </c>
      <c r="D2050" t="s">
        <v>370</v>
      </c>
      <c r="E2050" t="s">
        <v>389</v>
      </c>
      <c r="F2050" t="s">
        <v>7459</v>
      </c>
      <c r="G2050" t="s">
        <v>810</v>
      </c>
      <c r="H2050" t="s">
        <v>10313</v>
      </c>
      <c r="I2050" t="s">
        <v>1622</v>
      </c>
      <c r="J2050" t="s">
        <v>1643</v>
      </c>
      <c r="K2050">
        <v>10035</v>
      </c>
      <c r="L2050" t="s">
        <v>1670</v>
      </c>
      <c r="M2050" t="s">
        <v>1670</v>
      </c>
      <c r="O2050" t="s">
        <v>1937</v>
      </c>
      <c r="P2050" t="s">
        <v>1962</v>
      </c>
      <c r="Q2050" t="s">
        <v>1968</v>
      </c>
      <c r="R2050" t="s">
        <v>50</v>
      </c>
      <c r="S2050" t="s">
        <v>1671</v>
      </c>
      <c r="U2050" t="s">
        <v>1972</v>
      </c>
      <c r="V2050" t="s">
        <v>1984</v>
      </c>
      <c r="W2050" t="s">
        <v>348</v>
      </c>
      <c r="X2050">
        <v>1323.55</v>
      </c>
      <c r="Y2050" t="s">
        <v>2008</v>
      </c>
      <c r="Z2050" t="s">
        <v>2027</v>
      </c>
      <c r="AA2050" t="s">
        <v>13063</v>
      </c>
      <c r="AB2050" t="s">
        <v>14488</v>
      </c>
      <c r="AD2050" t="s">
        <v>16898</v>
      </c>
      <c r="AE2050">
        <v>10</v>
      </c>
      <c r="AF2050" t="s">
        <v>2902</v>
      </c>
      <c r="AG2050" t="s">
        <v>2919</v>
      </c>
      <c r="AH2050">
        <v>32</v>
      </c>
      <c r="AI2050">
        <v>1</v>
      </c>
      <c r="AJ2050">
        <v>0</v>
      </c>
      <c r="AK2050">
        <v>93.31</v>
      </c>
      <c r="AN2050" t="s">
        <v>2927</v>
      </c>
      <c r="AO2050">
        <v>11328</v>
      </c>
      <c r="AP2050" t="s">
        <v>18324</v>
      </c>
      <c r="AU2050">
        <v>11.55</v>
      </c>
      <c r="AV2050" t="s">
        <v>346</v>
      </c>
      <c r="AW2050" t="s">
        <v>3083</v>
      </c>
      <c r="AX2050" t="s">
        <v>18685</v>
      </c>
    </row>
    <row r="2051" spans="1:50">
      <c r="A2051" s="1" t="s">
        <v>68</v>
      </c>
      <c r="B2051" t="s">
        <v>163</v>
      </c>
      <c r="C2051" t="s">
        <v>5261</v>
      </c>
      <c r="D2051" t="s">
        <v>293</v>
      </c>
      <c r="F2051" t="s">
        <v>687</v>
      </c>
      <c r="G2051" t="s">
        <v>8806</v>
      </c>
      <c r="H2051" t="s">
        <v>10314</v>
      </c>
      <c r="I2051" t="s">
        <v>1528</v>
      </c>
      <c r="J2051" t="s">
        <v>1643</v>
      </c>
      <c r="K2051">
        <v>10040</v>
      </c>
      <c r="L2051" t="s">
        <v>1670</v>
      </c>
      <c r="M2051" t="s">
        <v>1670</v>
      </c>
      <c r="P2051" t="s">
        <v>1958</v>
      </c>
      <c r="R2051" t="s">
        <v>50</v>
      </c>
      <c r="S2051" t="s">
        <v>1671</v>
      </c>
      <c r="U2051" t="s">
        <v>1972</v>
      </c>
      <c r="W2051" t="s">
        <v>293</v>
      </c>
      <c r="X2051">
        <v>1153.74</v>
      </c>
      <c r="Y2051" t="s">
        <v>2008</v>
      </c>
      <c r="Z2051" t="s">
        <v>2013</v>
      </c>
      <c r="AB2051" t="s">
        <v>14489</v>
      </c>
      <c r="AD2051" t="s">
        <v>16899</v>
      </c>
      <c r="AE2051">
        <v>112</v>
      </c>
      <c r="AF2051" t="s">
        <v>2902</v>
      </c>
      <c r="AG2051" t="s">
        <v>1754</v>
      </c>
      <c r="AH2051">
        <v>43</v>
      </c>
      <c r="AI2051">
        <v>1</v>
      </c>
      <c r="AJ2051">
        <v>0</v>
      </c>
      <c r="AK2051">
        <v>93.48</v>
      </c>
      <c r="AN2051" t="s">
        <v>2926</v>
      </c>
      <c r="AO2051">
        <v>11676</v>
      </c>
      <c r="AU2051">
        <v>5</v>
      </c>
      <c r="AV2051" t="s">
        <v>3036</v>
      </c>
      <c r="AW2051" t="s">
        <v>3042</v>
      </c>
    </row>
    <row r="2052" spans="1:50">
      <c r="A2052" s="1" t="s">
        <v>101</v>
      </c>
      <c r="B2052" t="s">
        <v>163</v>
      </c>
      <c r="C2052" t="s">
        <v>5262</v>
      </c>
      <c r="D2052" t="s">
        <v>219</v>
      </c>
      <c r="F2052" t="s">
        <v>7614</v>
      </c>
      <c r="G2052" t="s">
        <v>8682</v>
      </c>
      <c r="H2052" t="s">
        <v>1173</v>
      </c>
      <c r="I2052" t="s">
        <v>1600</v>
      </c>
      <c r="J2052" t="s">
        <v>1643</v>
      </c>
      <c r="K2052">
        <v>10035</v>
      </c>
      <c r="L2052" t="s">
        <v>1670</v>
      </c>
      <c r="M2052" t="s">
        <v>1670</v>
      </c>
      <c r="O2052" t="s">
        <v>1675</v>
      </c>
      <c r="P2052" t="s">
        <v>1962</v>
      </c>
      <c r="R2052" t="s">
        <v>50</v>
      </c>
      <c r="S2052" t="s">
        <v>1670</v>
      </c>
      <c r="U2052" t="s">
        <v>1972</v>
      </c>
      <c r="V2052" t="s">
        <v>1984</v>
      </c>
      <c r="W2052" t="s">
        <v>186</v>
      </c>
      <c r="X2052">
        <v>258</v>
      </c>
      <c r="Y2052" t="s">
        <v>2008</v>
      </c>
      <c r="Z2052" t="s">
        <v>2016</v>
      </c>
      <c r="AB2052" t="s">
        <v>14490</v>
      </c>
      <c r="AE2052">
        <v>60</v>
      </c>
      <c r="AF2052" t="s">
        <v>2902</v>
      </c>
      <c r="AG2052" t="s">
        <v>18017</v>
      </c>
      <c r="AH2052">
        <v>14</v>
      </c>
      <c r="AI2052">
        <v>1</v>
      </c>
      <c r="AJ2052">
        <v>0</v>
      </c>
      <c r="AK2052">
        <v>93.67</v>
      </c>
      <c r="AN2052" t="s">
        <v>2926</v>
      </c>
      <c r="AO2052">
        <v>11700</v>
      </c>
      <c r="AP2052" t="s">
        <v>18085</v>
      </c>
      <c r="AU2052" t="s">
        <v>13051</v>
      </c>
      <c r="AW2052" t="s">
        <v>3051</v>
      </c>
      <c r="AX2052" t="s">
        <v>18685</v>
      </c>
    </row>
    <row r="2053" spans="1:50">
      <c r="A2053" s="1" t="s">
        <v>57</v>
      </c>
      <c r="B2053" t="s">
        <v>163</v>
      </c>
      <c r="C2053" t="s">
        <v>5263</v>
      </c>
      <c r="D2053" t="s">
        <v>253</v>
      </c>
      <c r="F2053" t="s">
        <v>7567</v>
      </c>
      <c r="G2053" t="s">
        <v>953</v>
      </c>
      <c r="H2053" t="s">
        <v>1112</v>
      </c>
      <c r="I2053" t="s">
        <v>10989</v>
      </c>
      <c r="J2053" t="s">
        <v>1641</v>
      </c>
      <c r="K2053">
        <v>10453</v>
      </c>
      <c r="L2053" t="s">
        <v>1670</v>
      </c>
      <c r="M2053" t="s">
        <v>1670</v>
      </c>
      <c r="O2053" t="s">
        <v>1938</v>
      </c>
      <c r="P2053" t="s">
        <v>1961</v>
      </c>
      <c r="R2053" t="s">
        <v>50</v>
      </c>
      <c r="S2053" t="s">
        <v>1670</v>
      </c>
      <c r="U2053" t="s">
        <v>1972</v>
      </c>
      <c r="W2053" t="s">
        <v>283</v>
      </c>
      <c r="X2053">
        <v>1237.88</v>
      </c>
      <c r="Y2053" t="s">
        <v>2006</v>
      </c>
      <c r="Z2053" t="s">
        <v>2015</v>
      </c>
      <c r="AB2053" t="s">
        <v>14491</v>
      </c>
      <c r="AE2053">
        <v>170</v>
      </c>
      <c r="AF2053" t="s">
        <v>2902</v>
      </c>
      <c r="AG2053" t="s">
        <v>1754</v>
      </c>
      <c r="AH2053">
        <v>9</v>
      </c>
      <c r="AI2053">
        <v>3</v>
      </c>
      <c r="AJ2053">
        <v>0</v>
      </c>
      <c r="AK2053">
        <v>93.76000000000001</v>
      </c>
      <c r="AN2053" t="s">
        <v>2927</v>
      </c>
      <c r="AO2053">
        <v>20000</v>
      </c>
      <c r="AU2053" t="s">
        <v>13051</v>
      </c>
      <c r="AW2053" t="s">
        <v>3054</v>
      </c>
    </row>
    <row r="2054" spans="1:50">
      <c r="A2054" s="1" t="s">
        <v>53</v>
      </c>
      <c r="B2054" t="s">
        <v>163</v>
      </c>
      <c r="C2054" t="s">
        <v>5264</v>
      </c>
      <c r="D2054" t="s">
        <v>328</v>
      </c>
      <c r="F2054" t="s">
        <v>7615</v>
      </c>
      <c r="G2054" t="s">
        <v>8807</v>
      </c>
      <c r="H2054" t="s">
        <v>10315</v>
      </c>
      <c r="I2054" t="s">
        <v>1521</v>
      </c>
      <c r="J2054" t="s">
        <v>1655</v>
      </c>
      <c r="K2054">
        <v>11369</v>
      </c>
      <c r="L2054" t="s">
        <v>1670</v>
      </c>
      <c r="M2054" t="s">
        <v>1672</v>
      </c>
      <c r="N2054" t="s">
        <v>12436</v>
      </c>
      <c r="O2054" t="s">
        <v>1940</v>
      </c>
      <c r="P2054" t="s">
        <v>1960</v>
      </c>
      <c r="R2054" t="s">
        <v>50</v>
      </c>
      <c r="S2054" t="s">
        <v>1671</v>
      </c>
      <c r="U2054" t="s">
        <v>1972</v>
      </c>
      <c r="V2054" t="s">
        <v>1984</v>
      </c>
      <c r="W2054" t="s">
        <v>334</v>
      </c>
      <c r="X2054">
        <v>1600</v>
      </c>
      <c r="Y2054" t="s">
        <v>2007</v>
      </c>
      <c r="Z2054" t="s">
        <v>2014</v>
      </c>
      <c r="AB2054" t="s">
        <v>14492</v>
      </c>
      <c r="AD2054" t="s">
        <v>16900</v>
      </c>
      <c r="AE2054">
        <v>2</v>
      </c>
      <c r="AF2054" t="s">
        <v>2904</v>
      </c>
      <c r="AG2054" t="s">
        <v>1754</v>
      </c>
      <c r="AH2054">
        <v>22</v>
      </c>
      <c r="AI2054">
        <v>3</v>
      </c>
      <c r="AJ2054">
        <v>0</v>
      </c>
      <c r="AK2054">
        <v>93.76000000000001</v>
      </c>
      <c r="AN2054" t="s">
        <v>2926</v>
      </c>
      <c r="AO2054">
        <v>20000</v>
      </c>
      <c r="AU2054">
        <v>6.55</v>
      </c>
      <c r="AV2054" t="s">
        <v>399</v>
      </c>
      <c r="AW2054" t="s">
        <v>3044</v>
      </c>
      <c r="AX2054" t="s">
        <v>18685</v>
      </c>
    </row>
    <row r="2055" spans="1:50">
      <c r="A2055" s="1" t="s">
        <v>57</v>
      </c>
      <c r="B2055" t="s">
        <v>163</v>
      </c>
      <c r="C2055" t="s">
        <v>5265</v>
      </c>
      <c r="D2055" t="s">
        <v>253</v>
      </c>
      <c r="F2055" t="s">
        <v>7567</v>
      </c>
      <c r="G2055" t="s">
        <v>953</v>
      </c>
      <c r="H2055" t="s">
        <v>1112</v>
      </c>
      <c r="I2055" t="s">
        <v>10989</v>
      </c>
      <c r="J2055" t="s">
        <v>1641</v>
      </c>
      <c r="K2055">
        <v>10453</v>
      </c>
      <c r="L2055" t="s">
        <v>1670</v>
      </c>
      <c r="M2055" t="s">
        <v>1670</v>
      </c>
      <c r="N2055" t="s">
        <v>1677</v>
      </c>
      <c r="O2055" t="s">
        <v>1939</v>
      </c>
      <c r="P2055" t="s">
        <v>1960</v>
      </c>
      <c r="R2055" t="s">
        <v>50</v>
      </c>
      <c r="S2055" t="s">
        <v>1670</v>
      </c>
      <c r="U2055" t="s">
        <v>1972</v>
      </c>
      <c r="W2055" t="s">
        <v>283</v>
      </c>
      <c r="X2055">
        <v>1237.88</v>
      </c>
      <c r="Y2055" t="s">
        <v>2006</v>
      </c>
      <c r="Z2055" t="s">
        <v>2015</v>
      </c>
      <c r="AB2055" t="s">
        <v>14491</v>
      </c>
      <c r="AE2055">
        <v>170</v>
      </c>
      <c r="AF2055" t="s">
        <v>2902</v>
      </c>
      <c r="AG2055" t="s">
        <v>1754</v>
      </c>
      <c r="AH2055">
        <v>9</v>
      </c>
      <c r="AI2055">
        <v>3</v>
      </c>
      <c r="AJ2055">
        <v>0</v>
      </c>
      <c r="AK2055">
        <v>93.76000000000001</v>
      </c>
      <c r="AN2055" t="s">
        <v>2927</v>
      </c>
      <c r="AO2055">
        <v>20000</v>
      </c>
      <c r="AU2055" t="s">
        <v>13051</v>
      </c>
      <c r="AW2055" t="s">
        <v>3054</v>
      </c>
    </row>
    <row r="2056" spans="1:50">
      <c r="A2056" s="1" t="s">
        <v>109</v>
      </c>
      <c r="B2056" t="s">
        <v>163</v>
      </c>
      <c r="C2056" t="s">
        <v>5266</v>
      </c>
      <c r="D2056" t="s">
        <v>229</v>
      </c>
      <c r="F2056" t="s">
        <v>451</v>
      </c>
      <c r="G2056" t="s">
        <v>8808</v>
      </c>
      <c r="H2056" t="s">
        <v>1292</v>
      </c>
      <c r="I2056" t="s">
        <v>1544</v>
      </c>
      <c r="J2056" t="s">
        <v>1646</v>
      </c>
      <c r="K2056">
        <v>10304</v>
      </c>
      <c r="L2056" t="s">
        <v>1670</v>
      </c>
      <c r="M2056" t="s">
        <v>1670</v>
      </c>
      <c r="N2056" t="s">
        <v>12437</v>
      </c>
      <c r="O2056" t="s">
        <v>1936</v>
      </c>
      <c r="P2056" t="s">
        <v>1960</v>
      </c>
      <c r="R2056" t="s">
        <v>50</v>
      </c>
      <c r="S2056" t="s">
        <v>1671</v>
      </c>
      <c r="U2056" t="s">
        <v>1972</v>
      </c>
      <c r="V2056" t="s">
        <v>1984</v>
      </c>
      <c r="W2056" t="s">
        <v>229</v>
      </c>
      <c r="X2056">
        <v>1321.12</v>
      </c>
      <c r="Y2056" t="s">
        <v>2010</v>
      </c>
      <c r="Z2056" t="s">
        <v>2013</v>
      </c>
      <c r="AB2056" t="s">
        <v>13130</v>
      </c>
      <c r="AD2056" t="s">
        <v>16901</v>
      </c>
      <c r="AE2056">
        <v>84</v>
      </c>
      <c r="AF2056" t="s">
        <v>2902</v>
      </c>
      <c r="AG2056" t="s">
        <v>2915</v>
      </c>
      <c r="AH2056">
        <v>3</v>
      </c>
      <c r="AI2056">
        <v>1</v>
      </c>
      <c r="AJ2056">
        <v>0</v>
      </c>
      <c r="AK2056">
        <v>93.81</v>
      </c>
      <c r="AN2056" t="s">
        <v>2926</v>
      </c>
      <c r="AO2056">
        <v>11388</v>
      </c>
      <c r="AQ2056" t="s">
        <v>2977</v>
      </c>
      <c r="AR2056" t="s">
        <v>2982</v>
      </c>
      <c r="AU2056">
        <v>59.15</v>
      </c>
      <c r="AV2056" t="s">
        <v>403</v>
      </c>
      <c r="AW2056" t="s">
        <v>3062</v>
      </c>
    </row>
    <row r="2057" spans="1:50">
      <c r="A2057" s="1" t="s">
        <v>3151</v>
      </c>
      <c r="B2057" t="s">
        <v>164</v>
      </c>
      <c r="C2057" t="s">
        <v>5267</v>
      </c>
      <c r="D2057" t="s">
        <v>202</v>
      </c>
      <c r="E2057" t="s">
        <v>359</v>
      </c>
      <c r="F2057" t="s">
        <v>7616</v>
      </c>
      <c r="G2057" t="s">
        <v>7317</v>
      </c>
      <c r="H2057" t="s">
        <v>10316</v>
      </c>
      <c r="I2057">
        <v>2</v>
      </c>
      <c r="J2057" t="s">
        <v>1644</v>
      </c>
      <c r="K2057">
        <v>11212</v>
      </c>
      <c r="L2057" t="s">
        <v>1670</v>
      </c>
      <c r="M2057" t="s">
        <v>1670</v>
      </c>
      <c r="O2057" t="s">
        <v>1939</v>
      </c>
      <c r="P2057" t="s">
        <v>1960</v>
      </c>
      <c r="Q2057" t="s">
        <v>1971</v>
      </c>
      <c r="R2057" t="s">
        <v>50</v>
      </c>
      <c r="S2057" t="s">
        <v>1671</v>
      </c>
      <c r="U2057" t="s">
        <v>1972</v>
      </c>
      <c r="W2057" t="s">
        <v>13046</v>
      </c>
      <c r="X2057">
        <v>800</v>
      </c>
      <c r="Y2057" t="s">
        <v>2009</v>
      </c>
      <c r="Z2057" t="s">
        <v>2020</v>
      </c>
      <c r="AA2057" t="s">
        <v>2031</v>
      </c>
      <c r="AB2057" t="s">
        <v>14493</v>
      </c>
      <c r="AC2057" t="s">
        <v>15251</v>
      </c>
      <c r="AD2057" t="s">
        <v>16902</v>
      </c>
      <c r="AE2057">
        <v>4</v>
      </c>
      <c r="AF2057" t="s">
        <v>2903</v>
      </c>
      <c r="AH2057">
        <v>9</v>
      </c>
      <c r="AI2057">
        <v>2</v>
      </c>
      <c r="AJ2057">
        <v>0</v>
      </c>
      <c r="AK2057">
        <v>94.05</v>
      </c>
      <c r="AN2057" t="s">
        <v>2926</v>
      </c>
      <c r="AO2057">
        <v>15480</v>
      </c>
      <c r="AP2057" t="s">
        <v>18325</v>
      </c>
      <c r="AU2057">
        <v>0.75</v>
      </c>
      <c r="AV2057" t="s">
        <v>347</v>
      </c>
      <c r="AW2057" t="s">
        <v>3060</v>
      </c>
    </row>
    <row r="2058" spans="1:50">
      <c r="A2058" s="1" t="s">
        <v>88</v>
      </c>
      <c r="B2058" t="s">
        <v>164</v>
      </c>
      <c r="C2058" t="s">
        <v>5268</v>
      </c>
      <c r="D2058" t="s">
        <v>184</v>
      </c>
      <c r="E2058" t="s">
        <v>285</v>
      </c>
      <c r="F2058" t="s">
        <v>7616</v>
      </c>
      <c r="G2058" t="s">
        <v>7317</v>
      </c>
      <c r="H2058" t="s">
        <v>10316</v>
      </c>
      <c r="I2058">
        <v>2</v>
      </c>
      <c r="J2058" t="s">
        <v>1644</v>
      </c>
      <c r="K2058">
        <v>11212</v>
      </c>
      <c r="L2058" t="s">
        <v>1670</v>
      </c>
      <c r="M2058" t="s">
        <v>1670</v>
      </c>
      <c r="N2058" t="s">
        <v>12438</v>
      </c>
      <c r="O2058" t="s">
        <v>1936</v>
      </c>
      <c r="P2058" t="s">
        <v>1960</v>
      </c>
      <c r="Q2058" t="s">
        <v>1971</v>
      </c>
      <c r="R2058" t="s">
        <v>50</v>
      </c>
      <c r="S2058" t="s">
        <v>1671</v>
      </c>
      <c r="U2058" t="s">
        <v>1972</v>
      </c>
      <c r="W2058" t="s">
        <v>184</v>
      </c>
      <c r="X2058">
        <v>800</v>
      </c>
      <c r="Y2058" t="s">
        <v>2009</v>
      </c>
      <c r="Z2058" t="s">
        <v>2015</v>
      </c>
      <c r="AA2058" t="s">
        <v>2032</v>
      </c>
      <c r="AB2058" t="s">
        <v>14493</v>
      </c>
      <c r="AC2058" t="s">
        <v>15251</v>
      </c>
      <c r="AD2058" t="s">
        <v>16902</v>
      </c>
      <c r="AE2058">
        <v>4</v>
      </c>
      <c r="AF2058" t="s">
        <v>2903</v>
      </c>
      <c r="AH2058">
        <v>9</v>
      </c>
      <c r="AI2058">
        <v>2</v>
      </c>
      <c r="AJ2058">
        <v>0</v>
      </c>
      <c r="AK2058">
        <v>94.05</v>
      </c>
      <c r="AN2058" t="s">
        <v>2926</v>
      </c>
      <c r="AO2058">
        <v>15480</v>
      </c>
      <c r="AP2058" t="s">
        <v>18069</v>
      </c>
      <c r="AU2058">
        <v>123.43</v>
      </c>
      <c r="AV2058" t="s">
        <v>285</v>
      </c>
      <c r="AW2058" t="s">
        <v>3066</v>
      </c>
    </row>
    <row r="2059" spans="1:50">
      <c r="A2059" s="1" t="s">
        <v>3155</v>
      </c>
      <c r="B2059" t="s">
        <v>163</v>
      </c>
      <c r="C2059" t="s">
        <v>5269</v>
      </c>
      <c r="D2059" t="s">
        <v>202</v>
      </c>
      <c r="F2059" t="s">
        <v>7616</v>
      </c>
      <c r="G2059" t="s">
        <v>7317</v>
      </c>
      <c r="H2059" t="s">
        <v>10316</v>
      </c>
      <c r="I2059">
        <v>2</v>
      </c>
      <c r="J2059" t="s">
        <v>1644</v>
      </c>
      <c r="K2059">
        <v>11212</v>
      </c>
      <c r="L2059" t="s">
        <v>1670</v>
      </c>
      <c r="M2059" t="s">
        <v>1670</v>
      </c>
      <c r="O2059" t="s">
        <v>1940</v>
      </c>
      <c r="P2059" t="s">
        <v>1960</v>
      </c>
      <c r="R2059" t="s">
        <v>50</v>
      </c>
      <c r="S2059" t="s">
        <v>1671</v>
      </c>
      <c r="U2059" t="s">
        <v>1972</v>
      </c>
      <c r="V2059" t="s">
        <v>1984</v>
      </c>
      <c r="W2059" t="s">
        <v>299</v>
      </c>
      <c r="X2059">
        <v>800</v>
      </c>
      <c r="Y2059" t="s">
        <v>2009</v>
      </c>
      <c r="Z2059" t="s">
        <v>2020</v>
      </c>
      <c r="AB2059" t="s">
        <v>14493</v>
      </c>
      <c r="AC2059" t="s">
        <v>15251</v>
      </c>
      <c r="AD2059" t="s">
        <v>16902</v>
      </c>
      <c r="AE2059">
        <v>4</v>
      </c>
      <c r="AF2059" t="s">
        <v>2903</v>
      </c>
      <c r="AH2059">
        <v>9</v>
      </c>
      <c r="AI2059">
        <v>2</v>
      </c>
      <c r="AJ2059">
        <v>0</v>
      </c>
      <c r="AK2059">
        <v>94.05</v>
      </c>
      <c r="AN2059" t="s">
        <v>2926</v>
      </c>
      <c r="AO2059">
        <v>15480</v>
      </c>
      <c r="AP2059" t="s">
        <v>18325</v>
      </c>
      <c r="AU2059" t="s">
        <v>13051</v>
      </c>
      <c r="AW2059" t="s">
        <v>3060</v>
      </c>
    </row>
    <row r="2060" spans="1:50">
      <c r="A2060" s="1" t="s">
        <v>88</v>
      </c>
      <c r="B2060" t="s">
        <v>163</v>
      </c>
      <c r="C2060" t="s">
        <v>5270</v>
      </c>
      <c r="D2060" t="s">
        <v>367</v>
      </c>
      <c r="F2060" t="s">
        <v>7616</v>
      </c>
      <c r="G2060" t="s">
        <v>7317</v>
      </c>
      <c r="H2060" t="s">
        <v>10316</v>
      </c>
      <c r="I2060">
        <v>2</v>
      </c>
      <c r="J2060" t="s">
        <v>1644</v>
      </c>
      <c r="K2060">
        <v>11212</v>
      </c>
      <c r="L2060" t="s">
        <v>1670</v>
      </c>
      <c r="M2060" t="s">
        <v>1670</v>
      </c>
      <c r="N2060" t="s">
        <v>12439</v>
      </c>
      <c r="O2060" t="s">
        <v>1940</v>
      </c>
      <c r="P2060" t="s">
        <v>1960</v>
      </c>
      <c r="R2060" t="s">
        <v>50</v>
      </c>
      <c r="S2060" t="s">
        <v>1671</v>
      </c>
      <c r="U2060" t="s">
        <v>1972</v>
      </c>
      <c r="V2060" t="s">
        <v>1984</v>
      </c>
      <c r="W2060" t="s">
        <v>1990</v>
      </c>
      <c r="X2060">
        <v>800</v>
      </c>
      <c r="Y2060" t="s">
        <v>2009</v>
      </c>
      <c r="Z2060" t="s">
        <v>2020</v>
      </c>
      <c r="AB2060" t="s">
        <v>14493</v>
      </c>
      <c r="AC2060" t="s">
        <v>15251</v>
      </c>
      <c r="AD2060" t="s">
        <v>16902</v>
      </c>
      <c r="AE2060">
        <v>4</v>
      </c>
      <c r="AF2060" t="s">
        <v>2903</v>
      </c>
      <c r="AG2060" t="s">
        <v>1754</v>
      </c>
      <c r="AH2060">
        <v>9</v>
      </c>
      <c r="AI2060">
        <v>2</v>
      </c>
      <c r="AJ2060">
        <v>0</v>
      </c>
      <c r="AK2060">
        <v>94.05</v>
      </c>
      <c r="AN2060" t="s">
        <v>2926</v>
      </c>
      <c r="AO2060">
        <v>15480</v>
      </c>
      <c r="AP2060" t="s">
        <v>18326</v>
      </c>
      <c r="AU2060">
        <v>8.699999999999999</v>
      </c>
      <c r="AV2060" t="s">
        <v>283</v>
      </c>
      <c r="AW2060" t="s">
        <v>3060</v>
      </c>
      <c r="AX2060" t="s">
        <v>18685</v>
      </c>
    </row>
    <row r="2061" spans="1:50">
      <c r="A2061" s="1" t="s">
        <v>61</v>
      </c>
      <c r="B2061" t="s">
        <v>164</v>
      </c>
      <c r="C2061" t="s">
        <v>5271</v>
      </c>
      <c r="D2061" t="s">
        <v>345</v>
      </c>
      <c r="E2061" t="s">
        <v>361</v>
      </c>
      <c r="F2061" t="s">
        <v>7480</v>
      </c>
      <c r="G2061" t="s">
        <v>8809</v>
      </c>
      <c r="H2061" t="s">
        <v>10317</v>
      </c>
      <c r="I2061">
        <v>43</v>
      </c>
      <c r="J2061" t="s">
        <v>1644</v>
      </c>
      <c r="K2061">
        <v>11210</v>
      </c>
      <c r="L2061" t="s">
        <v>1671</v>
      </c>
      <c r="M2061" t="s">
        <v>1671</v>
      </c>
      <c r="N2061" t="s">
        <v>12440</v>
      </c>
      <c r="O2061" t="s">
        <v>1938</v>
      </c>
      <c r="P2061" t="s">
        <v>1959</v>
      </c>
      <c r="Q2061" t="s">
        <v>1970</v>
      </c>
      <c r="R2061" t="s">
        <v>50</v>
      </c>
      <c r="S2061" t="s">
        <v>1670</v>
      </c>
      <c r="U2061" t="s">
        <v>1972</v>
      </c>
      <c r="W2061" t="s">
        <v>345</v>
      </c>
      <c r="X2061">
        <v>831.92</v>
      </c>
      <c r="Y2061" t="s">
        <v>2009</v>
      </c>
      <c r="Z2061" t="s">
        <v>2015</v>
      </c>
      <c r="AA2061" t="s">
        <v>2042</v>
      </c>
      <c r="AB2061" t="s">
        <v>14494</v>
      </c>
      <c r="AD2061" t="s">
        <v>16903</v>
      </c>
      <c r="AE2061">
        <v>60</v>
      </c>
      <c r="AF2061" t="s">
        <v>2902</v>
      </c>
      <c r="AH2061">
        <v>38</v>
      </c>
      <c r="AI2061">
        <v>1</v>
      </c>
      <c r="AJ2061">
        <v>0</v>
      </c>
      <c r="AK2061">
        <v>94.3</v>
      </c>
      <c r="AN2061" t="s">
        <v>2926</v>
      </c>
      <c r="AO2061">
        <v>11448</v>
      </c>
      <c r="AU2061">
        <v>7.4</v>
      </c>
      <c r="AV2061" t="s">
        <v>367</v>
      </c>
      <c r="AW2061" t="s">
        <v>61</v>
      </c>
    </row>
    <row r="2062" spans="1:50">
      <c r="A2062" s="1" t="s">
        <v>61</v>
      </c>
      <c r="B2062" t="s">
        <v>163</v>
      </c>
      <c r="C2062" t="s">
        <v>5272</v>
      </c>
      <c r="D2062" t="s">
        <v>319</v>
      </c>
      <c r="F2062" t="s">
        <v>7480</v>
      </c>
      <c r="G2062" t="s">
        <v>8809</v>
      </c>
      <c r="H2062" t="s">
        <v>10317</v>
      </c>
      <c r="I2062">
        <v>43</v>
      </c>
      <c r="J2062" t="s">
        <v>1644</v>
      </c>
      <c r="K2062">
        <v>11210</v>
      </c>
      <c r="L2062" t="s">
        <v>1671</v>
      </c>
      <c r="M2062" t="s">
        <v>1672</v>
      </c>
      <c r="P2062" t="s">
        <v>1959</v>
      </c>
      <c r="R2062" t="s">
        <v>50</v>
      </c>
      <c r="S2062" t="s">
        <v>1671</v>
      </c>
      <c r="U2062" t="s">
        <v>1972</v>
      </c>
      <c r="W2062" t="s">
        <v>319</v>
      </c>
      <c r="X2062" t="s">
        <v>13051</v>
      </c>
      <c r="Y2062" t="s">
        <v>2009</v>
      </c>
      <c r="AB2062" t="s">
        <v>14494</v>
      </c>
      <c r="AD2062" t="s">
        <v>16903</v>
      </c>
      <c r="AE2062" t="s">
        <v>13051</v>
      </c>
      <c r="AH2062" t="s">
        <v>13051</v>
      </c>
      <c r="AI2062">
        <v>1</v>
      </c>
      <c r="AJ2062">
        <v>0</v>
      </c>
      <c r="AK2062">
        <v>94.3</v>
      </c>
      <c r="AN2062" t="s">
        <v>2926</v>
      </c>
      <c r="AO2062">
        <v>11448</v>
      </c>
      <c r="AU2062">
        <v>13.9</v>
      </c>
      <c r="AV2062" t="s">
        <v>333</v>
      </c>
      <c r="AW2062" t="s">
        <v>158</v>
      </c>
    </row>
    <row r="2063" spans="1:50">
      <c r="A2063" s="1" t="s">
        <v>53</v>
      </c>
      <c r="B2063" t="s">
        <v>163</v>
      </c>
      <c r="C2063" t="s">
        <v>5273</v>
      </c>
      <c r="D2063" t="s">
        <v>195</v>
      </c>
      <c r="F2063" t="s">
        <v>473</v>
      </c>
      <c r="G2063" t="s">
        <v>8680</v>
      </c>
      <c r="H2063" t="s">
        <v>10158</v>
      </c>
      <c r="I2063">
        <v>404</v>
      </c>
      <c r="J2063" t="s">
        <v>1668</v>
      </c>
      <c r="K2063">
        <v>11354</v>
      </c>
      <c r="L2063" t="s">
        <v>1670</v>
      </c>
      <c r="M2063" t="s">
        <v>1670</v>
      </c>
      <c r="N2063" t="s">
        <v>12441</v>
      </c>
      <c r="O2063" t="s">
        <v>1936</v>
      </c>
      <c r="P2063" t="s">
        <v>1960</v>
      </c>
      <c r="R2063" t="s">
        <v>50</v>
      </c>
      <c r="S2063" t="s">
        <v>1671</v>
      </c>
      <c r="U2063" t="s">
        <v>1972</v>
      </c>
      <c r="V2063" t="s">
        <v>1984</v>
      </c>
      <c r="W2063" t="s">
        <v>195</v>
      </c>
      <c r="X2063">
        <v>1355.8</v>
      </c>
      <c r="Y2063" t="s">
        <v>2007</v>
      </c>
      <c r="Z2063" t="s">
        <v>2017</v>
      </c>
      <c r="AB2063" t="s">
        <v>14253</v>
      </c>
      <c r="AD2063" t="s">
        <v>16678</v>
      </c>
      <c r="AE2063">
        <v>130</v>
      </c>
      <c r="AF2063" t="s">
        <v>2902</v>
      </c>
      <c r="AG2063" t="s">
        <v>2919</v>
      </c>
      <c r="AH2063">
        <v>20</v>
      </c>
      <c r="AI2063">
        <v>1</v>
      </c>
      <c r="AJ2063">
        <v>0</v>
      </c>
      <c r="AK2063">
        <v>94.44</v>
      </c>
      <c r="AN2063" t="s">
        <v>2926</v>
      </c>
      <c r="AO2063">
        <v>11796</v>
      </c>
      <c r="AQ2063" t="s">
        <v>2979</v>
      </c>
      <c r="AR2063" t="s">
        <v>2982</v>
      </c>
      <c r="AS2063" t="s">
        <v>2992</v>
      </c>
      <c r="AT2063" t="s">
        <v>18580</v>
      </c>
      <c r="AU2063">
        <v>10.25</v>
      </c>
      <c r="AV2063" t="s">
        <v>328</v>
      </c>
      <c r="AW2063" t="s">
        <v>3083</v>
      </c>
      <c r="AX2063" t="s">
        <v>18685</v>
      </c>
    </row>
    <row r="2064" spans="1:50">
      <c r="A2064" s="1" t="s">
        <v>52</v>
      </c>
      <c r="B2064" t="s">
        <v>163</v>
      </c>
      <c r="C2064" t="s">
        <v>5274</v>
      </c>
      <c r="D2064" t="s">
        <v>187</v>
      </c>
      <c r="F2064" t="s">
        <v>7042</v>
      </c>
      <c r="G2064" t="s">
        <v>8810</v>
      </c>
      <c r="H2064" t="s">
        <v>1136</v>
      </c>
      <c r="I2064" t="s">
        <v>1510</v>
      </c>
      <c r="J2064" t="s">
        <v>1641</v>
      </c>
      <c r="K2064">
        <v>10457</v>
      </c>
      <c r="L2064" t="s">
        <v>1670</v>
      </c>
      <c r="M2064" t="s">
        <v>1670</v>
      </c>
      <c r="N2064" t="s">
        <v>1695</v>
      </c>
      <c r="O2064" t="s">
        <v>1938</v>
      </c>
      <c r="P2064" t="s">
        <v>1961</v>
      </c>
      <c r="R2064" t="s">
        <v>50</v>
      </c>
      <c r="S2064" t="s">
        <v>1670</v>
      </c>
      <c r="U2064" t="s">
        <v>1972</v>
      </c>
      <c r="W2064" t="s">
        <v>359</v>
      </c>
      <c r="X2064">
        <v>235.4</v>
      </c>
      <c r="Y2064" t="s">
        <v>2006</v>
      </c>
      <c r="Z2064" t="s">
        <v>2015</v>
      </c>
      <c r="AB2064" t="s">
        <v>14495</v>
      </c>
      <c r="AD2064" t="s">
        <v>16904</v>
      </c>
      <c r="AE2064">
        <v>47</v>
      </c>
      <c r="AF2064" t="s">
        <v>2908</v>
      </c>
      <c r="AG2064" t="s">
        <v>1754</v>
      </c>
      <c r="AH2064">
        <v>49</v>
      </c>
      <c r="AI2064">
        <v>1</v>
      </c>
      <c r="AJ2064">
        <v>0</v>
      </c>
      <c r="AK2064">
        <v>94.5</v>
      </c>
      <c r="AN2064" t="s">
        <v>2927</v>
      </c>
      <c r="AO2064">
        <v>11472</v>
      </c>
      <c r="AU2064">
        <v>0.1</v>
      </c>
      <c r="AV2064" t="s">
        <v>409</v>
      </c>
      <c r="AW2064" t="s">
        <v>3046</v>
      </c>
    </row>
    <row r="2065" spans="1:50">
      <c r="A2065" s="1" t="s">
        <v>74</v>
      </c>
      <c r="B2065" t="s">
        <v>163</v>
      </c>
      <c r="C2065" t="s">
        <v>5275</v>
      </c>
      <c r="D2065" t="s">
        <v>306</v>
      </c>
      <c r="F2065" t="s">
        <v>7607</v>
      </c>
      <c r="G2065" t="s">
        <v>8619</v>
      </c>
      <c r="H2065" t="s">
        <v>1131</v>
      </c>
      <c r="I2065" t="s">
        <v>1523</v>
      </c>
      <c r="J2065" t="s">
        <v>1641</v>
      </c>
      <c r="K2065">
        <v>10460</v>
      </c>
      <c r="L2065" t="s">
        <v>1670</v>
      </c>
      <c r="M2065" t="s">
        <v>1670</v>
      </c>
      <c r="N2065" t="s">
        <v>1692</v>
      </c>
      <c r="O2065" t="s">
        <v>1939</v>
      </c>
      <c r="P2065" t="s">
        <v>1960</v>
      </c>
      <c r="R2065" t="s">
        <v>50</v>
      </c>
      <c r="S2065" t="s">
        <v>1670</v>
      </c>
      <c r="U2065" t="s">
        <v>1972</v>
      </c>
      <c r="W2065" t="s">
        <v>283</v>
      </c>
      <c r="X2065">
        <v>287</v>
      </c>
      <c r="Y2065" t="s">
        <v>2006</v>
      </c>
      <c r="Z2065" t="s">
        <v>2015</v>
      </c>
      <c r="AB2065" t="s">
        <v>14481</v>
      </c>
      <c r="AD2065" t="s">
        <v>16891</v>
      </c>
      <c r="AE2065">
        <v>168</v>
      </c>
      <c r="AF2065" t="s">
        <v>2908</v>
      </c>
      <c r="AG2065" t="s">
        <v>2915</v>
      </c>
      <c r="AH2065">
        <v>19</v>
      </c>
      <c r="AI2065">
        <v>1</v>
      </c>
      <c r="AJ2065">
        <v>0</v>
      </c>
      <c r="AK2065">
        <v>94.5</v>
      </c>
      <c r="AN2065" t="s">
        <v>2926</v>
      </c>
      <c r="AO2065">
        <v>11472</v>
      </c>
      <c r="AU2065" t="s">
        <v>13051</v>
      </c>
      <c r="AW2065" t="s">
        <v>3046</v>
      </c>
    </row>
    <row r="2066" spans="1:50">
      <c r="A2066" s="1" t="s">
        <v>52</v>
      </c>
      <c r="B2066" t="s">
        <v>163</v>
      </c>
      <c r="C2066" t="s">
        <v>5276</v>
      </c>
      <c r="D2066" t="s">
        <v>187</v>
      </c>
      <c r="F2066" t="s">
        <v>7042</v>
      </c>
      <c r="G2066" t="s">
        <v>8810</v>
      </c>
      <c r="H2066" t="s">
        <v>1136</v>
      </c>
      <c r="I2066" t="s">
        <v>1510</v>
      </c>
      <c r="J2066" t="s">
        <v>1641</v>
      </c>
      <c r="K2066">
        <v>10457</v>
      </c>
      <c r="L2066" t="s">
        <v>1670</v>
      </c>
      <c r="M2066" t="s">
        <v>1670</v>
      </c>
      <c r="N2066" t="s">
        <v>1696</v>
      </c>
      <c r="O2066" t="s">
        <v>1939</v>
      </c>
      <c r="P2066" t="s">
        <v>1960</v>
      </c>
      <c r="R2066" t="s">
        <v>50</v>
      </c>
      <c r="S2066" t="s">
        <v>1670</v>
      </c>
      <c r="U2066" t="s">
        <v>1972</v>
      </c>
      <c r="W2066" t="s">
        <v>359</v>
      </c>
      <c r="X2066">
        <v>235.4</v>
      </c>
      <c r="Y2066" t="s">
        <v>2006</v>
      </c>
      <c r="Z2066" t="s">
        <v>2015</v>
      </c>
      <c r="AB2066" t="s">
        <v>14495</v>
      </c>
      <c r="AD2066" t="s">
        <v>16904</v>
      </c>
      <c r="AE2066">
        <v>47</v>
      </c>
      <c r="AF2066" t="s">
        <v>2908</v>
      </c>
      <c r="AG2066" t="s">
        <v>1754</v>
      </c>
      <c r="AH2066">
        <v>49</v>
      </c>
      <c r="AI2066">
        <v>1</v>
      </c>
      <c r="AJ2066">
        <v>0</v>
      </c>
      <c r="AK2066">
        <v>94.5</v>
      </c>
      <c r="AN2066" t="s">
        <v>2927</v>
      </c>
      <c r="AO2066">
        <v>11472</v>
      </c>
      <c r="AU2066" t="s">
        <v>13051</v>
      </c>
      <c r="AW2066" t="s">
        <v>3046</v>
      </c>
    </row>
    <row r="2067" spans="1:50">
      <c r="A2067" s="1" t="s">
        <v>88</v>
      </c>
      <c r="B2067" t="s">
        <v>164</v>
      </c>
      <c r="C2067" t="s">
        <v>5277</v>
      </c>
      <c r="D2067" t="s">
        <v>223</v>
      </c>
      <c r="E2067" t="s">
        <v>249</v>
      </c>
      <c r="F2067" t="s">
        <v>7617</v>
      </c>
      <c r="G2067" t="s">
        <v>6867</v>
      </c>
      <c r="H2067" t="s">
        <v>10318</v>
      </c>
      <c r="I2067">
        <v>526</v>
      </c>
      <c r="J2067" t="s">
        <v>1644</v>
      </c>
      <c r="K2067">
        <v>11212</v>
      </c>
      <c r="L2067" t="s">
        <v>1670</v>
      </c>
      <c r="M2067" t="s">
        <v>1670</v>
      </c>
      <c r="N2067" t="s">
        <v>1675</v>
      </c>
      <c r="O2067" t="s">
        <v>1675</v>
      </c>
      <c r="P2067" t="s">
        <v>1962</v>
      </c>
      <c r="Q2067" t="s">
        <v>1968</v>
      </c>
      <c r="R2067" t="s">
        <v>50</v>
      </c>
      <c r="S2067" t="s">
        <v>1671</v>
      </c>
      <c r="U2067" t="s">
        <v>1972</v>
      </c>
      <c r="V2067" t="s">
        <v>1984</v>
      </c>
      <c r="W2067" t="s">
        <v>243</v>
      </c>
      <c r="X2067">
        <v>1273.3</v>
      </c>
      <c r="Y2067" t="s">
        <v>2009</v>
      </c>
      <c r="Z2067" t="s">
        <v>2020</v>
      </c>
      <c r="AA2067" t="s">
        <v>2029</v>
      </c>
      <c r="AB2067" t="s">
        <v>13419</v>
      </c>
      <c r="AC2067">
        <v>21753438</v>
      </c>
      <c r="AD2067" t="s">
        <v>16905</v>
      </c>
      <c r="AE2067">
        <v>20</v>
      </c>
      <c r="AF2067" t="s">
        <v>2902</v>
      </c>
      <c r="AG2067" t="s">
        <v>1754</v>
      </c>
      <c r="AH2067">
        <v>19</v>
      </c>
      <c r="AI2067">
        <v>1</v>
      </c>
      <c r="AJ2067">
        <v>0</v>
      </c>
      <c r="AK2067">
        <v>94.7</v>
      </c>
      <c r="AN2067" t="s">
        <v>2926</v>
      </c>
      <c r="AO2067">
        <v>11496</v>
      </c>
      <c r="AU2067">
        <v>1.5</v>
      </c>
      <c r="AV2067" t="s">
        <v>243</v>
      </c>
      <c r="AW2067" t="s">
        <v>3083</v>
      </c>
      <c r="AX2067" t="s">
        <v>18685</v>
      </c>
    </row>
    <row r="2068" spans="1:50">
      <c r="A2068" s="1" t="s">
        <v>69</v>
      </c>
      <c r="B2068" t="s">
        <v>164</v>
      </c>
      <c r="C2068" t="s">
        <v>5278</v>
      </c>
      <c r="D2068" t="s">
        <v>342</v>
      </c>
      <c r="E2068" t="s">
        <v>328</v>
      </c>
      <c r="F2068" t="s">
        <v>7618</v>
      </c>
      <c r="G2068" t="s">
        <v>8811</v>
      </c>
      <c r="H2068" t="s">
        <v>10319</v>
      </c>
      <c r="I2068" t="s">
        <v>1553</v>
      </c>
      <c r="J2068" t="s">
        <v>1644</v>
      </c>
      <c r="K2068">
        <v>11210</v>
      </c>
      <c r="L2068" t="s">
        <v>1670</v>
      </c>
      <c r="M2068" t="s">
        <v>1670</v>
      </c>
      <c r="P2068" t="s">
        <v>1962</v>
      </c>
      <c r="Q2068" t="s">
        <v>1965</v>
      </c>
      <c r="R2068" t="s">
        <v>50</v>
      </c>
      <c r="U2068" t="s">
        <v>1972</v>
      </c>
      <c r="W2068" t="s">
        <v>342</v>
      </c>
      <c r="X2068" t="s">
        <v>13051</v>
      </c>
      <c r="Y2068" t="s">
        <v>2009</v>
      </c>
      <c r="AA2068" t="s">
        <v>2029</v>
      </c>
      <c r="AB2068" t="s">
        <v>14496</v>
      </c>
      <c r="AD2068" t="s">
        <v>16906</v>
      </c>
      <c r="AE2068" t="s">
        <v>13051</v>
      </c>
      <c r="AH2068" t="s">
        <v>13051</v>
      </c>
      <c r="AI2068">
        <v>2</v>
      </c>
      <c r="AJ2068">
        <v>0</v>
      </c>
      <c r="AK2068">
        <v>94.78</v>
      </c>
      <c r="AN2068" t="s">
        <v>2926</v>
      </c>
      <c r="AO2068">
        <v>15600</v>
      </c>
      <c r="AU2068">
        <v>5.7</v>
      </c>
      <c r="AV2068" t="s">
        <v>1995</v>
      </c>
      <c r="AW2068" t="s">
        <v>69</v>
      </c>
    </row>
    <row r="2069" spans="1:50">
      <c r="A2069" s="1" t="s">
        <v>102</v>
      </c>
      <c r="B2069" t="s">
        <v>164</v>
      </c>
      <c r="C2069" t="s">
        <v>5279</v>
      </c>
      <c r="D2069" t="s">
        <v>321</v>
      </c>
      <c r="E2069" t="s">
        <v>367</v>
      </c>
      <c r="F2069" t="s">
        <v>7619</v>
      </c>
      <c r="G2069" t="s">
        <v>8812</v>
      </c>
      <c r="H2069" t="s">
        <v>10320</v>
      </c>
      <c r="I2069">
        <v>12</v>
      </c>
      <c r="J2069" t="s">
        <v>1643</v>
      </c>
      <c r="K2069">
        <v>10029</v>
      </c>
      <c r="L2069" t="s">
        <v>1670</v>
      </c>
      <c r="M2069" t="s">
        <v>1670</v>
      </c>
      <c r="O2069" t="s">
        <v>1675</v>
      </c>
      <c r="P2069" t="s">
        <v>1962</v>
      </c>
      <c r="Q2069" t="s">
        <v>1968</v>
      </c>
      <c r="R2069" t="s">
        <v>50</v>
      </c>
      <c r="S2069" t="s">
        <v>1671</v>
      </c>
      <c r="U2069" t="s">
        <v>1972</v>
      </c>
      <c r="V2069" t="s">
        <v>1984</v>
      </c>
      <c r="W2069" t="s">
        <v>321</v>
      </c>
      <c r="X2069">
        <v>1700</v>
      </c>
      <c r="Y2069" t="s">
        <v>2008</v>
      </c>
      <c r="Z2069" t="s">
        <v>2013</v>
      </c>
      <c r="AA2069" t="s">
        <v>2030</v>
      </c>
      <c r="AB2069" t="s">
        <v>14497</v>
      </c>
      <c r="AD2069" t="s">
        <v>16907</v>
      </c>
      <c r="AE2069">
        <v>16</v>
      </c>
      <c r="AF2069" t="s">
        <v>2904</v>
      </c>
      <c r="AG2069" t="s">
        <v>1754</v>
      </c>
      <c r="AH2069">
        <v>31</v>
      </c>
      <c r="AI2069">
        <v>2</v>
      </c>
      <c r="AJ2069">
        <v>0</v>
      </c>
      <c r="AK2069">
        <v>94.78</v>
      </c>
      <c r="AN2069" t="s">
        <v>2926</v>
      </c>
      <c r="AO2069">
        <v>15600</v>
      </c>
      <c r="AU2069">
        <v>3.7</v>
      </c>
      <c r="AV2069" t="s">
        <v>257</v>
      </c>
      <c r="AW2069" t="s">
        <v>3051</v>
      </c>
    </row>
    <row r="2070" spans="1:50">
      <c r="A2070" s="1" t="s">
        <v>3197</v>
      </c>
      <c r="B2070" t="s">
        <v>164</v>
      </c>
      <c r="C2070" t="s">
        <v>5280</v>
      </c>
      <c r="D2070" t="s">
        <v>180</v>
      </c>
      <c r="E2070" t="s">
        <v>180</v>
      </c>
      <c r="F2070" t="s">
        <v>7620</v>
      </c>
      <c r="G2070" t="s">
        <v>7891</v>
      </c>
      <c r="H2070" t="s">
        <v>10321</v>
      </c>
      <c r="I2070">
        <v>12</v>
      </c>
      <c r="J2070" t="s">
        <v>1643</v>
      </c>
      <c r="K2070">
        <v>10002</v>
      </c>
      <c r="L2070" t="s">
        <v>1670</v>
      </c>
      <c r="M2070" t="s">
        <v>1670</v>
      </c>
      <c r="O2070" t="s">
        <v>1675</v>
      </c>
      <c r="P2070" t="s">
        <v>1962</v>
      </c>
      <c r="Q2070" t="s">
        <v>1968</v>
      </c>
      <c r="R2070" t="s">
        <v>50</v>
      </c>
      <c r="S2070" t="s">
        <v>1671</v>
      </c>
      <c r="U2070" t="s">
        <v>1972</v>
      </c>
      <c r="W2070" t="s">
        <v>228</v>
      </c>
      <c r="X2070" t="s">
        <v>13051</v>
      </c>
      <c r="Y2070" t="s">
        <v>2008</v>
      </c>
      <c r="Z2070" t="s">
        <v>2016</v>
      </c>
      <c r="AA2070" t="s">
        <v>2029</v>
      </c>
      <c r="AD2070" t="s">
        <v>16908</v>
      </c>
      <c r="AE2070" t="s">
        <v>13051</v>
      </c>
      <c r="AF2070" t="s">
        <v>2904</v>
      </c>
      <c r="AG2070" t="s">
        <v>1754</v>
      </c>
      <c r="AH2070" t="s">
        <v>13051</v>
      </c>
      <c r="AI2070">
        <v>2</v>
      </c>
      <c r="AJ2070">
        <v>0</v>
      </c>
      <c r="AK2070">
        <v>94.78</v>
      </c>
      <c r="AO2070">
        <v>15600</v>
      </c>
      <c r="AU2070">
        <v>0.1</v>
      </c>
      <c r="AV2070" t="s">
        <v>180</v>
      </c>
      <c r="AW2070" t="s">
        <v>3048</v>
      </c>
    </row>
    <row r="2071" spans="1:50">
      <c r="A2071" s="1" t="s">
        <v>133</v>
      </c>
      <c r="B2071" t="s">
        <v>163</v>
      </c>
      <c r="C2071" t="s">
        <v>5281</v>
      </c>
      <c r="D2071" t="s">
        <v>331</v>
      </c>
      <c r="F2071" t="s">
        <v>7577</v>
      </c>
      <c r="G2071" t="s">
        <v>8772</v>
      </c>
      <c r="H2071" t="s">
        <v>1380</v>
      </c>
      <c r="I2071" t="s">
        <v>1581</v>
      </c>
      <c r="J2071" t="s">
        <v>1644</v>
      </c>
      <c r="K2071">
        <v>11213</v>
      </c>
      <c r="L2071" t="s">
        <v>1670</v>
      </c>
      <c r="M2071" t="s">
        <v>1670</v>
      </c>
      <c r="O2071" t="s">
        <v>1939</v>
      </c>
      <c r="P2071" t="s">
        <v>1960</v>
      </c>
      <c r="R2071" t="s">
        <v>50</v>
      </c>
      <c r="S2071" t="s">
        <v>1670</v>
      </c>
      <c r="U2071" t="s">
        <v>1972</v>
      </c>
      <c r="V2071" t="s">
        <v>1984</v>
      </c>
      <c r="W2071" t="s">
        <v>3040</v>
      </c>
      <c r="X2071">
        <v>659.52</v>
      </c>
      <c r="Y2071" t="s">
        <v>2009</v>
      </c>
      <c r="Z2071" t="s">
        <v>2015</v>
      </c>
      <c r="AB2071" t="s">
        <v>14436</v>
      </c>
      <c r="AC2071" t="s">
        <v>15240</v>
      </c>
      <c r="AE2071">
        <v>35</v>
      </c>
      <c r="AF2071" t="s">
        <v>2902</v>
      </c>
      <c r="AG2071" t="s">
        <v>1754</v>
      </c>
      <c r="AH2071">
        <v>30</v>
      </c>
      <c r="AI2071">
        <v>2</v>
      </c>
      <c r="AJ2071">
        <v>0</v>
      </c>
      <c r="AK2071">
        <v>94.78</v>
      </c>
      <c r="AN2071" t="s">
        <v>2926</v>
      </c>
      <c r="AO2071">
        <v>15600</v>
      </c>
      <c r="AU2071">
        <v>0.1</v>
      </c>
      <c r="AV2071" t="s">
        <v>319</v>
      </c>
      <c r="AW2071" t="s">
        <v>3060</v>
      </c>
      <c r="AX2071" t="s">
        <v>18685</v>
      </c>
    </row>
    <row r="2072" spans="1:50">
      <c r="A2072" s="1" t="s">
        <v>74</v>
      </c>
      <c r="B2072" t="s">
        <v>163</v>
      </c>
      <c r="C2072" t="s">
        <v>5282</v>
      </c>
      <c r="D2072" t="s">
        <v>192</v>
      </c>
      <c r="F2072" t="s">
        <v>7611</v>
      </c>
      <c r="G2072" t="s">
        <v>8610</v>
      </c>
      <c r="H2072" t="s">
        <v>1131</v>
      </c>
      <c r="I2072" t="s">
        <v>11338</v>
      </c>
      <c r="J2072" t="s">
        <v>1641</v>
      </c>
      <c r="K2072">
        <v>10460</v>
      </c>
      <c r="L2072" t="s">
        <v>1670</v>
      </c>
      <c r="M2072" t="s">
        <v>1670</v>
      </c>
      <c r="N2072" t="s">
        <v>1692</v>
      </c>
      <c r="O2072" t="s">
        <v>1939</v>
      </c>
      <c r="P2072" t="s">
        <v>1960</v>
      </c>
      <c r="R2072" t="s">
        <v>50</v>
      </c>
      <c r="S2072" t="s">
        <v>1670</v>
      </c>
      <c r="U2072" t="s">
        <v>1972</v>
      </c>
      <c r="W2072" t="s">
        <v>283</v>
      </c>
      <c r="X2072">
        <v>1543</v>
      </c>
      <c r="Y2072" t="s">
        <v>2006</v>
      </c>
      <c r="Z2072" t="s">
        <v>2015</v>
      </c>
      <c r="AB2072" t="s">
        <v>14485</v>
      </c>
      <c r="AD2072" t="s">
        <v>16896</v>
      </c>
      <c r="AE2072">
        <v>168</v>
      </c>
      <c r="AF2072" t="s">
        <v>2902</v>
      </c>
      <c r="AG2072" t="s">
        <v>2915</v>
      </c>
      <c r="AH2072">
        <v>24</v>
      </c>
      <c r="AI2072">
        <v>2</v>
      </c>
      <c r="AJ2072">
        <v>0</v>
      </c>
      <c r="AK2072">
        <v>94.78</v>
      </c>
      <c r="AN2072" t="s">
        <v>2926</v>
      </c>
      <c r="AO2072">
        <v>15600</v>
      </c>
      <c r="AU2072" t="s">
        <v>13051</v>
      </c>
      <c r="AW2072" t="s">
        <v>3047</v>
      </c>
      <c r="AX2072" t="s">
        <v>18685</v>
      </c>
    </row>
    <row r="2073" spans="1:50">
      <c r="A2073" s="1" t="s">
        <v>97</v>
      </c>
      <c r="B2073" t="s">
        <v>163</v>
      </c>
      <c r="C2073" t="s">
        <v>5283</v>
      </c>
      <c r="D2073" t="s">
        <v>174</v>
      </c>
      <c r="F2073" t="s">
        <v>438</v>
      </c>
      <c r="G2073" t="s">
        <v>8510</v>
      </c>
      <c r="H2073" t="s">
        <v>1244</v>
      </c>
      <c r="I2073">
        <v>35</v>
      </c>
      <c r="J2073" t="s">
        <v>1643</v>
      </c>
      <c r="K2073">
        <v>10034</v>
      </c>
      <c r="L2073" t="s">
        <v>1670</v>
      </c>
      <c r="M2073" t="s">
        <v>1670</v>
      </c>
      <c r="O2073" t="s">
        <v>1939</v>
      </c>
      <c r="P2073" t="s">
        <v>1960</v>
      </c>
      <c r="R2073" t="s">
        <v>50</v>
      </c>
      <c r="S2073" t="s">
        <v>1670</v>
      </c>
      <c r="U2073" t="s">
        <v>1972</v>
      </c>
      <c r="W2073" t="s">
        <v>174</v>
      </c>
      <c r="X2073">
        <v>961.5</v>
      </c>
      <c r="Y2073" t="s">
        <v>2008</v>
      </c>
      <c r="Z2073" t="s">
        <v>2013</v>
      </c>
      <c r="AB2073" t="s">
        <v>14498</v>
      </c>
      <c r="AD2073" t="s">
        <v>16909</v>
      </c>
      <c r="AE2073">
        <v>25</v>
      </c>
      <c r="AF2073" t="s">
        <v>2902</v>
      </c>
      <c r="AG2073" t="s">
        <v>1754</v>
      </c>
      <c r="AH2073">
        <v>26</v>
      </c>
      <c r="AI2073">
        <v>2</v>
      </c>
      <c r="AJ2073">
        <v>0</v>
      </c>
      <c r="AK2073">
        <v>94.78</v>
      </c>
      <c r="AN2073" t="s">
        <v>2927</v>
      </c>
      <c r="AO2073">
        <v>15600</v>
      </c>
      <c r="AU2073">
        <v>107.2</v>
      </c>
      <c r="AV2073" t="s">
        <v>289</v>
      </c>
      <c r="AW2073" t="s">
        <v>3042</v>
      </c>
    </row>
    <row r="2074" spans="1:50">
      <c r="A2074" s="1" t="s">
        <v>101</v>
      </c>
      <c r="B2074" t="s">
        <v>163</v>
      </c>
      <c r="C2074" t="s">
        <v>5284</v>
      </c>
      <c r="D2074" t="s">
        <v>251</v>
      </c>
      <c r="F2074" t="s">
        <v>7621</v>
      </c>
      <c r="G2074" t="s">
        <v>8813</v>
      </c>
      <c r="H2074" t="s">
        <v>9879</v>
      </c>
      <c r="I2074" t="s">
        <v>1488</v>
      </c>
      <c r="J2074" t="s">
        <v>1643</v>
      </c>
      <c r="K2074">
        <v>10031</v>
      </c>
      <c r="L2074" t="s">
        <v>1670</v>
      </c>
      <c r="M2074" t="s">
        <v>1670</v>
      </c>
      <c r="N2074" t="s">
        <v>12442</v>
      </c>
      <c r="O2074" t="s">
        <v>1939</v>
      </c>
      <c r="P2074" t="s">
        <v>1960</v>
      </c>
      <c r="R2074" t="s">
        <v>50</v>
      </c>
      <c r="S2074" t="s">
        <v>1670</v>
      </c>
      <c r="U2074" t="s">
        <v>1972</v>
      </c>
      <c r="V2074" t="s">
        <v>1984</v>
      </c>
      <c r="W2074" t="s">
        <v>251</v>
      </c>
      <c r="X2074">
        <v>2050</v>
      </c>
      <c r="Y2074" t="s">
        <v>2008</v>
      </c>
      <c r="Z2074" t="s">
        <v>2016</v>
      </c>
      <c r="AB2074" t="s">
        <v>14499</v>
      </c>
      <c r="AD2074" t="s">
        <v>16910</v>
      </c>
      <c r="AE2074">
        <v>44</v>
      </c>
      <c r="AF2074" t="s">
        <v>2909</v>
      </c>
      <c r="AG2074" t="s">
        <v>2915</v>
      </c>
      <c r="AH2074">
        <v>22</v>
      </c>
      <c r="AI2074">
        <v>2</v>
      </c>
      <c r="AJ2074">
        <v>0</v>
      </c>
      <c r="AK2074">
        <v>94.78</v>
      </c>
      <c r="AN2074" t="s">
        <v>2927</v>
      </c>
      <c r="AO2074">
        <v>15600</v>
      </c>
      <c r="AQ2074" t="s">
        <v>2976</v>
      </c>
      <c r="AU2074">
        <v>2.75</v>
      </c>
      <c r="AV2074" t="s">
        <v>397</v>
      </c>
      <c r="AW2074" t="s">
        <v>3051</v>
      </c>
    </row>
    <row r="2075" spans="1:50">
      <c r="A2075" s="1" t="s">
        <v>57</v>
      </c>
      <c r="B2075" t="s">
        <v>163</v>
      </c>
      <c r="C2075" t="s">
        <v>5285</v>
      </c>
      <c r="D2075" t="s">
        <v>245</v>
      </c>
      <c r="F2075" t="s">
        <v>7403</v>
      </c>
      <c r="G2075" t="s">
        <v>953</v>
      </c>
      <c r="H2075" t="s">
        <v>1193</v>
      </c>
      <c r="I2075" t="s">
        <v>1507</v>
      </c>
      <c r="J2075" t="s">
        <v>1641</v>
      </c>
      <c r="K2075">
        <v>10456</v>
      </c>
      <c r="L2075" t="s">
        <v>1670</v>
      </c>
      <c r="M2075" t="s">
        <v>1670</v>
      </c>
      <c r="N2075" t="s">
        <v>1736</v>
      </c>
      <c r="O2075" t="s">
        <v>1938</v>
      </c>
      <c r="P2075" t="s">
        <v>1961</v>
      </c>
      <c r="R2075" t="s">
        <v>50</v>
      </c>
      <c r="S2075" t="s">
        <v>1670</v>
      </c>
      <c r="U2075" t="s">
        <v>1972</v>
      </c>
      <c r="W2075" t="s">
        <v>283</v>
      </c>
      <c r="X2075">
        <v>1466.39</v>
      </c>
      <c r="Y2075" t="s">
        <v>2006</v>
      </c>
      <c r="Z2075" t="s">
        <v>2015</v>
      </c>
      <c r="AB2075" t="s">
        <v>14036</v>
      </c>
      <c r="AD2075" t="s">
        <v>16471</v>
      </c>
      <c r="AE2075">
        <v>61</v>
      </c>
      <c r="AF2075" t="s">
        <v>2902</v>
      </c>
      <c r="AG2075" t="s">
        <v>2915</v>
      </c>
      <c r="AH2075">
        <v>18</v>
      </c>
      <c r="AI2075">
        <v>2</v>
      </c>
      <c r="AJ2075">
        <v>0</v>
      </c>
      <c r="AK2075">
        <v>94.84999999999999</v>
      </c>
      <c r="AN2075" t="s">
        <v>2927</v>
      </c>
      <c r="AO2075">
        <v>15612</v>
      </c>
      <c r="AU2075" t="s">
        <v>13051</v>
      </c>
      <c r="AW2075" t="s">
        <v>3046</v>
      </c>
    </row>
    <row r="2076" spans="1:50">
      <c r="A2076" s="1" t="s">
        <v>97</v>
      </c>
      <c r="B2076" t="s">
        <v>164</v>
      </c>
      <c r="C2076" t="s">
        <v>5286</v>
      </c>
      <c r="D2076" t="s">
        <v>309</v>
      </c>
      <c r="E2076" t="s">
        <v>306</v>
      </c>
      <c r="F2076" t="s">
        <v>438</v>
      </c>
      <c r="G2076" t="s">
        <v>859</v>
      </c>
      <c r="H2076" t="s">
        <v>10051</v>
      </c>
      <c r="I2076" t="s">
        <v>1575</v>
      </c>
      <c r="J2076" t="s">
        <v>1643</v>
      </c>
      <c r="K2076">
        <v>10031</v>
      </c>
      <c r="L2076" t="s">
        <v>1670</v>
      </c>
      <c r="M2076" t="s">
        <v>1670</v>
      </c>
      <c r="O2076" t="s">
        <v>1941</v>
      </c>
      <c r="P2076" t="s">
        <v>1962</v>
      </c>
      <c r="Q2076" t="s">
        <v>1968</v>
      </c>
      <c r="R2076" t="s">
        <v>50</v>
      </c>
      <c r="S2076" t="s">
        <v>1671</v>
      </c>
      <c r="U2076" t="s">
        <v>1972</v>
      </c>
      <c r="W2076" t="s">
        <v>309</v>
      </c>
      <c r="X2076">
        <v>1019.08</v>
      </c>
      <c r="Y2076" t="s">
        <v>2008</v>
      </c>
      <c r="Z2076" t="s">
        <v>2013</v>
      </c>
      <c r="AA2076" t="s">
        <v>2030</v>
      </c>
      <c r="AB2076" t="s">
        <v>14500</v>
      </c>
      <c r="AD2076" t="s">
        <v>16911</v>
      </c>
      <c r="AE2076">
        <v>33</v>
      </c>
      <c r="AF2076" t="s">
        <v>2902</v>
      </c>
      <c r="AG2076" t="s">
        <v>1754</v>
      </c>
      <c r="AH2076">
        <v>28</v>
      </c>
      <c r="AI2076">
        <v>1</v>
      </c>
      <c r="AJ2076">
        <v>0</v>
      </c>
      <c r="AK2076">
        <v>94.89</v>
      </c>
      <c r="AN2076" t="s">
        <v>2927</v>
      </c>
      <c r="AO2076">
        <v>11520</v>
      </c>
      <c r="AU2076">
        <v>3.6</v>
      </c>
      <c r="AV2076" t="s">
        <v>373</v>
      </c>
      <c r="AW2076" t="s">
        <v>3042</v>
      </c>
      <c r="AX2076" t="s">
        <v>18685</v>
      </c>
    </row>
    <row r="2077" spans="1:50">
      <c r="A2077" s="1" t="s">
        <v>111</v>
      </c>
      <c r="B2077" t="s">
        <v>163</v>
      </c>
      <c r="C2077" t="s">
        <v>5287</v>
      </c>
      <c r="D2077" t="s">
        <v>174</v>
      </c>
      <c r="F2077" t="s">
        <v>7405</v>
      </c>
      <c r="G2077" t="s">
        <v>914</v>
      </c>
      <c r="H2077" t="s">
        <v>1260</v>
      </c>
      <c r="I2077" t="s">
        <v>1488</v>
      </c>
      <c r="J2077" t="s">
        <v>1641</v>
      </c>
      <c r="K2077">
        <v>10453</v>
      </c>
      <c r="L2077" t="s">
        <v>1670</v>
      </c>
      <c r="M2077" t="s">
        <v>1670</v>
      </c>
      <c r="O2077" t="s">
        <v>1675</v>
      </c>
      <c r="P2077" t="s">
        <v>1959</v>
      </c>
      <c r="R2077" t="s">
        <v>50</v>
      </c>
      <c r="S2077" t="s">
        <v>1670</v>
      </c>
      <c r="U2077" t="s">
        <v>1972</v>
      </c>
      <c r="W2077" t="s">
        <v>243</v>
      </c>
      <c r="X2077" t="s">
        <v>13051</v>
      </c>
      <c r="Y2077" t="s">
        <v>2006</v>
      </c>
      <c r="Z2077" t="s">
        <v>2015</v>
      </c>
      <c r="AB2077" t="s">
        <v>14501</v>
      </c>
      <c r="AD2077" t="s">
        <v>16912</v>
      </c>
      <c r="AE2077">
        <v>44</v>
      </c>
      <c r="AF2077" t="s">
        <v>2902</v>
      </c>
      <c r="AG2077" t="s">
        <v>2017</v>
      </c>
      <c r="AH2077">
        <v>13</v>
      </c>
      <c r="AI2077">
        <v>1</v>
      </c>
      <c r="AJ2077">
        <v>0</v>
      </c>
      <c r="AK2077">
        <v>95.19</v>
      </c>
      <c r="AN2077" t="s">
        <v>2926</v>
      </c>
      <c r="AO2077">
        <v>11556</v>
      </c>
      <c r="AU2077" t="s">
        <v>13051</v>
      </c>
      <c r="AW2077" t="s">
        <v>3047</v>
      </c>
    </row>
    <row r="2078" spans="1:50">
      <c r="A2078" s="1" t="s">
        <v>142</v>
      </c>
      <c r="B2078" t="s">
        <v>163</v>
      </c>
      <c r="C2078" t="s">
        <v>5288</v>
      </c>
      <c r="D2078" t="s">
        <v>174</v>
      </c>
      <c r="F2078" t="s">
        <v>7405</v>
      </c>
      <c r="G2078" t="s">
        <v>914</v>
      </c>
      <c r="H2078" t="s">
        <v>1260</v>
      </c>
      <c r="I2078" t="s">
        <v>1488</v>
      </c>
      <c r="J2078" t="s">
        <v>1641</v>
      </c>
      <c r="K2078">
        <v>10453</v>
      </c>
      <c r="L2078" t="s">
        <v>1670</v>
      </c>
      <c r="M2078" t="s">
        <v>1670</v>
      </c>
      <c r="O2078" t="s">
        <v>1938</v>
      </c>
      <c r="P2078" t="s">
        <v>1961</v>
      </c>
      <c r="R2078" t="s">
        <v>50</v>
      </c>
      <c r="S2078" t="s">
        <v>1670</v>
      </c>
      <c r="U2078" t="s">
        <v>1972</v>
      </c>
      <c r="W2078" t="s">
        <v>283</v>
      </c>
      <c r="X2078" t="s">
        <v>13051</v>
      </c>
      <c r="Y2078" t="s">
        <v>2006</v>
      </c>
      <c r="Z2078" t="s">
        <v>2015</v>
      </c>
      <c r="AB2078" t="s">
        <v>14501</v>
      </c>
      <c r="AD2078" t="s">
        <v>16912</v>
      </c>
      <c r="AE2078">
        <v>44</v>
      </c>
      <c r="AF2078" t="s">
        <v>2902</v>
      </c>
      <c r="AG2078" t="s">
        <v>2017</v>
      </c>
      <c r="AH2078">
        <v>13</v>
      </c>
      <c r="AI2078">
        <v>1</v>
      </c>
      <c r="AJ2078">
        <v>0</v>
      </c>
      <c r="AK2078">
        <v>95.19</v>
      </c>
      <c r="AN2078" t="s">
        <v>2926</v>
      </c>
      <c r="AO2078">
        <v>11556</v>
      </c>
      <c r="AU2078" t="s">
        <v>13051</v>
      </c>
      <c r="AW2078" t="s">
        <v>3047</v>
      </c>
    </row>
    <row r="2079" spans="1:50">
      <c r="A2079" s="1" t="s">
        <v>142</v>
      </c>
      <c r="B2079" t="s">
        <v>163</v>
      </c>
      <c r="C2079" t="s">
        <v>5289</v>
      </c>
      <c r="D2079" t="s">
        <v>174</v>
      </c>
      <c r="F2079" t="s">
        <v>7405</v>
      </c>
      <c r="G2079" t="s">
        <v>914</v>
      </c>
      <c r="H2079" t="s">
        <v>1260</v>
      </c>
      <c r="I2079" t="s">
        <v>1488</v>
      </c>
      <c r="J2079" t="s">
        <v>1641</v>
      </c>
      <c r="K2079">
        <v>10453</v>
      </c>
      <c r="L2079" t="s">
        <v>1670</v>
      </c>
      <c r="M2079" t="s">
        <v>1670</v>
      </c>
      <c r="N2079" t="s">
        <v>1778</v>
      </c>
      <c r="O2079" t="s">
        <v>1939</v>
      </c>
      <c r="P2079" t="s">
        <v>1960</v>
      </c>
      <c r="R2079" t="s">
        <v>50</v>
      </c>
      <c r="S2079" t="s">
        <v>1670</v>
      </c>
      <c r="U2079" t="s">
        <v>1972</v>
      </c>
      <c r="W2079" t="s">
        <v>283</v>
      </c>
      <c r="X2079" t="s">
        <v>13051</v>
      </c>
      <c r="Y2079" t="s">
        <v>2006</v>
      </c>
      <c r="Z2079" t="s">
        <v>2015</v>
      </c>
      <c r="AB2079" t="s">
        <v>14501</v>
      </c>
      <c r="AD2079" t="s">
        <v>16912</v>
      </c>
      <c r="AE2079">
        <v>44</v>
      </c>
      <c r="AF2079" t="s">
        <v>2902</v>
      </c>
      <c r="AG2079" t="s">
        <v>2017</v>
      </c>
      <c r="AH2079">
        <v>13</v>
      </c>
      <c r="AI2079">
        <v>1</v>
      </c>
      <c r="AJ2079">
        <v>0</v>
      </c>
      <c r="AK2079">
        <v>95.19</v>
      </c>
      <c r="AN2079" t="s">
        <v>2926</v>
      </c>
      <c r="AO2079">
        <v>11556</v>
      </c>
      <c r="AU2079" t="s">
        <v>13051</v>
      </c>
      <c r="AW2079" t="s">
        <v>3047</v>
      </c>
    </row>
    <row r="2080" spans="1:50">
      <c r="A2080" s="1" t="s">
        <v>57</v>
      </c>
      <c r="B2080" t="s">
        <v>163</v>
      </c>
      <c r="C2080" t="s">
        <v>5290</v>
      </c>
      <c r="D2080" t="s">
        <v>342</v>
      </c>
      <c r="F2080" t="s">
        <v>724</v>
      </c>
      <c r="G2080" t="s">
        <v>8814</v>
      </c>
      <c r="H2080" t="s">
        <v>10322</v>
      </c>
      <c r="I2080" t="s">
        <v>1487</v>
      </c>
      <c r="J2080" t="s">
        <v>1641</v>
      </c>
      <c r="K2080">
        <v>10453</v>
      </c>
      <c r="L2080" t="s">
        <v>1670</v>
      </c>
      <c r="M2080" t="s">
        <v>1670</v>
      </c>
      <c r="O2080" t="s">
        <v>1941</v>
      </c>
      <c r="P2080" t="s">
        <v>1958</v>
      </c>
      <c r="R2080" t="s">
        <v>50</v>
      </c>
      <c r="U2080" t="s">
        <v>1972</v>
      </c>
      <c r="W2080" t="s">
        <v>376</v>
      </c>
      <c r="X2080">
        <v>1335.48</v>
      </c>
      <c r="Y2080" t="s">
        <v>2006</v>
      </c>
      <c r="Z2080" t="s">
        <v>2015</v>
      </c>
      <c r="AB2080" t="s">
        <v>14502</v>
      </c>
      <c r="AD2080" t="s">
        <v>16913</v>
      </c>
      <c r="AE2080" t="s">
        <v>13051</v>
      </c>
      <c r="AF2080" t="s">
        <v>2902</v>
      </c>
      <c r="AH2080" t="s">
        <v>13051</v>
      </c>
      <c r="AI2080">
        <v>3</v>
      </c>
      <c r="AJ2080">
        <v>0</v>
      </c>
      <c r="AK2080">
        <v>95.28</v>
      </c>
      <c r="AN2080" t="s">
        <v>2927</v>
      </c>
      <c r="AO2080">
        <v>19800</v>
      </c>
      <c r="AU2080">
        <v>0.1</v>
      </c>
      <c r="AV2080" t="s">
        <v>376</v>
      </c>
      <c r="AW2080" t="s">
        <v>128</v>
      </c>
    </row>
    <row r="2081" spans="1:50">
      <c r="A2081" s="1" t="s">
        <v>52</v>
      </c>
      <c r="B2081" t="s">
        <v>164</v>
      </c>
      <c r="C2081" t="s">
        <v>5291</v>
      </c>
      <c r="D2081" t="s">
        <v>383</v>
      </c>
      <c r="E2081" t="s">
        <v>326</v>
      </c>
      <c r="F2081" t="s">
        <v>7622</v>
      </c>
      <c r="G2081" t="s">
        <v>780</v>
      </c>
      <c r="H2081" t="s">
        <v>10323</v>
      </c>
      <c r="I2081" t="s">
        <v>1637</v>
      </c>
      <c r="J2081" t="s">
        <v>1641</v>
      </c>
      <c r="K2081">
        <v>10468</v>
      </c>
      <c r="L2081" t="s">
        <v>1670</v>
      </c>
      <c r="M2081" t="s">
        <v>1670</v>
      </c>
      <c r="O2081" t="s">
        <v>1938</v>
      </c>
      <c r="P2081" t="s">
        <v>1962</v>
      </c>
      <c r="Q2081" t="s">
        <v>1968</v>
      </c>
      <c r="R2081" t="s">
        <v>50</v>
      </c>
      <c r="S2081" t="s">
        <v>1671</v>
      </c>
      <c r="U2081" t="s">
        <v>1972</v>
      </c>
      <c r="W2081" t="s">
        <v>383</v>
      </c>
      <c r="X2081">
        <v>1500</v>
      </c>
      <c r="Y2081" t="s">
        <v>2006</v>
      </c>
      <c r="Z2081" t="s">
        <v>2015</v>
      </c>
      <c r="AA2081" t="s">
        <v>2029</v>
      </c>
      <c r="AB2081" t="s">
        <v>14503</v>
      </c>
      <c r="AD2081" t="s">
        <v>16914</v>
      </c>
      <c r="AE2081">
        <v>50</v>
      </c>
      <c r="AF2081" t="s">
        <v>2904</v>
      </c>
      <c r="AG2081" t="s">
        <v>1754</v>
      </c>
      <c r="AH2081">
        <v>15</v>
      </c>
      <c r="AI2081">
        <v>2</v>
      </c>
      <c r="AJ2081">
        <v>0</v>
      </c>
      <c r="AK2081">
        <v>95.41</v>
      </c>
      <c r="AN2081" t="s">
        <v>2927</v>
      </c>
      <c r="AO2081">
        <v>15704</v>
      </c>
      <c r="AU2081">
        <v>1.8</v>
      </c>
      <c r="AV2081" t="s">
        <v>326</v>
      </c>
      <c r="AW2081" t="s">
        <v>3046</v>
      </c>
    </row>
    <row r="2082" spans="1:50">
      <c r="A2082" s="1" t="s">
        <v>58</v>
      </c>
      <c r="B2082" t="s">
        <v>163</v>
      </c>
      <c r="C2082" t="s">
        <v>5292</v>
      </c>
      <c r="D2082" t="s">
        <v>192</v>
      </c>
      <c r="F2082" t="s">
        <v>7612</v>
      </c>
      <c r="G2082" t="s">
        <v>8130</v>
      </c>
      <c r="H2082" t="s">
        <v>1113</v>
      </c>
      <c r="I2082" t="s">
        <v>1520</v>
      </c>
      <c r="J2082" t="s">
        <v>1641</v>
      </c>
      <c r="K2082">
        <v>10452</v>
      </c>
      <c r="L2082" t="s">
        <v>1670</v>
      </c>
      <c r="M2082" t="s">
        <v>1670</v>
      </c>
      <c r="N2082" t="s">
        <v>1678</v>
      </c>
      <c r="O2082" t="s">
        <v>1939</v>
      </c>
      <c r="P2082" t="s">
        <v>1960</v>
      </c>
      <c r="R2082" t="s">
        <v>50</v>
      </c>
      <c r="S2082" t="s">
        <v>1670</v>
      </c>
      <c r="U2082" t="s">
        <v>1972</v>
      </c>
      <c r="W2082" t="s">
        <v>359</v>
      </c>
      <c r="X2082">
        <v>1024.89</v>
      </c>
      <c r="Y2082" t="s">
        <v>2006</v>
      </c>
      <c r="Z2082" t="s">
        <v>2015</v>
      </c>
      <c r="AB2082" t="s">
        <v>14486</v>
      </c>
      <c r="AE2082">
        <v>41</v>
      </c>
      <c r="AF2082" t="s">
        <v>2902</v>
      </c>
      <c r="AG2082" t="s">
        <v>2017</v>
      </c>
      <c r="AH2082">
        <v>12</v>
      </c>
      <c r="AI2082">
        <v>1</v>
      </c>
      <c r="AJ2082">
        <v>0</v>
      </c>
      <c r="AK2082">
        <v>95.58</v>
      </c>
      <c r="AN2082" t="s">
        <v>2927</v>
      </c>
      <c r="AO2082">
        <v>11604</v>
      </c>
      <c r="AP2082" t="s">
        <v>18213</v>
      </c>
      <c r="AU2082">
        <v>2</v>
      </c>
      <c r="AV2082" t="s">
        <v>396</v>
      </c>
      <c r="AW2082" t="s">
        <v>3046</v>
      </c>
    </row>
    <row r="2083" spans="1:50">
      <c r="A2083" s="1" t="s">
        <v>115</v>
      </c>
      <c r="B2083" t="s">
        <v>164</v>
      </c>
      <c r="C2083" t="s">
        <v>5293</v>
      </c>
      <c r="D2083" t="s">
        <v>2001</v>
      </c>
      <c r="E2083" t="s">
        <v>286</v>
      </c>
      <c r="F2083" t="s">
        <v>7011</v>
      </c>
      <c r="G2083" t="s">
        <v>8815</v>
      </c>
      <c r="H2083" t="s">
        <v>10324</v>
      </c>
      <c r="I2083" t="s">
        <v>11292</v>
      </c>
      <c r="J2083" t="s">
        <v>1641</v>
      </c>
      <c r="K2083">
        <v>10453</v>
      </c>
      <c r="L2083" t="s">
        <v>1670</v>
      </c>
      <c r="M2083" t="s">
        <v>1670</v>
      </c>
      <c r="O2083" t="s">
        <v>1675</v>
      </c>
      <c r="P2083" t="s">
        <v>1958</v>
      </c>
      <c r="Q2083" t="s">
        <v>1965</v>
      </c>
      <c r="R2083" t="s">
        <v>50</v>
      </c>
      <c r="S2083" t="s">
        <v>1671</v>
      </c>
      <c r="U2083" t="s">
        <v>1972</v>
      </c>
      <c r="W2083" t="s">
        <v>338</v>
      </c>
      <c r="X2083">
        <v>986.5</v>
      </c>
      <c r="Y2083" t="s">
        <v>2006</v>
      </c>
      <c r="Z2083" t="s">
        <v>2015</v>
      </c>
      <c r="AA2083" t="s">
        <v>2029</v>
      </c>
      <c r="AB2083" t="s">
        <v>14504</v>
      </c>
      <c r="AD2083" t="s">
        <v>16915</v>
      </c>
      <c r="AE2083">
        <v>71</v>
      </c>
      <c r="AF2083" t="s">
        <v>2902</v>
      </c>
      <c r="AG2083" t="s">
        <v>1754</v>
      </c>
      <c r="AH2083">
        <v>34</v>
      </c>
      <c r="AI2083">
        <v>2</v>
      </c>
      <c r="AJ2083">
        <v>0</v>
      </c>
      <c r="AK2083">
        <v>95.8</v>
      </c>
      <c r="AN2083" t="s">
        <v>2927</v>
      </c>
      <c r="AO2083">
        <v>16200</v>
      </c>
      <c r="AU2083">
        <v>1.7</v>
      </c>
      <c r="AV2083" t="s">
        <v>286</v>
      </c>
      <c r="AW2083" t="s">
        <v>3052</v>
      </c>
    </row>
    <row r="2084" spans="1:50">
      <c r="A2084" s="1" t="s">
        <v>3158</v>
      </c>
      <c r="B2084" t="s">
        <v>164</v>
      </c>
      <c r="C2084" t="s">
        <v>5294</v>
      </c>
      <c r="D2084" t="s">
        <v>251</v>
      </c>
      <c r="E2084" t="s">
        <v>349</v>
      </c>
      <c r="F2084" t="s">
        <v>7623</v>
      </c>
      <c r="G2084" t="s">
        <v>8071</v>
      </c>
      <c r="H2084" t="s">
        <v>10241</v>
      </c>
      <c r="I2084" t="s">
        <v>11002</v>
      </c>
      <c r="J2084" t="s">
        <v>1643</v>
      </c>
      <c r="K2084">
        <v>10040</v>
      </c>
      <c r="L2084" t="s">
        <v>1670</v>
      </c>
      <c r="M2084" t="s">
        <v>1670</v>
      </c>
      <c r="O2084" t="s">
        <v>1937</v>
      </c>
      <c r="P2084" t="s">
        <v>1958</v>
      </c>
      <c r="Q2084" t="s">
        <v>1965</v>
      </c>
      <c r="R2084" t="s">
        <v>50</v>
      </c>
      <c r="S2084" t="s">
        <v>1671</v>
      </c>
      <c r="U2084" t="s">
        <v>1972</v>
      </c>
      <c r="W2084" t="s">
        <v>251</v>
      </c>
      <c r="X2084">
        <v>1023.42</v>
      </c>
      <c r="Y2084" t="s">
        <v>2008</v>
      </c>
      <c r="Z2084" t="s">
        <v>2013</v>
      </c>
      <c r="AA2084" t="s">
        <v>2029</v>
      </c>
      <c r="AB2084" t="s">
        <v>14505</v>
      </c>
      <c r="AD2084" t="s">
        <v>16916</v>
      </c>
      <c r="AE2084">
        <v>185</v>
      </c>
      <c r="AF2084" t="s">
        <v>2902</v>
      </c>
      <c r="AG2084" t="s">
        <v>1754</v>
      </c>
      <c r="AH2084">
        <v>21</v>
      </c>
      <c r="AI2084">
        <v>2</v>
      </c>
      <c r="AJ2084">
        <v>0</v>
      </c>
      <c r="AK2084">
        <v>95.81999999999999</v>
      </c>
      <c r="AN2084" t="s">
        <v>2927</v>
      </c>
      <c r="AO2084">
        <v>15772</v>
      </c>
      <c r="AU2084">
        <v>3.5</v>
      </c>
      <c r="AV2084" t="s">
        <v>284</v>
      </c>
      <c r="AW2084" t="s">
        <v>3042</v>
      </c>
    </row>
    <row r="2085" spans="1:50">
      <c r="A2085" s="1" t="s">
        <v>126</v>
      </c>
      <c r="B2085" t="s">
        <v>163</v>
      </c>
      <c r="C2085" t="s">
        <v>5295</v>
      </c>
      <c r="D2085" t="s">
        <v>260</v>
      </c>
      <c r="F2085" t="s">
        <v>7624</v>
      </c>
      <c r="G2085" t="s">
        <v>8816</v>
      </c>
      <c r="H2085" t="s">
        <v>10325</v>
      </c>
      <c r="I2085" t="s">
        <v>11143</v>
      </c>
      <c r="J2085" t="s">
        <v>1641</v>
      </c>
      <c r="K2085">
        <v>10463</v>
      </c>
      <c r="L2085" t="s">
        <v>1670</v>
      </c>
      <c r="M2085" t="s">
        <v>1670</v>
      </c>
      <c r="N2085" t="s">
        <v>12443</v>
      </c>
      <c r="O2085" t="s">
        <v>1940</v>
      </c>
      <c r="P2085" t="s">
        <v>1960</v>
      </c>
      <c r="R2085" t="s">
        <v>50</v>
      </c>
      <c r="U2085" t="s">
        <v>1972</v>
      </c>
      <c r="W2085" t="s">
        <v>1992</v>
      </c>
      <c r="X2085" t="s">
        <v>13051</v>
      </c>
      <c r="Y2085" t="s">
        <v>2006</v>
      </c>
      <c r="AB2085" t="s">
        <v>14506</v>
      </c>
      <c r="AD2085" t="s">
        <v>15077</v>
      </c>
      <c r="AE2085">
        <v>145</v>
      </c>
      <c r="AH2085" t="s">
        <v>13051</v>
      </c>
      <c r="AI2085">
        <v>1</v>
      </c>
      <c r="AJ2085">
        <v>0</v>
      </c>
      <c r="AK2085">
        <v>95.98</v>
      </c>
      <c r="AN2085" t="s">
        <v>2927</v>
      </c>
      <c r="AO2085">
        <v>11652</v>
      </c>
      <c r="AU2085">
        <v>15.5</v>
      </c>
      <c r="AV2085" t="s">
        <v>409</v>
      </c>
      <c r="AW2085" t="s">
        <v>3047</v>
      </c>
    </row>
    <row r="2086" spans="1:50">
      <c r="A2086" s="1" t="s">
        <v>123</v>
      </c>
      <c r="B2086" t="s">
        <v>163</v>
      </c>
      <c r="C2086" t="s">
        <v>5296</v>
      </c>
      <c r="D2086" t="s">
        <v>6144</v>
      </c>
      <c r="F2086" t="s">
        <v>6916</v>
      </c>
      <c r="G2086" t="s">
        <v>8817</v>
      </c>
      <c r="H2086" t="s">
        <v>1234</v>
      </c>
      <c r="J2086" t="s">
        <v>1641</v>
      </c>
      <c r="K2086">
        <v>10452</v>
      </c>
      <c r="L2086" t="s">
        <v>1670</v>
      </c>
      <c r="M2086" t="s">
        <v>1672</v>
      </c>
      <c r="N2086" t="s">
        <v>1765</v>
      </c>
      <c r="O2086" t="s">
        <v>1949</v>
      </c>
      <c r="P2086" t="s">
        <v>1961</v>
      </c>
      <c r="R2086" t="s">
        <v>50</v>
      </c>
      <c r="S2086" t="s">
        <v>1670</v>
      </c>
      <c r="U2086" t="s">
        <v>1972</v>
      </c>
      <c r="W2086" t="s">
        <v>1989</v>
      </c>
      <c r="X2086">
        <v>699</v>
      </c>
      <c r="Y2086" t="s">
        <v>2006</v>
      </c>
      <c r="Z2086" t="s">
        <v>2015</v>
      </c>
      <c r="AB2086" t="s">
        <v>14507</v>
      </c>
      <c r="AD2086" t="s">
        <v>16917</v>
      </c>
      <c r="AE2086">
        <v>122</v>
      </c>
      <c r="AF2086" t="s">
        <v>2902</v>
      </c>
      <c r="AG2086" t="s">
        <v>1754</v>
      </c>
      <c r="AH2086">
        <v>19</v>
      </c>
      <c r="AI2086">
        <v>2</v>
      </c>
      <c r="AJ2086">
        <v>0</v>
      </c>
      <c r="AK2086">
        <v>96.06</v>
      </c>
      <c r="AN2086" t="s">
        <v>2927</v>
      </c>
      <c r="AO2086">
        <v>15600</v>
      </c>
      <c r="AP2086" t="s">
        <v>2950</v>
      </c>
      <c r="AU2086" t="s">
        <v>13051</v>
      </c>
      <c r="AW2086" t="s">
        <v>3054</v>
      </c>
    </row>
    <row r="2087" spans="1:50">
      <c r="A2087" s="1" t="s">
        <v>53</v>
      </c>
      <c r="B2087" t="s">
        <v>164</v>
      </c>
      <c r="C2087" t="s">
        <v>5297</v>
      </c>
      <c r="D2087" t="s">
        <v>256</v>
      </c>
      <c r="E2087" t="s">
        <v>406</v>
      </c>
      <c r="F2087" t="s">
        <v>7625</v>
      </c>
      <c r="G2087" t="s">
        <v>8818</v>
      </c>
      <c r="H2087" t="s">
        <v>10326</v>
      </c>
      <c r="I2087" t="s">
        <v>11274</v>
      </c>
      <c r="J2087" t="s">
        <v>1647</v>
      </c>
      <c r="K2087">
        <v>11432</v>
      </c>
      <c r="L2087" t="s">
        <v>1670</v>
      </c>
      <c r="M2087" t="s">
        <v>1670</v>
      </c>
      <c r="O2087" t="s">
        <v>1675</v>
      </c>
      <c r="P2087" t="s">
        <v>1958</v>
      </c>
      <c r="Q2087" t="s">
        <v>1965</v>
      </c>
      <c r="R2087" t="s">
        <v>51</v>
      </c>
      <c r="S2087" t="s">
        <v>1671</v>
      </c>
      <c r="U2087" t="s">
        <v>1980</v>
      </c>
      <c r="V2087" t="s">
        <v>1984</v>
      </c>
      <c r="W2087" t="s">
        <v>256</v>
      </c>
      <c r="X2087" t="s">
        <v>13051</v>
      </c>
      <c r="Y2087" t="s">
        <v>2007</v>
      </c>
      <c r="Z2087" t="s">
        <v>2012</v>
      </c>
      <c r="AA2087" t="s">
        <v>2029</v>
      </c>
      <c r="AB2087" t="s">
        <v>14508</v>
      </c>
      <c r="AD2087" t="s">
        <v>16918</v>
      </c>
      <c r="AE2087">
        <v>115</v>
      </c>
      <c r="AF2087" t="s">
        <v>2911</v>
      </c>
      <c r="AG2087" t="s">
        <v>1754</v>
      </c>
      <c r="AH2087">
        <v>2</v>
      </c>
      <c r="AI2087">
        <v>1</v>
      </c>
      <c r="AJ2087">
        <v>0</v>
      </c>
      <c r="AK2087">
        <v>96.08</v>
      </c>
      <c r="AL2087" t="s">
        <v>2923</v>
      </c>
      <c r="AM2087" t="s">
        <v>2924</v>
      </c>
      <c r="AN2087" t="s">
        <v>2931</v>
      </c>
      <c r="AO2087">
        <v>12000</v>
      </c>
      <c r="AU2087">
        <v>1.2</v>
      </c>
      <c r="AV2087" t="s">
        <v>286</v>
      </c>
      <c r="AW2087" t="s">
        <v>53</v>
      </c>
    </row>
    <row r="2088" spans="1:50">
      <c r="A2088" s="1" t="s">
        <v>58</v>
      </c>
      <c r="B2088" t="s">
        <v>164</v>
      </c>
      <c r="C2088" t="s">
        <v>5298</v>
      </c>
      <c r="D2088" t="s">
        <v>290</v>
      </c>
      <c r="E2088" t="s">
        <v>289</v>
      </c>
      <c r="F2088" t="s">
        <v>7012</v>
      </c>
      <c r="G2088" t="s">
        <v>8819</v>
      </c>
      <c r="H2088" t="s">
        <v>10327</v>
      </c>
      <c r="I2088" t="s">
        <v>11050</v>
      </c>
      <c r="J2088" t="s">
        <v>1641</v>
      </c>
      <c r="K2088">
        <v>10452</v>
      </c>
      <c r="L2088" t="s">
        <v>1670</v>
      </c>
      <c r="M2088" t="s">
        <v>1672</v>
      </c>
      <c r="N2088" t="s">
        <v>12444</v>
      </c>
      <c r="O2088" t="s">
        <v>1936</v>
      </c>
      <c r="P2088" t="s">
        <v>1962</v>
      </c>
      <c r="Q2088" t="s">
        <v>1968</v>
      </c>
      <c r="R2088" t="s">
        <v>50</v>
      </c>
      <c r="S2088" t="s">
        <v>1671</v>
      </c>
      <c r="U2088" t="s">
        <v>1972</v>
      </c>
      <c r="V2088" t="s">
        <v>1984</v>
      </c>
      <c r="W2088" t="s">
        <v>1994</v>
      </c>
      <c r="X2088">
        <v>1191</v>
      </c>
      <c r="Y2088" t="s">
        <v>2006</v>
      </c>
      <c r="Z2088" t="s">
        <v>2016</v>
      </c>
      <c r="AA2088" t="s">
        <v>13060</v>
      </c>
      <c r="AB2088" t="s">
        <v>14509</v>
      </c>
      <c r="AD2088" t="s">
        <v>16919</v>
      </c>
      <c r="AE2088">
        <v>64</v>
      </c>
      <c r="AF2088" t="s">
        <v>2902</v>
      </c>
      <c r="AH2088">
        <v>20</v>
      </c>
      <c r="AI2088">
        <v>1</v>
      </c>
      <c r="AJ2088">
        <v>0</v>
      </c>
      <c r="AK2088">
        <v>96.08</v>
      </c>
      <c r="AN2088" t="s">
        <v>2926</v>
      </c>
      <c r="AO2088">
        <v>12000</v>
      </c>
      <c r="AU2088">
        <v>0.5</v>
      </c>
      <c r="AV2088" t="s">
        <v>179</v>
      </c>
      <c r="AW2088" t="s">
        <v>3045</v>
      </c>
      <c r="AX2088" t="s">
        <v>18685</v>
      </c>
    </row>
    <row r="2089" spans="1:50">
      <c r="A2089" s="1" t="s">
        <v>101</v>
      </c>
      <c r="B2089" t="s">
        <v>163</v>
      </c>
      <c r="C2089" t="s">
        <v>5299</v>
      </c>
      <c r="D2089" t="s">
        <v>219</v>
      </c>
      <c r="F2089" t="s">
        <v>6937</v>
      </c>
      <c r="G2089" t="s">
        <v>8597</v>
      </c>
      <c r="H2089" t="s">
        <v>1173</v>
      </c>
      <c r="I2089" t="s">
        <v>11114</v>
      </c>
      <c r="J2089" t="s">
        <v>1643</v>
      </c>
      <c r="K2089">
        <v>10035</v>
      </c>
      <c r="L2089" t="s">
        <v>1670</v>
      </c>
      <c r="M2089" t="s">
        <v>1670</v>
      </c>
      <c r="O2089" t="s">
        <v>1675</v>
      </c>
      <c r="P2089" t="s">
        <v>1962</v>
      </c>
      <c r="R2089" t="s">
        <v>50</v>
      </c>
      <c r="S2089" t="s">
        <v>1670</v>
      </c>
      <c r="U2089" t="s">
        <v>1972</v>
      </c>
      <c r="V2089" t="s">
        <v>1984</v>
      </c>
      <c r="W2089" t="s">
        <v>186</v>
      </c>
      <c r="X2089">
        <v>1104.42</v>
      </c>
      <c r="Y2089" t="s">
        <v>2008</v>
      </c>
      <c r="Z2089" t="s">
        <v>2019</v>
      </c>
      <c r="AB2089" t="s">
        <v>13094</v>
      </c>
      <c r="AD2089" t="s">
        <v>16920</v>
      </c>
      <c r="AE2089">
        <v>60</v>
      </c>
      <c r="AF2089" t="s">
        <v>2902</v>
      </c>
      <c r="AG2089" t="s">
        <v>1754</v>
      </c>
      <c r="AH2089">
        <v>7</v>
      </c>
      <c r="AI2089">
        <v>1</v>
      </c>
      <c r="AJ2089">
        <v>0</v>
      </c>
      <c r="AK2089">
        <v>96.08</v>
      </c>
      <c r="AN2089" t="s">
        <v>2927</v>
      </c>
      <c r="AO2089">
        <v>12000</v>
      </c>
      <c r="AU2089" t="s">
        <v>13051</v>
      </c>
      <c r="AW2089" t="s">
        <v>3051</v>
      </c>
    </row>
    <row r="2090" spans="1:50">
      <c r="A2090" s="1" t="s">
        <v>72</v>
      </c>
      <c r="B2090" t="s">
        <v>163</v>
      </c>
      <c r="C2090" t="s">
        <v>5300</v>
      </c>
      <c r="D2090" t="s">
        <v>346</v>
      </c>
      <c r="F2090" t="s">
        <v>6851</v>
      </c>
      <c r="G2090" t="s">
        <v>8820</v>
      </c>
      <c r="H2090" t="s">
        <v>10296</v>
      </c>
      <c r="I2090" t="s">
        <v>1520</v>
      </c>
      <c r="J2090" t="s">
        <v>1643</v>
      </c>
      <c r="K2090">
        <v>10024</v>
      </c>
      <c r="L2090" t="s">
        <v>1670</v>
      </c>
      <c r="M2090" t="s">
        <v>1672</v>
      </c>
      <c r="O2090" t="s">
        <v>1939</v>
      </c>
      <c r="P2090" t="s">
        <v>1963</v>
      </c>
      <c r="R2090" t="s">
        <v>50</v>
      </c>
      <c r="S2090" t="s">
        <v>1670</v>
      </c>
      <c r="U2090" t="s">
        <v>1972</v>
      </c>
      <c r="V2090" t="s">
        <v>1984</v>
      </c>
      <c r="W2090" t="s">
        <v>333</v>
      </c>
      <c r="X2090">
        <v>670</v>
      </c>
      <c r="Y2090" t="s">
        <v>2008</v>
      </c>
      <c r="AB2090" t="s">
        <v>14510</v>
      </c>
      <c r="AD2090" t="s">
        <v>16921</v>
      </c>
      <c r="AE2090">
        <v>12</v>
      </c>
      <c r="AF2090" t="s">
        <v>2908</v>
      </c>
      <c r="AG2090" t="s">
        <v>1754</v>
      </c>
      <c r="AH2090">
        <v>48</v>
      </c>
      <c r="AI2090">
        <v>1</v>
      </c>
      <c r="AJ2090">
        <v>0</v>
      </c>
      <c r="AK2090">
        <v>96.08</v>
      </c>
      <c r="AN2090" t="s">
        <v>2926</v>
      </c>
      <c r="AO2090">
        <v>12000</v>
      </c>
      <c r="AU2090">
        <v>17.5</v>
      </c>
      <c r="AV2090" t="s">
        <v>346</v>
      </c>
      <c r="AW2090" t="s">
        <v>3051</v>
      </c>
      <c r="AX2090" t="s">
        <v>18685</v>
      </c>
    </row>
    <row r="2091" spans="1:50">
      <c r="A2091" s="1" t="s">
        <v>72</v>
      </c>
      <c r="B2091" t="s">
        <v>163</v>
      </c>
      <c r="C2091" t="s">
        <v>5301</v>
      </c>
      <c r="D2091" t="s">
        <v>3034</v>
      </c>
      <c r="F2091" t="s">
        <v>6796</v>
      </c>
      <c r="G2091" t="s">
        <v>8821</v>
      </c>
      <c r="H2091" t="s">
        <v>10296</v>
      </c>
      <c r="I2091" t="s">
        <v>1487</v>
      </c>
      <c r="J2091" t="s">
        <v>1643</v>
      </c>
      <c r="K2091">
        <v>10024</v>
      </c>
      <c r="L2091" t="s">
        <v>1670</v>
      </c>
      <c r="M2091" t="s">
        <v>1672</v>
      </c>
      <c r="O2091" t="s">
        <v>1939</v>
      </c>
      <c r="P2091" t="s">
        <v>1963</v>
      </c>
      <c r="R2091" t="s">
        <v>50</v>
      </c>
      <c r="S2091" t="s">
        <v>1670</v>
      </c>
      <c r="U2091" t="s">
        <v>1972</v>
      </c>
      <c r="V2091" t="s">
        <v>1984</v>
      </c>
      <c r="W2091" t="s">
        <v>405</v>
      </c>
      <c r="X2091">
        <v>386</v>
      </c>
      <c r="Y2091" t="s">
        <v>2008</v>
      </c>
      <c r="Z2091" t="s">
        <v>2028</v>
      </c>
      <c r="AB2091" t="s">
        <v>14511</v>
      </c>
      <c r="AD2091" t="s">
        <v>16922</v>
      </c>
      <c r="AE2091">
        <v>12</v>
      </c>
      <c r="AF2091" t="s">
        <v>2908</v>
      </c>
      <c r="AG2091" t="s">
        <v>1754</v>
      </c>
      <c r="AH2091">
        <v>62</v>
      </c>
      <c r="AI2091">
        <v>1</v>
      </c>
      <c r="AJ2091">
        <v>0</v>
      </c>
      <c r="AK2091">
        <v>96.08</v>
      </c>
      <c r="AN2091" t="s">
        <v>2926</v>
      </c>
      <c r="AO2091">
        <v>12000</v>
      </c>
      <c r="AU2091" t="s">
        <v>13051</v>
      </c>
      <c r="AW2091" t="s">
        <v>3051</v>
      </c>
      <c r="AX2091" t="s">
        <v>18685</v>
      </c>
    </row>
    <row r="2092" spans="1:50">
      <c r="A2092" s="1" t="s">
        <v>65</v>
      </c>
      <c r="B2092" t="s">
        <v>163</v>
      </c>
      <c r="C2092" t="s">
        <v>5302</v>
      </c>
      <c r="D2092" t="s">
        <v>317</v>
      </c>
      <c r="F2092" t="s">
        <v>7567</v>
      </c>
      <c r="G2092" t="s">
        <v>558</v>
      </c>
      <c r="H2092" t="s">
        <v>1335</v>
      </c>
      <c r="I2092" t="s">
        <v>1477</v>
      </c>
      <c r="J2092" t="s">
        <v>1644</v>
      </c>
      <c r="K2092">
        <v>11225</v>
      </c>
      <c r="L2092" t="s">
        <v>1670</v>
      </c>
      <c r="M2092" t="s">
        <v>1670</v>
      </c>
      <c r="O2092" t="s">
        <v>1943</v>
      </c>
      <c r="P2092" t="s">
        <v>1959</v>
      </c>
      <c r="R2092" t="s">
        <v>50</v>
      </c>
      <c r="U2092" t="s">
        <v>1972</v>
      </c>
      <c r="W2092" t="s">
        <v>317</v>
      </c>
      <c r="X2092">
        <v>1480.9</v>
      </c>
      <c r="Y2092" t="s">
        <v>2009</v>
      </c>
      <c r="AB2092" t="s">
        <v>14408</v>
      </c>
      <c r="AD2092" t="s">
        <v>16820</v>
      </c>
      <c r="AE2092" t="s">
        <v>13051</v>
      </c>
      <c r="AG2092" t="s">
        <v>2915</v>
      </c>
      <c r="AH2092">
        <v>11</v>
      </c>
      <c r="AI2092">
        <v>1</v>
      </c>
      <c r="AJ2092">
        <v>0</v>
      </c>
      <c r="AK2092">
        <v>96.08</v>
      </c>
      <c r="AN2092" t="s">
        <v>2926</v>
      </c>
      <c r="AO2092">
        <v>12000</v>
      </c>
      <c r="AU2092">
        <v>0.5</v>
      </c>
      <c r="AV2092" t="s">
        <v>364</v>
      </c>
      <c r="AW2092" t="s">
        <v>158</v>
      </c>
    </row>
    <row r="2093" spans="1:50">
      <c r="A2093" s="1" t="s">
        <v>3172</v>
      </c>
      <c r="B2093" t="s">
        <v>163</v>
      </c>
      <c r="C2093" t="s">
        <v>5303</v>
      </c>
      <c r="D2093" t="s">
        <v>393</v>
      </c>
      <c r="F2093" t="s">
        <v>6782</v>
      </c>
      <c r="G2093" t="s">
        <v>8822</v>
      </c>
      <c r="H2093" t="s">
        <v>9612</v>
      </c>
      <c r="I2093" t="s">
        <v>1531</v>
      </c>
      <c r="J2093" t="s">
        <v>1668</v>
      </c>
      <c r="K2093">
        <v>11354</v>
      </c>
      <c r="L2093" t="s">
        <v>1670</v>
      </c>
      <c r="M2093" t="s">
        <v>1672</v>
      </c>
      <c r="N2093" t="s">
        <v>12203</v>
      </c>
      <c r="O2093" t="s">
        <v>1938</v>
      </c>
      <c r="P2093" t="s">
        <v>1961</v>
      </c>
      <c r="R2093" t="s">
        <v>50</v>
      </c>
      <c r="S2093" t="s">
        <v>1670</v>
      </c>
      <c r="U2093" t="s">
        <v>1972</v>
      </c>
      <c r="V2093" t="s">
        <v>1984</v>
      </c>
      <c r="W2093" t="s">
        <v>222</v>
      </c>
      <c r="X2093">
        <v>598.66</v>
      </c>
      <c r="Y2093" t="s">
        <v>2007</v>
      </c>
      <c r="Z2093" t="s">
        <v>2026</v>
      </c>
      <c r="AB2093" t="s">
        <v>14512</v>
      </c>
      <c r="AE2093">
        <v>91</v>
      </c>
      <c r="AF2093" t="s">
        <v>2902</v>
      </c>
      <c r="AG2093" t="s">
        <v>2915</v>
      </c>
      <c r="AH2093">
        <v>45</v>
      </c>
      <c r="AI2093">
        <v>1</v>
      </c>
      <c r="AJ2093">
        <v>0</v>
      </c>
      <c r="AK2093">
        <v>96.08</v>
      </c>
      <c r="AN2093" t="s">
        <v>2926</v>
      </c>
      <c r="AO2093">
        <v>12000</v>
      </c>
      <c r="AU2093">
        <v>0.15</v>
      </c>
      <c r="AV2093" t="s">
        <v>393</v>
      </c>
      <c r="AW2093" t="s">
        <v>3172</v>
      </c>
      <c r="AX2093" t="s">
        <v>18685</v>
      </c>
    </row>
    <row r="2094" spans="1:50">
      <c r="A2094" s="1" t="s">
        <v>57</v>
      </c>
      <c r="B2094" t="s">
        <v>163</v>
      </c>
      <c r="C2094" t="s">
        <v>5304</v>
      </c>
      <c r="D2094" t="s">
        <v>183</v>
      </c>
      <c r="F2094" t="s">
        <v>7626</v>
      </c>
      <c r="G2094" t="s">
        <v>8823</v>
      </c>
      <c r="H2094" t="s">
        <v>1112</v>
      </c>
      <c r="I2094" t="s">
        <v>1602</v>
      </c>
      <c r="J2094" t="s">
        <v>1641</v>
      </c>
      <c r="K2094">
        <v>10453</v>
      </c>
      <c r="L2094" t="s">
        <v>1670</v>
      </c>
      <c r="M2094" t="s">
        <v>1670</v>
      </c>
      <c r="O2094" t="s">
        <v>1938</v>
      </c>
      <c r="P2094" t="s">
        <v>1961</v>
      </c>
      <c r="R2094" t="s">
        <v>50</v>
      </c>
      <c r="S2094" t="s">
        <v>1670</v>
      </c>
      <c r="U2094" t="s">
        <v>1972</v>
      </c>
      <c r="W2094" t="s">
        <v>283</v>
      </c>
      <c r="X2094">
        <v>1000</v>
      </c>
      <c r="Y2094" t="s">
        <v>2006</v>
      </c>
      <c r="Z2094" t="s">
        <v>2016</v>
      </c>
      <c r="AB2094" t="s">
        <v>14513</v>
      </c>
      <c r="AD2094" t="s">
        <v>16923</v>
      </c>
      <c r="AE2094">
        <v>170</v>
      </c>
      <c r="AF2094" t="s">
        <v>2902</v>
      </c>
      <c r="AH2094">
        <v>9</v>
      </c>
      <c r="AI2094">
        <v>1</v>
      </c>
      <c r="AJ2094">
        <v>0</v>
      </c>
      <c r="AK2094">
        <v>96.08</v>
      </c>
      <c r="AN2094" t="s">
        <v>2927</v>
      </c>
      <c r="AO2094">
        <v>12000</v>
      </c>
      <c r="AU2094" t="s">
        <v>13051</v>
      </c>
      <c r="AW2094" t="s">
        <v>3045</v>
      </c>
    </row>
    <row r="2095" spans="1:50">
      <c r="A2095" s="1" t="s">
        <v>119</v>
      </c>
      <c r="B2095" t="s">
        <v>164</v>
      </c>
      <c r="C2095" t="s">
        <v>5305</v>
      </c>
      <c r="D2095" t="s">
        <v>344</v>
      </c>
      <c r="E2095" t="s">
        <v>306</v>
      </c>
      <c r="F2095" t="s">
        <v>7049</v>
      </c>
      <c r="G2095" t="s">
        <v>8824</v>
      </c>
      <c r="H2095" t="s">
        <v>10328</v>
      </c>
      <c r="I2095" t="s">
        <v>1477</v>
      </c>
      <c r="J2095" t="s">
        <v>1644</v>
      </c>
      <c r="K2095">
        <v>11212</v>
      </c>
      <c r="L2095" t="s">
        <v>1670</v>
      </c>
      <c r="M2095" t="s">
        <v>1670</v>
      </c>
      <c r="N2095" t="s">
        <v>12445</v>
      </c>
      <c r="O2095" t="s">
        <v>1936</v>
      </c>
      <c r="P2095" t="s">
        <v>1960</v>
      </c>
      <c r="Q2095" t="s">
        <v>1967</v>
      </c>
      <c r="R2095" t="s">
        <v>50</v>
      </c>
      <c r="S2095" t="s">
        <v>1671</v>
      </c>
      <c r="U2095" t="s">
        <v>1972</v>
      </c>
      <c r="V2095" t="s">
        <v>1984</v>
      </c>
      <c r="W2095" t="s">
        <v>306</v>
      </c>
      <c r="X2095">
        <v>1521</v>
      </c>
      <c r="Y2095" t="s">
        <v>2009</v>
      </c>
      <c r="Z2095" t="s">
        <v>2020</v>
      </c>
      <c r="AA2095" t="s">
        <v>2032</v>
      </c>
      <c r="AB2095" t="s">
        <v>13328</v>
      </c>
      <c r="AC2095" t="s">
        <v>15252</v>
      </c>
      <c r="AD2095" t="s">
        <v>16924</v>
      </c>
      <c r="AE2095">
        <v>6</v>
      </c>
      <c r="AF2095" t="s">
        <v>2902</v>
      </c>
      <c r="AG2095" t="s">
        <v>2922</v>
      </c>
      <c r="AH2095">
        <v>24</v>
      </c>
      <c r="AI2095">
        <v>1</v>
      </c>
      <c r="AJ2095">
        <v>0</v>
      </c>
      <c r="AK2095">
        <v>96.08</v>
      </c>
      <c r="AN2095" t="s">
        <v>2926</v>
      </c>
      <c r="AO2095">
        <v>11664</v>
      </c>
      <c r="AU2095">
        <v>3.6</v>
      </c>
      <c r="AV2095" t="s">
        <v>329</v>
      </c>
      <c r="AW2095" t="s">
        <v>3060</v>
      </c>
    </row>
    <row r="2096" spans="1:50">
      <c r="A2096" s="1" t="s">
        <v>111</v>
      </c>
      <c r="B2096" t="s">
        <v>164</v>
      </c>
      <c r="C2096" t="s">
        <v>5306</v>
      </c>
      <c r="D2096" t="s">
        <v>240</v>
      </c>
      <c r="E2096" t="s">
        <v>275</v>
      </c>
      <c r="F2096" t="s">
        <v>7627</v>
      </c>
      <c r="G2096" t="s">
        <v>8825</v>
      </c>
      <c r="H2096" t="s">
        <v>10329</v>
      </c>
      <c r="I2096" t="s">
        <v>1591</v>
      </c>
      <c r="J2096" t="s">
        <v>1641</v>
      </c>
      <c r="K2096">
        <v>10462</v>
      </c>
      <c r="L2096" t="s">
        <v>1670</v>
      </c>
      <c r="M2096" t="s">
        <v>1672</v>
      </c>
      <c r="N2096" t="s">
        <v>12446</v>
      </c>
      <c r="O2096" t="s">
        <v>1936</v>
      </c>
      <c r="P2096" t="s">
        <v>1960</v>
      </c>
      <c r="Q2096" t="s">
        <v>1969</v>
      </c>
      <c r="R2096" t="s">
        <v>50</v>
      </c>
      <c r="S2096" t="s">
        <v>1671</v>
      </c>
      <c r="U2096" t="s">
        <v>1972</v>
      </c>
      <c r="V2096" t="s">
        <v>1985</v>
      </c>
      <c r="W2096" t="s">
        <v>1991</v>
      </c>
      <c r="X2096">
        <v>1900</v>
      </c>
      <c r="Y2096" t="s">
        <v>2006</v>
      </c>
      <c r="Z2096" t="s">
        <v>2021</v>
      </c>
      <c r="AA2096" t="s">
        <v>2032</v>
      </c>
      <c r="AB2096" t="s">
        <v>14514</v>
      </c>
      <c r="AE2096" t="s">
        <v>13051</v>
      </c>
      <c r="AF2096" t="s">
        <v>2902</v>
      </c>
      <c r="AG2096" t="s">
        <v>1754</v>
      </c>
      <c r="AH2096">
        <v>3</v>
      </c>
      <c r="AI2096">
        <v>1</v>
      </c>
      <c r="AJ2096">
        <v>0</v>
      </c>
      <c r="AK2096">
        <v>96.08</v>
      </c>
      <c r="AN2096" t="s">
        <v>2927</v>
      </c>
      <c r="AO2096">
        <v>12000</v>
      </c>
      <c r="AS2096" t="s">
        <v>2992</v>
      </c>
      <c r="AU2096">
        <v>33.9</v>
      </c>
      <c r="AV2096" t="s">
        <v>239</v>
      </c>
      <c r="AW2096" t="s">
        <v>18668</v>
      </c>
      <c r="AX2096" t="s">
        <v>18685</v>
      </c>
    </row>
    <row r="2097" spans="1:50">
      <c r="A2097" s="1" t="s">
        <v>57</v>
      </c>
      <c r="B2097" t="s">
        <v>163</v>
      </c>
      <c r="C2097" t="s">
        <v>5307</v>
      </c>
      <c r="D2097" t="s">
        <v>183</v>
      </c>
      <c r="F2097" t="s">
        <v>7626</v>
      </c>
      <c r="G2097" t="s">
        <v>8823</v>
      </c>
      <c r="H2097" t="s">
        <v>1112</v>
      </c>
      <c r="I2097" t="s">
        <v>1602</v>
      </c>
      <c r="J2097" t="s">
        <v>1641</v>
      </c>
      <c r="K2097">
        <v>10453</v>
      </c>
      <c r="L2097" t="s">
        <v>1670</v>
      </c>
      <c r="M2097" t="s">
        <v>1670</v>
      </c>
      <c r="N2097" t="s">
        <v>1677</v>
      </c>
      <c r="O2097" t="s">
        <v>1939</v>
      </c>
      <c r="P2097" t="s">
        <v>1960</v>
      </c>
      <c r="R2097" t="s">
        <v>50</v>
      </c>
      <c r="S2097" t="s">
        <v>1670</v>
      </c>
      <c r="U2097" t="s">
        <v>1972</v>
      </c>
      <c r="W2097" t="s">
        <v>283</v>
      </c>
      <c r="X2097">
        <v>1000</v>
      </c>
      <c r="Y2097" t="s">
        <v>2006</v>
      </c>
      <c r="Z2097" t="s">
        <v>2016</v>
      </c>
      <c r="AB2097" t="s">
        <v>14513</v>
      </c>
      <c r="AD2097" t="s">
        <v>16923</v>
      </c>
      <c r="AE2097">
        <v>170</v>
      </c>
      <c r="AF2097" t="s">
        <v>2902</v>
      </c>
      <c r="AG2097" t="s">
        <v>1754</v>
      </c>
      <c r="AH2097">
        <v>9</v>
      </c>
      <c r="AI2097">
        <v>1</v>
      </c>
      <c r="AJ2097">
        <v>0</v>
      </c>
      <c r="AK2097">
        <v>96.08</v>
      </c>
      <c r="AN2097" t="s">
        <v>2927</v>
      </c>
      <c r="AO2097">
        <v>12000</v>
      </c>
      <c r="AU2097" t="s">
        <v>13051</v>
      </c>
      <c r="AW2097" t="s">
        <v>3045</v>
      </c>
    </row>
    <row r="2098" spans="1:50">
      <c r="A2098" s="1" t="s">
        <v>57</v>
      </c>
      <c r="B2098" t="s">
        <v>164</v>
      </c>
      <c r="C2098" t="s">
        <v>5308</v>
      </c>
      <c r="D2098" t="s">
        <v>1999</v>
      </c>
      <c r="E2098" t="s">
        <v>1994</v>
      </c>
      <c r="F2098" t="s">
        <v>7628</v>
      </c>
      <c r="G2098" t="s">
        <v>8826</v>
      </c>
      <c r="H2098" t="s">
        <v>10330</v>
      </c>
      <c r="I2098">
        <v>3</v>
      </c>
      <c r="J2098" t="s">
        <v>1641</v>
      </c>
      <c r="K2098">
        <v>10462</v>
      </c>
      <c r="L2098" t="s">
        <v>1670</v>
      </c>
      <c r="M2098" t="s">
        <v>1672</v>
      </c>
      <c r="P2098" t="s">
        <v>1958</v>
      </c>
      <c r="Q2098" t="s">
        <v>1965</v>
      </c>
      <c r="R2098" t="s">
        <v>50</v>
      </c>
      <c r="S2098" t="s">
        <v>1671</v>
      </c>
      <c r="U2098" t="s">
        <v>1972</v>
      </c>
      <c r="W2098" t="s">
        <v>1991</v>
      </c>
      <c r="X2098">
        <v>850</v>
      </c>
      <c r="Y2098" t="s">
        <v>2006</v>
      </c>
      <c r="Z2098" t="s">
        <v>2015</v>
      </c>
      <c r="AA2098" t="s">
        <v>2029</v>
      </c>
      <c r="AB2098" t="s">
        <v>13410</v>
      </c>
      <c r="AD2098" t="s">
        <v>16925</v>
      </c>
      <c r="AE2098">
        <v>2</v>
      </c>
      <c r="AF2098" t="s">
        <v>2904</v>
      </c>
      <c r="AG2098" t="s">
        <v>2916</v>
      </c>
      <c r="AH2098">
        <v>1</v>
      </c>
      <c r="AI2098">
        <v>1</v>
      </c>
      <c r="AJ2098">
        <v>0</v>
      </c>
      <c r="AK2098">
        <v>96.16</v>
      </c>
      <c r="AN2098" t="s">
        <v>2926</v>
      </c>
      <c r="AO2098">
        <v>12010.68</v>
      </c>
      <c r="AU2098">
        <v>4.1</v>
      </c>
      <c r="AV2098" t="s">
        <v>403</v>
      </c>
      <c r="AW2098" t="s">
        <v>3046</v>
      </c>
      <c r="AX2098" t="s">
        <v>18685</v>
      </c>
    </row>
    <row r="2099" spans="1:50">
      <c r="A2099" s="1" t="s">
        <v>105</v>
      </c>
      <c r="B2099" t="s">
        <v>163</v>
      </c>
      <c r="C2099" t="s">
        <v>5309</v>
      </c>
      <c r="D2099" t="s">
        <v>278</v>
      </c>
      <c r="F2099" t="s">
        <v>1019</v>
      </c>
      <c r="G2099" t="s">
        <v>941</v>
      </c>
      <c r="H2099" t="s">
        <v>10331</v>
      </c>
      <c r="I2099" t="s">
        <v>1622</v>
      </c>
      <c r="J2099" t="s">
        <v>1641</v>
      </c>
      <c r="K2099">
        <v>10458</v>
      </c>
      <c r="L2099" t="s">
        <v>1670</v>
      </c>
      <c r="M2099" t="s">
        <v>1670</v>
      </c>
      <c r="N2099" t="s">
        <v>12447</v>
      </c>
      <c r="O2099" t="s">
        <v>1940</v>
      </c>
      <c r="P2099" t="s">
        <v>1960</v>
      </c>
      <c r="R2099" t="s">
        <v>50</v>
      </c>
      <c r="S2099" t="s">
        <v>1671</v>
      </c>
      <c r="U2099" t="s">
        <v>1972</v>
      </c>
      <c r="V2099" t="s">
        <v>1985</v>
      </c>
      <c r="W2099" t="s">
        <v>278</v>
      </c>
      <c r="X2099" t="s">
        <v>13051</v>
      </c>
      <c r="Y2099" t="s">
        <v>2006</v>
      </c>
      <c r="Z2099" t="s">
        <v>2026</v>
      </c>
      <c r="AB2099" t="s">
        <v>14515</v>
      </c>
      <c r="AD2099" t="s">
        <v>16926</v>
      </c>
      <c r="AE2099">
        <v>69</v>
      </c>
      <c r="AF2099" t="s">
        <v>2902</v>
      </c>
      <c r="AG2099" t="s">
        <v>2915</v>
      </c>
      <c r="AH2099">
        <v>5</v>
      </c>
      <c r="AI2099">
        <v>3</v>
      </c>
      <c r="AJ2099">
        <v>0</v>
      </c>
      <c r="AK2099">
        <v>96.25</v>
      </c>
      <c r="AN2099" t="s">
        <v>2926</v>
      </c>
      <c r="AO2099">
        <v>20000</v>
      </c>
      <c r="AU2099">
        <v>123.7</v>
      </c>
      <c r="AV2099" t="s">
        <v>397</v>
      </c>
      <c r="AW2099" t="s">
        <v>3047</v>
      </c>
    </row>
    <row r="2100" spans="1:50">
      <c r="A2100" s="1" t="s">
        <v>109</v>
      </c>
      <c r="B2100" t="s">
        <v>163</v>
      </c>
      <c r="C2100" t="s">
        <v>5310</v>
      </c>
      <c r="D2100" t="s">
        <v>224</v>
      </c>
      <c r="F2100" t="s">
        <v>7629</v>
      </c>
      <c r="G2100" t="s">
        <v>8827</v>
      </c>
      <c r="H2100" t="s">
        <v>10332</v>
      </c>
      <c r="I2100" t="s">
        <v>11339</v>
      </c>
      <c r="J2100" t="s">
        <v>1646</v>
      </c>
      <c r="K2100">
        <v>10301</v>
      </c>
      <c r="L2100" t="s">
        <v>1670</v>
      </c>
      <c r="M2100" t="s">
        <v>1670</v>
      </c>
      <c r="N2100" t="s">
        <v>12448</v>
      </c>
      <c r="O2100" t="s">
        <v>1936</v>
      </c>
      <c r="P2100" t="s">
        <v>1960</v>
      </c>
      <c r="R2100" t="s">
        <v>50</v>
      </c>
      <c r="S2100" t="s">
        <v>1671</v>
      </c>
      <c r="U2100" t="s">
        <v>1972</v>
      </c>
      <c r="V2100" t="s">
        <v>1984</v>
      </c>
      <c r="W2100" t="s">
        <v>224</v>
      </c>
      <c r="X2100">
        <v>1213</v>
      </c>
      <c r="Y2100" t="s">
        <v>2010</v>
      </c>
      <c r="Z2100" t="s">
        <v>2022</v>
      </c>
      <c r="AB2100" t="s">
        <v>14516</v>
      </c>
      <c r="AD2100" t="s">
        <v>16927</v>
      </c>
      <c r="AE2100">
        <v>4</v>
      </c>
      <c r="AF2100" t="s">
        <v>2903</v>
      </c>
      <c r="AG2100" t="s">
        <v>2920</v>
      </c>
      <c r="AH2100">
        <v>2</v>
      </c>
      <c r="AI2100">
        <v>1</v>
      </c>
      <c r="AJ2100">
        <v>0</v>
      </c>
      <c r="AK2100">
        <v>96.59999999999999</v>
      </c>
      <c r="AN2100" t="s">
        <v>2926</v>
      </c>
      <c r="AO2100">
        <v>11727.12</v>
      </c>
      <c r="AU2100">
        <v>25</v>
      </c>
      <c r="AV2100" t="s">
        <v>325</v>
      </c>
      <c r="AW2100" t="s">
        <v>3072</v>
      </c>
      <c r="AX2100" t="s">
        <v>18685</v>
      </c>
    </row>
    <row r="2101" spans="1:50">
      <c r="A2101" s="1" t="s">
        <v>128</v>
      </c>
      <c r="B2101" t="s">
        <v>164</v>
      </c>
      <c r="C2101" t="s">
        <v>5311</v>
      </c>
      <c r="D2101" t="s">
        <v>348</v>
      </c>
      <c r="E2101" t="s">
        <v>377</v>
      </c>
      <c r="F2101" t="s">
        <v>7170</v>
      </c>
      <c r="G2101" t="s">
        <v>8522</v>
      </c>
      <c r="H2101" t="s">
        <v>1461</v>
      </c>
      <c r="I2101" t="s">
        <v>11340</v>
      </c>
      <c r="J2101" t="s">
        <v>1641</v>
      </c>
      <c r="K2101">
        <v>10452</v>
      </c>
      <c r="L2101" t="s">
        <v>1670</v>
      </c>
      <c r="M2101" t="s">
        <v>1670</v>
      </c>
      <c r="N2101" t="s">
        <v>1754</v>
      </c>
      <c r="O2101" t="s">
        <v>1941</v>
      </c>
      <c r="P2101" t="s">
        <v>1958</v>
      </c>
      <c r="Q2101" t="s">
        <v>1965</v>
      </c>
      <c r="R2101" t="s">
        <v>50</v>
      </c>
      <c r="S2101" t="s">
        <v>1671</v>
      </c>
      <c r="U2101" t="s">
        <v>1972</v>
      </c>
      <c r="V2101" t="s">
        <v>1984</v>
      </c>
      <c r="W2101" t="s">
        <v>342</v>
      </c>
      <c r="X2101">
        <v>13358.81</v>
      </c>
      <c r="Y2101" t="s">
        <v>2006</v>
      </c>
      <c r="Z2101" t="s">
        <v>2015</v>
      </c>
      <c r="AA2101" t="s">
        <v>2029</v>
      </c>
      <c r="AB2101" t="s">
        <v>14517</v>
      </c>
      <c r="AD2101" t="s">
        <v>16928</v>
      </c>
      <c r="AE2101" t="s">
        <v>13051</v>
      </c>
      <c r="AF2101" t="s">
        <v>2902</v>
      </c>
      <c r="AG2101" t="s">
        <v>2915</v>
      </c>
      <c r="AH2101">
        <v>11</v>
      </c>
      <c r="AI2101">
        <v>1</v>
      </c>
      <c r="AJ2101">
        <v>0</v>
      </c>
      <c r="AK2101">
        <v>96.87</v>
      </c>
      <c r="AN2101" t="s">
        <v>2926</v>
      </c>
      <c r="AO2101">
        <v>11760</v>
      </c>
      <c r="AU2101">
        <v>2.3</v>
      </c>
      <c r="AV2101" t="s">
        <v>377</v>
      </c>
      <c r="AW2101" t="s">
        <v>128</v>
      </c>
    </row>
    <row r="2102" spans="1:50">
      <c r="A2102" s="1" t="s">
        <v>126</v>
      </c>
      <c r="B2102" t="s">
        <v>163</v>
      </c>
      <c r="C2102" t="s">
        <v>5312</v>
      </c>
      <c r="D2102" t="s">
        <v>245</v>
      </c>
      <c r="F2102" t="s">
        <v>645</v>
      </c>
      <c r="G2102" t="s">
        <v>780</v>
      </c>
      <c r="H2102" t="s">
        <v>9627</v>
      </c>
      <c r="I2102" t="s">
        <v>11341</v>
      </c>
      <c r="J2102" t="s">
        <v>1641</v>
      </c>
      <c r="K2102">
        <v>10451</v>
      </c>
      <c r="L2102" t="s">
        <v>1670</v>
      </c>
      <c r="M2102" t="s">
        <v>1670</v>
      </c>
      <c r="N2102" t="s">
        <v>11981</v>
      </c>
      <c r="O2102" t="s">
        <v>1939</v>
      </c>
      <c r="P2102" t="s">
        <v>1960</v>
      </c>
      <c r="R2102" t="s">
        <v>50</v>
      </c>
      <c r="S2102" t="s">
        <v>1670</v>
      </c>
      <c r="U2102" t="s">
        <v>1972</v>
      </c>
      <c r="W2102" t="s">
        <v>359</v>
      </c>
      <c r="X2102">
        <v>900</v>
      </c>
      <c r="Y2102" t="s">
        <v>2006</v>
      </c>
      <c r="Z2102" t="s">
        <v>2015</v>
      </c>
      <c r="AB2102" t="s">
        <v>14518</v>
      </c>
      <c r="AD2102" t="s">
        <v>16929</v>
      </c>
      <c r="AE2102">
        <v>100</v>
      </c>
      <c r="AF2102" t="s">
        <v>2902</v>
      </c>
      <c r="AG2102" t="s">
        <v>2919</v>
      </c>
      <c r="AH2102">
        <v>35</v>
      </c>
      <c r="AI2102">
        <v>1</v>
      </c>
      <c r="AJ2102">
        <v>0</v>
      </c>
      <c r="AK2102">
        <v>96.93000000000001</v>
      </c>
      <c r="AN2102" t="s">
        <v>2927</v>
      </c>
      <c r="AO2102">
        <v>11767.2</v>
      </c>
      <c r="AU2102" t="s">
        <v>13051</v>
      </c>
      <c r="AW2102" t="s">
        <v>3047</v>
      </c>
    </row>
    <row r="2103" spans="1:50">
      <c r="A2103" s="1" t="s">
        <v>132</v>
      </c>
      <c r="B2103" t="s">
        <v>163</v>
      </c>
      <c r="C2103" t="s">
        <v>5313</v>
      </c>
      <c r="D2103" t="s">
        <v>289</v>
      </c>
      <c r="F2103" t="s">
        <v>687</v>
      </c>
      <c r="G2103" t="s">
        <v>839</v>
      </c>
      <c r="H2103" t="s">
        <v>1248</v>
      </c>
      <c r="I2103" t="s">
        <v>1475</v>
      </c>
      <c r="J2103" t="s">
        <v>1644</v>
      </c>
      <c r="K2103">
        <v>11213</v>
      </c>
      <c r="L2103" t="s">
        <v>1670</v>
      </c>
      <c r="M2103" t="s">
        <v>1672</v>
      </c>
      <c r="N2103" t="s">
        <v>1754</v>
      </c>
      <c r="O2103" t="s">
        <v>1937</v>
      </c>
      <c r="P2103" t="s">
        <v>1962</v>
      </c>
      <c r="R2103" t="s">
        <v>50</v>
      </c>
      <c r="S2103" t="s">
        <v>1670</v>
      </c>
      <c r="U2103" t="s">
        <v>1977</v>
      </c>
      <c r="V2103" t="s">
        <v>1984</v>
      </c>
      <c r="W2103" t="s">
        <v>266</v>
      </c>
      <c r="X2103">
        <v>1268</v>
      </c>
      <c r="Y2103" t="s">
        <v>2009</v>
      </c>
      <c r="Z2103" t="s">
        <v>2027</v>
      </c>
      <c r="AB2103" t="s">
        <v>14519</v>
      </c>
      <c r="AD2103" t="s">
        <v>16930</v>
      </c>
      <c r="AE2103">
        <v>19</v>
      </c>
      <c r="AF2103" t="s">
        <v>2902</v>
      </c>
      <c r="AG2103" t="s">
        <v>2920</v>
      </c>
      <c r="AH2103">
        <v>2</v>
      </c>
      <c r="AI2103">
        <v>2</v>
      </c>
      <c r="AJ2103">
        <v>0</v>
      </c>
      <c r="AK2103">
        <v>96.97</v>
      </c>
      <c r="AN2103" t="s">
        <v>2926</v>
      </c>
      <c r="AO2103">
        <v>16398</v>
      </c>
      <c r="AP2103" t="s">
        <v>18327</v>
      </c>
      <c r="AU2103" t="s">
        <v>13051</v>
      </c>
      <c r="AW2103" t="s">
        <v>3059</v>
      </c>
    </row>
    <row r="2104" spans="1:50">
      <c r="A2104" s="1" t="s">
        <v>129</v>
      </c>
      <c r="B2104" t="s">
        <v>163</v>
      </c>
      <c r="C2104" t="s">
        <v>5314</v>
      </c>
      <c r="D2104" t="s">
        <v>326</v>
      </c>
      <c r="F2104" t="s">
        <v>687</v>
      </c>
      <c r="G2104" t="s">
        <v>839</v>
      </c>
      <c r="H2104" t="s">
        <v>1248</v>
      </c>
      <c r="I2104" t="s">
        <v>1475</v>
      </c>
      <c r="J2104" t="s">
        <v>1644</v>
      </c>
      <c r="K2104">
        <v>11213</v>
      </c>
      <c r="L2104" t="s">
        <v>1670</v>
      </c>
      <c r="M2104" t="s">
        <v>1670</v>
      </c>
      <c r="N2104" t="s">
        <v>1754</v>
      </c>
      <c r="O2104" t="s">
        <v>1946</v>
      </c>
      <c r="P2104" t="s">
        <v>1964</v>
      </c>
      <c r="R2104" t="s">
        <v>50</v>
      </c>
      <c r="S2104" t="s">
        <v>1670</v>
      </c>
      <c r="U2104" t="s">
        <v>1978</v>
      </c>
      <c r="W2104" t="s">
        <v>326</v>
      </c>
      <c r="X2104">
        <v>1268</v>
      </c>
      <c r="Y2104" t="s">
        <v>2009</v>
      </c>
      <c r="Z2104" t="s">
        <v>2027</v>
      </c>
      <c r="AB2104" t="s">
        <v>14519</v>
      </c>
      <c r="AD2104" t="s">
        <v>16930</v>
      </c>
      <c r="AE2104">
        <v>19</v>
      </c>
      <c r="AF2104" t="s">
        <v>2902</v>
      </c>
      <c r="AG2104" t="s">
        <v>2920</v>
      </c>
      <c r="AH2104">
        <v>2</v>
      </c>
      <c r="AI2104">
        <v>2</v>
      </c>
      <c r="AJ2104">
        <v>0</v>
      </c>
      <c r="AK2104">
        <v>96.97</v>
      </c>
      <c r="AN2104" t="s">
        <v>2926</v>
      </c>
      <c r="AO2104">
        <v>16398</v>
      </c>
      <c r="AU2104">
        <v>1.75</v>
      </c>
      <c r="AV2104" t="s">
        <v>389</v>
      </c>
      <c r="AW2104" t="s">
        <v>3059</v>
      </c>
    </row>
    <row r="2105" spans="1:50">
      <c r="A2105" s="1" t="s">
        <v>54</v>
      </c>
      <c r="B2105" t="s">
        <v>164</v>
      </c>
      <c r="C2105" t="s">
        <v>5315</v>
      </c>
      <c r="D2105" t="s">
        <v>201</v>
      </c>
      <c r="E2105" t="s">
        <v>228</v>
      </c>
      <c r="F2105" t="s">
        <v>7170</v>
      </c>
      <c r="G2105" t="s">
        <v>833</v>
      </c>
      <c r="H2105" t="s">
        <v>9541</v>
      </c>
      <c r="I2105">
        <v>41</v>
      </c>
      <c r="J2105" t="s">
        <v>1643</v>
      </c>
      <c r="K2105">
        <v>10034</v>
      </c>
      <c r="L2105" t="s">
        <v>1670</v>
      </c>
      <c r="M2105" t="s">
        <v>1670</v>
      </c>
      <c r="O2105" t="s">
        <v>1936</v>
      </c>
      <c r="P2105" t="s">
        <v>1958</v>
      </c>
      <c r="Q2105" t="s">
        <v>1965</v>
      </c>
      <c r="R2105" t="s">
        <v>50</v>
      </c>
      <c r="S2105" t="s">
        <v>1671</v>
      </c>
      <c r="U2105" t="s">
        <v>1972</v>
      </c>
      <c r="W2105" t="s">
        <v>201</v>
      </c>
      <c r="X2105">
        <v>767.76</v>
      </c>
      <c r="Y2105" t="s">
        <v>2008</v>
      </c>
      <c r="Z2105" t="s">
        <v>2020</v>
      </c>
      <c r="AA2105" t="s">
        <v>2029</v>
      </c>
      <c r="AB2105" t="s">
        <v>14520</v>
      </c>
      <c r="AD2105" t="s">
        <v>16931</v>
      </c>
      <c r="AE2105">
        <v>20</v>
      </c>
      <c r="AF2105" t="s">
        <v>2902</v>
      </c>
      <c r="AG2105" t="s">
        <v>2919</v>
      </c>
      <c r="AH2105">
        <v>40</v>
      </c>
      <c r="AI2105">
        <v>2</v>
      </c>
      <c r="AJ2105">
        <v>0</v>
      </c>
      <c r="AK2105">
        <v>97.17</v>
      </c>
      <c r="AN2105" t="s">
        <v>2926</v>
      </c>
      <c r="AO2105">
        <v>15994.75</v>
      </c>
      <c r="AU2105">
        <v>2</v>
      </c>
      <c r="AV2105" t="s">
        <v>241</v>
      </c>
      <c r="AW2105" t="s">
        <v>3042</v>
      </c>
      <c r="AX2105" t="s">
        <v>18685</v>
      </c>
    </row>
    <row r="2106" spans="1:50">
      <c r="A2106" s="1" t="s">
        <v>101</v>
      </c>
      <c r="B2106" t="s">
        <v>164</v>
      </c>
      <c r="C2106" t="s">
        <v>5316</v>
      </c>
      <c r="D2106" t="s">
        <v>238</v>
      </c>
      <c r="E2106" t="s">
        <v>243</v>
      </c>
      <c r="F2106" t="s">
        <v>7498</v>
      </c>
      <c r="G2106" t="s">
        <v>8828</v>
      </c>
      <c r="H2106" t="s">
        <v>9636</v>
      </c>
      <c r="I2106" t="s">
        <v>1525</v>
      </c>
      <c r="J2106" t="s">
        <v>1643</v>
      </c>
      <c r="K2106">
        <v>10040</v>
      </c>
      <c r="L2106" t="s">
        <v>1670</v>
      </c>
      <c r="M2106" t="s">
        <v>1670</v>
      </c>
      <c r="O2106" t="s">
        <v>1944</v>
      </c>
      <c r="P2106" t="s">
        <v>1961</v>
      </c>
      <c r="Q2106" t="s">
        <v>1966</v>
      </c>
      <c r="R2106" t="s">
        <v>50</v>
      </c>
      <c r="S2106" t="s">
        <v>1671</v>
      </c>
      <c r="U2106" t="s">
        <v>1976</v>
      </c>
      <c r="V2106" t="s">
        <v>1984</v>
      </c>
      <c r="W2106" t="s">
        <v>306</v>
      </c>
      <c r="X2106">
        <v>1165.99</v>
      </c>
      <c r="Y2106" t="s">
        <v>2008</v>
      </c>
      <c r="Z2106" t="s">
        <v>2013</v>
      </c>
      <c r="AA2106" t="s">
        <v>2039</v>
      </c>
      <c r="AB2106" t="s">
        <v>14521</v>
      </c>
      <c r="AD2106" t="s">
        <v>16932</v>
      </c>
      <c r="AE2106">
        <v>42</v>
      </c>
      <c r="AF2106" t="s">
        <v>2902</v>
      </c>
      <c r="AG2106" t="s">
        <v>1754</v>
      </c>
      <c r="AH2106">
        <v>29</v>
      </c>
      <c r="AI2106">
        <v>2</v>
      </c>
      <c r="AJ2106">
        <v>0</v>
      </c>
      <c r="AK2106">
        <v>97.18000000000001</v>
      </c>
      <c r="AL2106" t="s">
        <v>18029</v>
      </c>
      <c r="AM2106" t="s">
        <v>18032</v>
      </c>
      <c r="AN2106" t="s">
        <v>2926</v>
      </c>
      <c r="AO2106">
        <v>15996</v>
      </c>
      <c r="AS2106" t="s">
        <v>2992</v>
      </c>
      <c r="AT2106" t="s">
        <v>18581</v>
      </c>
      <c r="AU2106">
        <v>0.2</v>
      </c>
      <c r="AV2106" t="s">
        <v>306</v>
      </c>
      <c r="AW2106" t="s">
        <v>3051</v>
      </c>
      <c r="AX2106" t="s">
        <v>18685</v>
      </c>
    </row>
    <row r="2107" spans="1:50">
      <c r="A2107" s="1" t="s">
        <v>62</v>
      </c>
      <c r="B2107" t="s">
        <v>163</v>
      </c>
      <c r="C2107" t="s">
        <v>5317</v>
      </c>
      <c r="D2107" t="s">
        <v>6198</v>
      </c>
      <c r="F2107" t="s">
        <v>7569</v>
      </c>
      <c r="G2107" t="s">
        <v>7973</v>
      </c>
      <c r="H2107" t="s">
        <v>9933</v>
      </c>
      <c r="I2107" t="s">
        <v>11209</v>
      </c>
      <c r="J2107" t="s">
        <v>1644</v>
      </c>
      <c r="K2107">
        <v>11226</v>
      </c>
      <c r="L2107" t="s">
        <v>1670</v>
      </c>
      <c r="M2107" t="s">
        <v>1670</v>
      </c>
      <c r="O2107" t="s">
        <v>1941</v>
      </c>
      <c r="P2107" t="s">
        <v>1960</v>
      </c>
      <c r="R2107" t="s">
        <v>50</v>
      </c>
      <c r="S2107" t="s">
        <v>1670</v>
      </c>
      <c r="U2107" t="s">
        <v>1972</v>
      </c>
      <c r="W2107" t="s">
        <v>252</v>
      </c>
      <c r="X2107" t="s">
        <v>13051</v>
      </c>
      <c r="Y2107" t="s">
        <v>2009</v>
      </c>
      <c r="Z2107" t="s">
        <v>2015</v>
      </c>
      <c r="AB2107" t="s">
        <v>14410</v>
      </c>
      <c r="AE2107">
        <v>61</v>
      </c>
      <c r="AF2107" t="s">
        <v>2902</v>
      </c>
      <c r="AH2107" t="s">
        <v>13051</v>
      </c>
      <c r="AI2107">
        <v>2</v>
      </c>
      <c r="AJ2107">
        <v>0</v>
      </c>
      <c r="AK2107">
        <v>97.18000000000001</v>
      </c>
      <c r="AN2107" t="s">
        <v>2926</v>
      </c>
      <c r="AO2107">
        <v>27780</v>
      </c>
      <c r="AU2107">
        <v>1.1</v>
      </c>
      <c r="AV2107" t="s">
        <v>6157</v>
      </c>
      <c r="AW2107" t="s">
        <v>3079</v>
      </c>
    </row>
    <row r="2108" spans="1:50">
      <c r="A2108" s="1" t="s">
        <v>98</v>
      </c>
      <c r="B2108" t="s">
        <v>163</v>
      </c>
      <c r="C2108" t="s">
        <v>5318</v>
      </c>
      <c r="D2108" t="s">
        <v>291</v>
      </c>
      <c r="F2108" t="s">
        <v>7007</v>
      </c>
      <c r="G2108" t="s">
        <v>8619</v>
      </c>
      <c r="H2108" t="s">
        <v>10333</v>
      </c>
      <c r="I2108" t="s">
        <v>1477</v>
      </c>
      <c r="J2108" t="s">
        <v>1641</v>
      </c>
      <c r="K2108">
        <v>10468</v>
      </c>
      <c r="L2108" t="s">
        <v>1670</v>
      </c>
      <c r="M2108" t="s">
        <v>1672</v>
      </c>
      <c r="O2108" t="s">
        <v>1675</v>
      </c>
      <c r="P2108" t="s">
        <v>1958</v>
      </c>
      <c r="R2108" t="s">
        <v>50</v>
      </c>
      <c r="S2108" t="s">
        <v>1671</v>
      </c>
      <c r="U2108" t="s">
        <v>1972</v>
      </c>
      <c r="W2108" t="s">
        <v>1994</v>
      </c>
      <c r="X2108">
        <v>340</v>
      </c>
      <c r="Y2108" t="s">
        <v>2006</v>
      </c>
      <c r="Z2108" t="s">
        <v>2028</v>
      </c>
      <c r="AB2108" t="s">
        <v>14522</v>
      </c>
      <c r="AC2108" t="s">
        <v>15253</v>
      </c>
      <c r="AD2108" t="s">
        <v>16933</v>
      </c>
      <c r="AE2108" t="s">
        <v>13051</v>
      </c>
      <c r="AF2108" t="s">
        <v>2902</v>
      </c>
      <c r="AG2108" t="s">
        <v>2915</v>
      </c>
      <c r="AH2108">
        <v>3</v>
      </c>
      <c r="AI2108">
        <v>2</v>
      </c>
      <c r="AJ2108">
        <v>0</v>
      </c>
      <c r="AK2108">
        <v>97.29000000000001</v>
      </c>
      <c r="AN2108" t="s">
        <v>2926</v>
      </c>
      <c r="AO2108">
        <v>16452</v>
      </c>
      <c r="AU2108">
        <v>2.9</v>
      </c>
      <c r="AV2108" t="s">
        <v>230</v>
      </c>
      <c r="AW2108" t="s">
        <v>98</v>
      </c>
      <c r="AX2108" t="s">
        <v>18686</v>
      </c>
    </row>
    <row r="2109" spans="1:50">
      <c r="A2109" s="1" t="s">
        <v>115</v>
      </c>
      <c r="B2109" t="s">
        <v>164</v>
      </c>
      <c r="C2109" t="s">
        <v>5319</v>
      </c>
      <c r="D2109" t="s">
        <v>331</v>
      </c>
      <c r="E2109" t="s">
        <v>3036</v>
      </c>
      <c r="F2109" t="s">
        <v>7630</v>
      </c>
      <c r="G2109" t="s">
        <v>843</v>
      </c>
      <c r="H2109" t="s">
        <v>1234</v>
      </c>
      <c r="J2109" t="s">
        <v>1641</v>
      </c>
      <c r="K2109">
        <v>10452</v>
      </c>
      <c r="L2109" t="s">
        <v>1670</v>
      </c>
      <c r="M2109" t="s">
        <v>1670</v>
      </c>
      <c r="O2109" t="s">
        <v>1945</v>
      </c>
      <c r="P2109" t="s">
        <v>1959</v>
      </c>
      <c r="Q2109" t="s">
        <v>1970</v>
      </c>
      <c r="R2109" t="s">
        <v>50</v>
      </c>
      <c r="S2109" t="s">
        <v>1671</v>
      </c>
      <c r="U2109" t="s">
        <v>1980</v>
      </c>
      <c r="W2109" t="s">
        <v>1990</v>
      </c>
      <c r="X2109">
        <v>700.84</v>
      </c>
      <c r="Y2109" t="s">
        <v>2006</v>
      </c>
      <c r="Z2109" t="s">
        <v>2020</v>
      </c>
      <c r="AA2109" t="s">
        <v>2030</v>
      </c>
      <c r="AB2109" t="s">
        <v>14523</v>
      </c>
      <c r="AD2109" t="s">
        <v>16934</v>
      </c>
      <c r="AE2109">
        <v>122</v>
      </c>
      <c r="AF2109" t="s">
        <v>2902</v>
      </c>
      <c r="AG2109" t="s">
        <v>2919</v>
      </c>
      <c r="AH2109">
        <v>26</v>
      </c>
      <c r="AI2109">
        <v>1</v>
      </c>
      <c r="AJ2109">
        <v>0</v>
      </c>
      <c r="AK2109">
        <v>97.44</v>
      </c>
      <c r="AN2109" t="s">
        <v>2926</v>
      </c>
      <c r="AO2109">
        <v>11829.6</v>
      </c>
      <c r="AU2109">
        <v>10.1</v>
      </c>
      <c r="AV2109" t="s">
        <v>3036</v>
      </c>
      <c r="AW2109" t="s">
        <v>115</v>
      </c>
    </row>
    <row r="2110" spans="1:50">
      <c r="A2110" s="1" t="s">
        <v>82</v>
      </c>
      <c r="B2110" t="s">
        <v>163</v>
      </c>
      <c r="C2110" t="s">
        <v>5320</v>
      </c>
      <c r="D2110" t="s">
        <v>1999</v>
      </c>
      <c r="F2110" t="s">
        <v>7631</v>
      </c>
      <c r="G2110" t="s">
        <v>8829</v>
      </c>
      <c r="H2110" t="s">
        <v>1144</v>
      </c>
      <c r="I2110" t="s">
        <v>11221</v>
      </c>
      <c r="J2110" t="s">
        <v>1644</v>
      </c>
      <c r="K2110">
        <v>11233</v>
      </c>
      <c r="L2110" t="s">
        <v>1670</v>
      </c>
      <c r="M2110" t="s">
        <v>1672</v>
      </c>
      <c r="O2110" t="s">
        <v>1937</v>
      </c>
      <c r="P2110" t="s">
        <v>1962</v>
      </c>
      <c r="R2110" t="s">
        <v>50</v>
      </c>
      <c r="S2110" t="s">
        <v>1670</v>
      </c>
      <c r="U2110" t="s">
        <v>1972</v>
      </c>
      <c r="V2110" t="s">
        <v>1984</v>
      </c>
      <c r="W2110" t="s">
        <v>221</v>
      </c>
      <c r="X2110">
        <v>1041.4</v>
      </c>
      <c r="Y2110" t="s">
        <v>2009</v>
      </c>
      <c r="Z2110" t="s">
        <v>2017</v>
      </c>
      <c r="AB2110" t="s">
        <v>14524</v>
      </c>
      <c r="AE2110">
        <v>359</v>
      </c>
      <c r="AF2110" t="s">
        <v>2902</v>
      </c>
      <c r="AH2110">
        <v>18</v>
      </c>
      <c r="AI2110">
        <v>2</v>
      </c>
      <c r="AJ2110">
        <v>0</v>
      </c>
      <c r="AK2110">
        <v>97.5</v>
      </c>
      <c r="AN2110" t="s">
        <v>2926</v>
      </c>
      <c r="AO2110">
        <v>16488</v>
      </c>
      <c r="AP2110" t="s">
        <v>18328</v>
      </c>
      <c r="AU2110" t="s">
        <v>13051</v>
      </c>
      <c r="AW2110" t="s">
        <v>3059</v>
      </c>
      <c r="AX2110" t="s">
        <v>1754</v>
      </c>
    </row>
    <row r="2111" spans="1:50">
      <c r="A2111" s="1" t="s">
        <v>82</v>
      </c>
      <c r="B2111" t="s">
        <v>163</v>
      </c>
      <c r="C2111" t="s">
        <v>5321</v>
      </c>
      <c r="D2111" t="s">
        <v>1999</v>
      </c>
      <c r="F2111" t="s">
        <v>7631</v>
      </c>
      <c r="G2111" t="s">
        <v>8829</v>
      </c>
      <c r="H2111" t="s">
        <v>1144</v>
      </c>
      <c r="I2111" t="s">
        <v>11221</v>
      </c>
      <c r="J2111" t="s">
        <v>1644</v>
      </c>
      <c r="K2111">
        <v>11233</v>
      </c>
      <c r="L2111" t="s">
        <v>1670</v>
      </c>
      <c r="M2111" t="s">
        <v>1672</v>
      </c>
      <c r="O2111" t="s">
        <v>1938</v>
      </c>
      <c r="P2111" t="s">
        <v>1961</v>
      </c>
      <c r="R2111" t="s">
        <v>50</v>
      </c>
      <c r="S2111" t="s">
        <v>1670</v>
      </c>
      <c r="U2111" t="s">
        <v>1972</v>
      </c>
      <c r="V2111" t="s">
        <v>1984</v>
      </c>
      <c r="W2111" t="s">
        <v>248</v>
      </c>
      <c r="X2111">
        <v>1041.4</v>
      </c>
      <c r="Y2111" t="s">
        <v>2009</v>
      </c>
      <c r="Z2111" t="s">
        <v>2017</v>
      </c>
      <c r="AB2111" t="s">
        <v>14524</v>
      </c>
      <c r="AE2111">
        <v>359</v>
      </c>
      <c r="AF2111" t="s">
        <v>2902</v>
      </c>
      <c r="AH2111">
        <v>18</v>
      </c>
      <c r="AI2111">
        <v>2</v>
      </c>
      <c r="AJ2111">
        <v>0</v>
      </c>
      <c r="AK2111">
        <v>97.5</v>
      </c>
      <c r="AN2111" t="s">
        <v>2926</v>
      </c>
      <c r="AO2111">
        <v>16488</v>
      </c>
      <c r="AP2111" t="s">
        <v>18071</v>
      </c>
      <c r="AU2111" t="s">
        <v>13051</v>
      </c>
      <c r="AW2111" t="s">
        <v>3059</v>
      </c>
      <c r="AX2111" t="s">
        <v>1754</v>
      </c>
    </row>
    <row r="2112" spans="1:50">
      <c r="A2112" s="1" t="s">
        <v>104</v>
      </c>
      <c r="B2112" t="s">
        <v>164</v>
      </c>
      <c r="C2112" t="s">
        <v>5322</v>
      </c>
      <c r="D2112" t="s">
        <v>260</v>
      </c>
      <c r="E2112" t="s">
        <v>370</v>
      </c>
      <c r="F2112" t="s">
        <v>7077</v>
      </c>
      <c r="G2112" t="s">
        <v>8619</v>
      </c>
      <c r="H2112" t="s">
        <v>9606</v>
      </c>
      <c r="I2112">
        <v>3001</v>
      </c>
      <c r="J2112" t="s">
        <v>1646</v>
      </c>
      <c r="K2112">
        <v>10304</v>
      </c>
      <c r="L2112" t="s">
        <v>1670</v>
      </c>
      <c r="M2112" t="s">
        <v>1670</v>
      </c>
      <c r="N2112" t="s">
        <v>12449</v>
      </c>
      <c r="O2112" t="s">
        <v>1940</v>
      </c>
      <c r="P2112" t="s">
        <v>1962</v>
      </c>
      <c r="Q2112" t="s">
        <v>1968</v>
      </c>
      <c r="R2112" t="s">
        <v>50</v>
      </c>
      <c r="S2112" t="s">
        <v>1671</v>
      </c>
      <c r="U2112" t="s">
        <v>1972</v>
      </c>
      <c r="V2112" t="s">
        <v>1984</v>
      </c>
      <c r="W2112" t="s">
        <v>260</v>
      </c>
      <c r="X2112">
        <v>867</v>
      </c>
      <c r="Y2112" t="s">
        <v>2010</v>
      </c>
      <c r="Z2112" t="s">
        <v>2028</v>
      </c>
      <c r="AA2112" t="s">
        <v>2029</v>
      </c>
      <c r="AB2112" t="s">
        <v>14525</v>
      </c>
      <c r="AD2112" t="s">
        <v>16935</v>
      </c>
      <c r="AE2112">
        <v>104</v>
      </c>
      <c r="AF2112" t="s">
        <v>2902</v>
      </c>
      <c r="AG2112" t="s">
        <v>2915</v>
      </c>
      <c r="AH2112">
        <v>2</v>
      </c>
      <c r="AI2112">
        <v>1</v>
      </c>
      <c r="AJ2112">
        <v>0</v>
      </c>
      <c r="AK2112">
        <v>97.55</v>
      </c>
      <c r="AN2112" t="s">
        <v>2926</v>
      </c>
      <c r="AO2112">
        <v>11843</v>
      </c>
      <c r="AU2112">
        <v>5.2</v>
      </c>
      <c r="AV2112" t="s">
        <v>352</v>
      </c>
      <c r="AW2112" t="s">
        <v>18666</v>
      </c>
    </row>
    <row r="2113" spans="1:50">
      <c r="A2113" s="1" t="s">
        <v>61</v>
      </c>
      <c r="B2113" t="s">
        <v>163</v>
      </c>
      <c r="C2113" t="s">
        <v>5323</v>
      </c>
      <c r="D2113" t="s">
        <v>322</v>
      </c>
      <c r="F2113" t="s">
        <v>7267</v>
      </c>
      <c r="G2113" t="s">
        <v>1048</v>
      </c>
      <c r="H2113" t="s">
        <v>9801</v>
      </c>
      <c r="J2113" t="s">
        <v>1644</v>
      </c>
      <c r="K2113">
        <v>11231</v>
      </c>
      <c r="L2113" t="s">
        <v>1670</v>
      </c>
      <c r="M2113" t="s">
        <v>1670</v>
      </c>
      <c r="P2113" t="s">
        <v>1961</v>
      </c>
      <c r="R2113" t="s">
        <v>50</v>
      </c>
      <c r="U2113" t="s">
        <v>1972</v>
      </c>
      <c r="W2113" t="s">
        <v>322</v>
      </c>
      <c r="X2113" t="s">
        <v>13051</v>
      </c>
      <c r="Y2113" t="s">
        <v>2009</v>
      </c>
      <c r="AB2113" t="s">
        <v>13781</v>
      </c>
      <c r="AD2113" t="s">
        <v>16228</v>
      </c>
      <c r="AE2113" t="s">
        <v>13051</v>
      </c>
      <c r="AH2113" t="s">
        <v>13051</v>
      </c>
      <c r="AI2113">
        <v>2</v>
      </c>
      <c r="AJ2113">
        <v>0</v>
      </c>
      <c r="AK2113">
        <v>97.76000000000001</v>
      </c>
      <c r="AN2113" t="s">
        <v>2926</v>
      </c>
      <c r="AO2113">
        <v>16532</v>
      </c>
      <c r="AU2113">
        <v>0.3</v>
      </c>
      <c r="AV2113" t="s">
        <v>397</v>
      </c>
      <c r="AW2113" t="s">
        <v>158</v>
      </c>
    </row>
    <row r="2114" spans="1:50">
      <c r="A2114" s="1" t="s">
        <v>74</v>
      </c>
      <c r="B2114" t="s">
        <v>163</v>
      </c>
      <c r="C2114" t="s">
        <v>5324</v>
      </c>
      <c r="D2114" t="s">
        <v>191</v>
      </c>
      <c r="F2114" t="s">
        <v>6906</v>
      </c>
      <c r="G2114" t="s">
        <v>8268</v>
      </c>
      <c r="H2114" t="s">
        <v>1131</v>
      </c>
      <c r="I2114" t="s">
        <v>11342</v>
      </c>
      <c r="J2114" t="s">
        <v>1641</v>
      </c>
      <c r="K2114">
        <v>10460</v>
      </c>
      <c r="L2114" t="s">
        <v>1670</v>
      </c>
      <c r="M2114" t="s">
        <v>1672</v>
      </c>
      <c r="N2114" t="s">
        <v>1691</v>
      </c>
      <c r="O2114" t="s">
        <v>1675</v>
      </c>
      <c r="P2114" t="s">
        <v>1959</v>
      </c>
      <c r="R2114" t="s">
        <v>50</v>
      </c>
      <c r="S2114" t="s">
        <v>1670</v>
      </c>
      <c r="U2114" t="s">
        <v>1972</v>
      </c>
      <c r="W2114" t="s">
        <v>1991</v>
      </c>
      <c r="X2114">
        <v>397</v>
      </c>
      <c r="Y2114" t="s">
        <v>2006</v>
      </c>
      <c r="Z2114" t="s">
        <v>2015</v>
      </c>
      <c r="AB2114" t="s">
        <v>14526</v>
      </c>
      <c r="AD2114" t="s">
        <v>16936</v>
      </c>
      <c r="AE2114">
        <v>168</v>
      </c>
      <c r="AF2114" t="s">
        <v>2902</v>
      </c>
      <c r="AG2114" t="s">
        <v>2915</v>
      </c>
      <c r="AH2114">
        <v>5</v>
      </c>
      <c r="AI2114">
        <v>1</v>
      </c>
      <c r="AJ2114">
        <v>0</v>
      </c>
      <c r="AK2114">
        <v>98.19</v>
      </c>
      <c r="AN2114" t="s">
        <v>2927</v>
      </c>
      <c r="AO2114">
        <v>12264</v>
      </c>
      <c r="AU2114" t="s">
        <v>13051</v>
      </c>
      <c r="AW2114" t="s">
        <v>3054</v>
      </c>
      <c r="AX2114" t="s">
        <v>18685</v>
      </c>
    </row>
    <row r="2115" spans="1:50">
      <c r="A2115" s="1" t="s">
        <v>73</v>
      </c>
      <c r="B2115" t="s">
        <v>163</v>
      </c>
      <c r="C2115" t="s">
        <v>5325</v>
      </c>
      <c r="D2115" t="s">
        <v>339</v>
      </c>
      <c r="F2115" t="s">
        <v>588</v>
      </c>
      <c r="G2115" t="s">
        <v>558</v>
      </c>
      <c r="H2115" t="s">
        <v>10334</v>
      </c>
      <c r="I2115" t="s">
        <v>1486</v>
      </c>
      <c r="J2115" t="s">
        <v>11748</v>
      </c>
      <c r="K2115">
        <v>11365</v>
      </c>
      <c r="L2115" t="s">
        <v>1670</v>
      </c>
      <c r="M2115" t="s">
        <v>1670</v>
      </c>
      <c r="N2115" t="s">
        <v>12450</v>
      </c>
      <c r="O2115" t="s">
        <v>1940</v>
      </c>
      <c r="P2115" t="s">
        <v>1960</v>
      </c>
      <c r="R2115" t="s">
        <v>50</v>
      </c>
      <c r="S2115" t="s">
        <v>1671</v>
      </c>
      <c r="U2115" t="s">
        <v>1972</v>
      </c>
      <c r="W2115" t="s">
        <v>339</v>
      </c>
      <c r="X2115">
        <v>1350</v>
      </c>
      <c r="Y2115" t="s">
        <v>2007</v>
      </c>
      <c r="Z2115" t="s">
        <v>2014</v>
      </c>
      <c r="AB2115" t="s">
        <v>13892</v>
      </c>
      <c r="AD2115" t="s">
        <v>16937</v>
      </c>
      <c r="AE2115" t="s">
        <v>13051</v>
      </c>
      <c r="AF2115" t="s">
        <v>2904</v>
      </c>
      <c r="AG2115" t="s">
        <v>1754</v>
      </c>
      <c r="AH2115">
        <v>23</v>
      </c>
      <c r="AI2115">
        <v>3</v>
      </c>
      <c r="AJ2115">
        <v>0</v>
      </c>
      <c r="AK2115">
        <v>98.45</v>
      </c>
      <c r="AN2115" t="s">
        <v>2926</v>
      </c>
      <c r="AO2115">
        <v>21000</v>
      </c>
      <c r="AU2115">
        <v>12.45</v>
      </c>
      <c r="AV2115" t="s">
        <v>289</v>
      </c>
      <c r="AW2115" t="s">
        <v>3044</v>
      </c>
      <c r="AX2115" t="s">
        <v>18685</v>
      </c>
    </row>
    <row r="2116" spans="1:50">
      <c r="A2116" s="1" t="s">
        <v>3198</v>
      </c>
      <c r="B2116" t="s">
        <v>164</v>
      </c>
      <c r="C2116" t="s">
        <v>5326</v>
      </c>
      <c r="D2116" t="s">
        <v>6199</v>
      </c>
      <c r="E2116" t="s">
        <v>378</v>
      </c>
      <c r="F2116" t="s">
        <v>553</v>
      </c>
      <c r="G2116" t="s">
        <v>8682</v>
      </c>
      <c r="H2116" t="s">
        <v>10335</v>
      </c>
      <c r="I2116">
        <v>2</v>
      </c>
      <c r="J2116" t="s">
        <v>1644</v>
      </c>
      <c r="K2116">
        <v>11207</v>
      </c>
      <c r="L2116" t="s">
        <v>1670</v>
      </c>
      <c r="M2116" t="s">
        <v>1670</v>
      </c>
      <c r="O2116" t="s">
        <v>1675</v>
      </c>
      <c r="P2116" t="s">
        <v>1958</v>
      </c>
      <c r="Q2116" t="s">
        <v>1965</v>
      </c>
      <c r="R2116" t="s">
        <v>50</v>
      </c>
      <c r="S2116" t="s">
        <v>1671</v>
      </c>
      <c r="U2116" t="s">
        <v>1972</v>
      </c>
      <c r="W2116" t="s">
        <v>273</v>
      </c>
      <c r="X2116">
        <v>1750</v>
      </c>
      <c r="Y2116" t="s">
        <v>2009</v>
      </c>
      <c r="Z2116" t="s">
        <v>2020</v>
      </c>
      <c r="AA2116" t="s">
        <v>2029</v>
      </c>
      <c r="AB2116" t="s">
        <v>14527</v>
      </c>
      <c r="AD2116" t="s">
        <v>16938</v>
      </c>
      <c r="AE2116">
        <v>2</v>
      </c>
      <c r="AF2116" t="s">
        <v>2904</v>
      </c>
      <c r="AG2116" t="s">
        <v>2915</v>
      </c>
      <c r="AH2116">
        <v>18</v>
      </c>
      <c r="AI2116">
        <v>1</v>
      </c>
      <c r="AJ2116">
        <v>0</v>
      </c>
      <c r="AK2116">
        <v>98.51000000000001</v>
      </c>
      <c r="AN2116" t="s">
        <v>2926</v>
      </c>
      <c r="AO2116">
        <v>11880</v>
      </c>
      <c r="AP2116" t="s">
        <v>2948</v>
      </c>
      <c r="AU2116">
        <v>1</v>
      </c>
      <c r="AV2116" t="s">
        <v>18649</v>
      </c>
      <c r="AW2116" t="s">
        <v>3083</v>
      </c>
    </row>
    <row r="2117" spans="1:50">
      <c r="A2117" s="1" t="s">
        <v>115</v>
      </c>
      <c r="B2117" t="s">
        <v>164</v>
      </c>
      <c r="C2117" t="s">
        <v>5327</v>
      </c>
      <c r="D2117" t="s">
        <v>292</v>
      </c>
      <c r="E2117" t="s">
        <v>376</v>
      </c>
      <c r="F2117" t="s">
        <v>7632</v>
      </c>
      <c r="G2117" t="s">
        <v>8830</v>
      </c>
      <c r="H2117" t="s">
        <v>10336</v>
      </c>
      <c r="I2117" t="s">
        <v>1508</v>
      </c>
      <c r="J2117" t="s">
        <v>1641</v>
      </c>
      <c r="K2117">
        <v>10452</v>
      </c>
      <c r="L2117" t="s">
        <v>1670</v>
      </c>
      <c r="M2117" t="s">
        <v>1670</v>
      </c>
      <c r="O2117" t="s">
        <v>1675</v>
      </c>
      <c r="P2117" t="s">
        <v>1958</v>
      </c>
      <c r="Q2117" t="s">
        <v>1965</v>
      </c>
      <c r="R2117" t="s">
        <v>50</v>
      </c>
      <c r="S2117" t="s">
        <v>1671</v>
      </c>
      <c r="U2117" t="s">
        <v>1972</v>
      </c>
      <c r="W2117" t="s">
        <v>292</v>
      </c>
      <c r="X2117">
        <v>1413.65</v>
      </c>
      <c r="Y2117" t="s">
        <v>2006</v>
      </c>
      <c r="Z2117" t="s">
        <v>2015</v>
      </c>
      <c r="AA2117" t="s">
        <v>2029</v>
      </c>
      <c r="AB2117" t="s">
        <v>14528</v>
      </c>
      <c r="AD2117" t="s">
        <v>16939</v>
      </c>
      <c r="AE2117">
        <v>129</v>
      </c>
      <c r="AF2117" t="s">
        <v>2902</v>
      </c>
      <c r="AG2117" t="s">
        <v>2918</v>
      </c>
      <c r="AH2117">
        <v>4</v>
      </c>
      <c r="AI2117">
        <v>1</v>
      </c>
      <c r="AJ2117">
        <v>0</v>
      </c>
      <c r="AK2117">
        <v>98.52</v>
      </c>
      <c r="AN2117" t="s">
        <v>2927</v>
      </c>
      <c r="AO2117">
        <v>11960</v>
      </c>
      <c r="AU2117">
        <v>1.4</v>
      </c>
      <c r="AV2117" t="s">
        <v>376</v>
      </c>
      <c r="AW2117" t="s">
        <v>115</v>
      </c>
    </row>
    <row r="2118" spans="1:50">
      <c r="A2118" s="1" t="s">
        <v>97</v>
      </c>
      <c r="B2118" t="s">
        <v>163</v>
      </c>
      <c r="C2118" t="s">
        <v>5328</v>
      </c>
      <c r="D2118" t="s">
        <v>321</v>
      </c>
      <c r="F2118" t="s">
        <v>7633</v>
      </c>
      <c r="G2118" t="s">
        <v>769</v>
      </c>
      <c r="H2118" t="s">
        <v>10337</v>
      </c>
      <c r="I2118" t="s">
        <v>11024</v>
      </c>
      <c r="J2118" t="s">
        <v>1643</v>
      </c>
      <c r="K2118">
        <v>10034</v>
      </c>
      <c r="L2118" t="s">
        <v>1670</v>
      </c>
      <c r="M2118" t="s">
        <v>1670</v>
      </c>
      <c r="O2118" t="s">
        <v>1675</v>
      </c>
      <c r="P2118" t="s">
        <v>1962</v>
      </c>
      <c r="R2118" t="s">
        <v>50</v>
      </c>
      <c r="S2118" t="s">
        <v>1671</v>
      </c>
      <c r="U2118" t="s">
        <v>1972</v>
      </c>
      <c r="W2118" t="s">
        <v>321</v>
      </c>
      <c r="X2118">
        <v>1044.25</v>
      </c>
      <c r="Y2118" t="s">
        <v>2008</v>
      </c>
      <c r="Z2118" t="s">
        <v>2020</v>
      </c>
      <c r="AB2118" t="s">
        <v>14529</v>
      </c>
      <c r="AD2118" t="s">
        <v>16940</v>
      </c>
      <c r="AE2118">
        <v>73</v>
      </c>
      <c r="AF2118" t="s">
        <v>2902</v>
      </c>
      <c r="AG2118" t="s">
        <v>1754</v>
      </c>
      <c r="AH2118">
        <v>43</v>
      </c>
      <c r="AI2118">
        <v>2</v>
      </c>
      <c r="AJ2118">
        <v>0</v>
      </c>
      <c r="AK2118">
        <v>98.56999999999999</v>
      </c>
      <c r="AN2118" t="s">
        <v>2927</v>
      </c>
      <c r="AO2118">
        <v>16224</v>
      </c>
      <c r="AU2118">
        <v>1.6</v>
      </c>
      <c r="AV2118" t="s">
        <v>323</v>
      </c>
      <c r="AW2118" t="s">
        <v>3042</v>
      </c>
      <c r="AX2118" t="s">
        <v>18685</v>
      </c>
    </row>
    <row r="2119" spans="1:50">
      <c r="A2119" s="1" t="s">
        <v>135</v>
      </c>
      <c r="B2119" t="s">
        <v>164</v>
      </c>
      <c r="C2119" t="s">
        <v>5329</v>
      </c>
      <c r="D2119" t="s">
        <v>307</v>
      </c>
      <c r="E2119" t="s">
        <v>307</v>
      </c>
      <c r="F2119" t="s">
        <v>568</v>
      </c>
      <c r="G2119" t="s">
        <v>7420</v>
      </c>
      <c r="H2119" t="s">
        <v>10338</v>
      </c>
      <c r="I2119" t="s">
        <v>10939</v>
      </c>
      <c r="J2119" t="s">
        <v>1644</v>
      </c>
      <c r="K2119">
        <v>11238</v>
      </c>
      <c r="L2119" t="s">
        <v>1670</v>
      </c>
      <c r="M2119" t="s">
        <v>1670</v>
      </c>
      <c r="O2119" t="s">
        <v>1939</v>
      </c>
      <c r="P2119" t="s">
        <v>1958</v>
      </c>
      <c r="Q2119" t="s">
        <v>1965</v>
      </c>
      <c r="R2119" t="s">
        <v>50</v>
      </c>
      <c r="S2119" t="s">
        <v>1671</v>
      </c>
      <c r="U2119" t="s">
        <v>1972</v>
      </c>
      <c r="W2119" t="s">
        <v>243</v>
      </c>
      <c r="X2119">
        <v>938</v>
      </c>
      <c r="Y2119" t="s">
        <v>2009</v>
      </c>
      <c r="Z2119" t="s">
        <v>2016</v>
      </c>
      <c r="AA2119" t="s">
        <v>2029</v>
      </c>
      <c r="AB2119" t="s">
        <v>14530</v>
      </c>
      <c r="AD2119" t="s">
        <v>16941</v>
      </c>
      <c r="AE2119" t="s">
        <v>13051</v>
      </c>
      <c r="AG2119" t="s">
        <v>1754</v>
      </c>
      <c r="AH2119">
        <v>25</v>
      </c>
      <c r="AI2119">
        <v>1</v>
      </c>
      <c r="AJ2119">
        <v>0</v>
      </c>
      <c r="AK2119">
        <v>98.84999999999999</v>
      </c>
      <c r="AN2119" t="s">
        <v>2926</v>
      </c>
      <c r="AO2119">
        <v>12000</v>
      </c>
      <c r="AU2119">
        <v>0.2</v>
      </c>
      <c r="AV2119" t="s">
        <v>307</v>
      </c>
      <c r="AW2119" t="s">
        <v>3059</v>
      </c>
    </row>
    <row r="2120" spans="1:50">
      <c r="A2120" s="1" t="s">
        <v>151</v>
      </c>
      <c r="B2120" t="s">
        <v>164</v>
      </c>
      <c r="C2120" t="s">
        <v>5330</v>
      </c>
      <c r="D2120" t="s">
        <v>330</v>
      </c>
      <c r="E2120" t="s">
        <v>266</v>
      </c>
      <c r="F2120" t="s">
        <v>7634</v>
      </c>
      <c r="G2120" t="s">
        <v>8831</v>
      </c>
      <c r="H2120" t="s">
        <v>10339</v>
      </c>
      <c r="I2120" t="s">
        <v>1543</v>
      </c>
      <c r="J2120" t="s">
        <v>1656</v>
      </c>
      <c r="K2120">
        <v>11101</v>
      </c>
      <c r="L2120" t="s">
        <v>1670</v>
      </c>
      <c r="M2120" t="s">
        <v>1670</v>
      </c>
      <c r="N2120" t="s">
        <v>12451</v>
      </c>
      <c r="O2120" t="s">
        <v>1936</v>
      </c>
      <c r="P2120" t="s">
        <v>1958</v>
      </c>
      <c r="Q2120" t="s">
        <v>1965</v>
      </c>
      <c r="R2120" t="s">
        <v>50</v>
      </c>
      <c r="S2120" t="s">
        <v>1671</v>
      </c>
      <c r="U2120" t="s">
        <v>1972</v>
      </c>
      <c r="V2120" t="s">
        <v>1986</v>
      </c>
      <c r="W2120" t="s">
        <v>330</v>
      </c>
      <c r="X2120">
        <v>1900</v>
      </c>
      <c r="Y2120" t="s">
        <v>2007</v>
      </c>
      <c r="Z2120" t="s">
        <v>2014</v>
      </c>
      <c r="AA2120" t="s">
        <v>2029</v>
      </c>
      <c r="AB2120" t="s">
        <v>14531</v>
      </c>
      <c r="AC2120" t="s">
        <v>1754</v>
      </c>
      <c r="AD2120" t="s">
        <v>16942</v>
      </c>
      <c r="AE2120">
        <v>6</v>
      </c>
      <c r="AF2120" t="s">
        <v>2902</v>
      </c>
      <c r="AG2120" t="s">
        <v>1754</v>
      </c>
      <c r="AH2120">
        <v>2</v>
      </c>
      <c r="AI2120">
        <v>1</v>
      </c>
      <c r="AJ2120">
        <v>0</v>
      </c>
      <c r="AK2120">
        <v>98.84999999999999</v>
      </c>
      <c r="AN2120" t="s">
        <v>2926</v>
      </c>
      <c r="AO2120">
        <v>12000</v>
      </c>
      <c r="AU2120">
        <v>1.35</v>
      </c>
      <c r="AV2120" t="s">
        <v>214</v>
      </c>
      <c r="AW2120" t="s">
        <v>151</v>
      </c>
    </row>
    <row r="2121" spans="1:50">
      <c r="A2121" s="1" t="s">
        <v>118</v>
      </c>
      <c r="B2121" t="s">
        <v>164</v>
      </c>
      <c r="C2121" t="s">
        <v>5331</v>
      </c>
      <c r="D2121" t="s">
        <v>261</v>
      </c>
      <c r="E2121" t="s">
        <v>359</v>
      </c>
      <c r="F2121" t="s">
        <v>7635</v>
      </c>
      <c r="G2121" t="s">
        <v>552</v>
      </c>
      <c r="H2121" t="s">
        <v>9970</v>
      </c>
      <c r="I2121" t="s">
        <v>11343</v>
      </c>
      <c r="J2121" t="s">
        <v>1641</v>
      </c>
      <c r="K2121">
        <v>10453</v>
      </c>
      <c r="L2121" t="s">
        <v>1670</v>
      </c>
      <c r="M2121" t="s">
        <v>1670</v>
      </c>
      <c r="N2121" t="s">
        <v>12452</v>
      </c>
      <c r="O2121" t="s">
        <v>1936</v>
      </c>
      <c r="P2121" t="s">
        <v>1958</v>
      </c>
      <c r="Q2121" t="s">
        <v>1965</v>
      </c>
      <c r="R2121" t="s">
        <v>50</v>
      </c>
      <c r="U2121" t="s">
        <v>1972</v>
      </c>
      <c r="W2121" t="s">
        <v>316</v>
      </c>
      <c r="X2121">
        <v>1488</v>
      </c>
      <c r="Y2121" t="s">
        <v>2006</v>
      </c>
      <c r="AA2121" t="s">
        <v>2029</v>
      </c>
      <c r="AB2121" t="s">
        <v>14532</v>
      </c>
      <c r="AD2121" t="s">
        <v>16943</v>
      </c>
      <c r="AE2121">
        <v>380</v>
      </c>
      <c r="AF2121" t="s">
        <v>2909</v>
      </c>
      <c r="AG2121" t="s">
        <v>2915</v>
      </c>
      <c r="AH2121">
        <v>25</v>
      </c>
      <c r="AI2121">
        <v>1</v>
      </c>
      <c r="AJ2121">
        <v>0</v>
      </c>
      <c r="AK2121">
        <v>98.84999999999999</v>
      </c>
      <c r="AN2121" t="s">
        <v>2926</v>
      </c>
      <c r="AO2121">
        <v>12000</v>
      </c>
      <c r="AU2121">
        <v>2</v>
      </c>
      <c r="AV2121" t="s">
        <v>382</v>
      </c>
      <c r="AW2121" t="s">
        <v>18654</v>
      </c>
    </row>
    <row r="2122" spans="1:50">
      <c r="A2122" s="1" t="s">
        <v>63</v>
      </c>
      <c r="B2122" t="s">
        <v>164</v>
      </c>
      <c r="C2122" t="s">
        <v>5332</v>
      </c>
      <c r="D2122" t="s">
        <v>260</v>
      </c>
      <c r="E2122" t="s">
        <v>6769</v>
      </c>
      <c r="F2122" t="s">
        <v>7636</v>
      </c>
      <c r="G2122" t="s">
        <v>8798</v>
      </c>
      <c r="H2122" t="s">
        <v>10340</v>
      </c>
      <c r="I2122" t="s">
        <v>1534</v>
      </c>
      <c r="J2122" t="s">
        <v>1641</v>
      </c>
      <c r="K2122">
        <v>10452</v>
      </c>
      <c r="L2122" t="s">
        <v>1670</v>
      </c>
      <c r="M2122" t="s">
        <v>1670</v>
      </c>
      <c r="N2122" t="s">
        <v>1691</v>
      </c>
      <c r="O2122" t="s">
        <v>1941</v>
      </c>
      <c r="P2122" t="s">
        <v>1958</v>
      </c>
      <c r="Q2122" t="s">
        <v>1965</v>
      </c>
      <c r="R2122" t="s">
        <v>50</v>
      </c>
      <c r="S2122" t="s">
        <v>1671</v>
      </c>
      <c r="U2122" t="s">
        <v>1972</v>
      </c>
      <c r="V2122" t="s">
        <v>1984</v>
      </c>
      <c r="W2122" t="s">
        <v>342</v>
      </c>
      <c r="X2122">
        <v>165</v>
      </c>
      <c r="Y2122" t="s">
        <v>2006</v>
      </c>
      <c r="Z2122" t="s">
        <v>2015</v>
      </c>
      <c r="AA2122" t="s">
        <v>2029</v>
      </c>
      <c r="AB2122" t="s">
        <v>14533</v>
      </c>
      <c r="AD2122" t="s">
        <v>16944</v>
      </c>
      <c r="AE2122">
        <v>56</v>
      </c>
      <c r="AF2122" t="s">
        <v>2902</v>
      </c>
      <c r="AG2122" t="s">
        <v>2915</v>
      </c>
      <c r="AH2122">
        <v>40</v>
      </c>
      <c r="AI2122">
        <v>1</v>
      </c>
      <c r="AJ2122">
        <v>0</v>
      </c>
      <c r="AK2122">
        <v>98.84999999999999</v>
      </c>
      <c r="AN2122" t="s">
        <v>2926</v>
      </c>
      <c r="AO2122">
        <v>12000</v>
      </c>
      <c r="AU2122">
        <v>0.5</v>
      </c>
      <c r="AV2122" t="s">
        <v>260</v>
      </c>
      <c r="AW2122" t="s">
        <v>3046</v>
      </c>
    </row>
    <row r="2123" spans="1:50">
      <c r="A2123" s="1" t="s">
        <v>3199</v>
      </c>
      <c r="B2123" t="s">
        <v>164</v>
      </c>
      <c r="C2123" t="s">
        <v>5333</v>
      </c>
      <c r="D2123" t="s">
        <v>387</v>
      </c>
      <c r="E2123" t="s">
        <v>342</v>
      </c>
      <c r="F2123" t="s">
        <v>7637</v>
      </c>
      <c r="G2123" t="s">
        <v>770</v>
      </c>
      <c r="H2123" t="s">
        <v>10341</v>
      </c>
      <c r="J2123" t="s">
        <v>1646</v>
      </c>
      <c r="K2123">
        <v>10304</v>
      </c>
      <c r="L2123" t="s">
        <v>1670</v>
      </c>
      <c r="M2123" t="s">
        <v>1670</v>
      </c>
      <c r="N2123" t="s">
        <v>12453</v>
      </c>
      <c r="O2123" t="s">
        <v>1940</v>
      </c>
      <c r="P2123" t="s">
        <v>1960</v>
      </c>
      <c r="Q2123" t="s">
        <v>1969</v>
      </c>
      <c r="R2123" t="s">
        <v>50</v>
      </c>
      <c r="S2123" t="s">
        <v>1671</v>
      </c>
      <c r="U2123" t="s">
        <v>1972</v>
      </c>
      <c r="V2123" t="s">
        <v>1984</v>
      </c>
      <c r="W2123" t="s">
        <v>387</v>
      </c>
      <c r="X2123" t="s">
        <v>13051</v>
      </c>
      <c r="Y2123" t="s">
        <v>2010</v>
      </c>
      <c r="Z2123" t="s">
        <v>2025</v>
      </c>
      <c r="AA2123" t="s">
        <v>2033</v>
      </c>
      <c r="AB2123" t="s">
        <v>14534</v>
      </c>
      <c r="AD2123" t="s">
        <v>16945</v>
      </c>
      <c r="AE2123">
        <v>3</v>
      </c>
      <c r="AF2123" t="s">
        <v>2903</v>
      </c>
      <c r="AG2123" t="s">
        <v>1754</v>
      </c>
      <c r="AH2123" t="s">
        <v>13051</v>
      </c>
      <c r="AI2123">
        <v>1</v>
      </c>
      <c r="AJ2123">
        <v>0</v>
      </c>
      <c r="AK2123">
        <v>98.84999999999999</v>
      </c>
      <c r="AN2123" t="s">
        <v>2926</v>
      </c>
      <c r="AO2123">
        <v>12000</v>
      </c>
      <c r="AQ2123" t="s">
        <v>2979</v>
      </c>
      <c r="AS2123" t="s">
        <v>2993</v>
      </c>
      <c r="AT2123" t="s">
        <v>18582</v>
      </c>
      <c r="AU2123">
        <v>4.4</v>
      </c>
      <c r="AV2123" t="s">
        <v>281</v>
      </c>
      <c r="AW2123" t="s">
        <v>3056</v>
      </c>
      <c r="AX2123" t="s">
        <v>18685</v>
      </c>
    </row>
    <row r="2124" spans="1:50">
      <c r="A2124" s="1" t="s">
        <v>53</v>
      </c>
      <c r="B2124" t="s">
        <v>163</v>
      </c>
      <c r="C2124" t="s">
        <v>5334</v>
      </c>
      <c r="D2124" t="s">
        <v>315</v>
      </c>
      <c r="F2124" t="s">
        <v>649</v>
      </c>
      <c r="G2124" t="s">
        <v>8832</v>
      </c>
      <c r="H2124" t="s">
        <v>10342</v>
      </c>
      <c r="I2124" t="s">
        <v>1581</v>
      </c>
      <c r="J2124" t="s">
        <v>1668</v>
      </c>
      <c r="K2124">
        <v>11355</v>
      </c>
      <c r="L2124" t="s">
        <v>1670</v>
      </c>
      <c r="M2124" t="s">
        <v>1670</v>
      </c>
      <c r="N2124" t="s">
        <v>12454</v>
      </c>
      <c r="O2124" t="s">
        <v>1940</v>
      </c>
      <c r="P2124" t="s">
        <v>1960</v>
      </c>
      <c r="R2124" t="s">
        <v>50</v>
      </c>
      <c r="S2124" t="s">
        <v>1671</v>
      </c>
      <c r="U2124" t="s">
        <v>1972</v>
      </c>
      <c r="V2124" t="s">
        <v>1984</v>
      </c>
      <c r="W2124" t="s">
        <v>315</v>
      </c>
      <c r="X2124">
        <v>1227.86</v>
      </c>
      <c r="Y2124" t="s">
        <v>2007</v>
      </c>
      <c r="Z2124" t="s">
        <v>2014</v>
      </c>
      <c r="AB2124" t="s">
        <v>14535</v>
      </c>
      <c r="AC2124" t="s">
        <v>15254</v>
      </c>
      <c r="AD2124" t="s">
        <v>16946</v>
      </c>
      <c r="AE2124">
        <v>86</v>
      </c>
      <c r="AF2124" t="s">
        <v>2902</v>
      </c>
      <c r="AG2124" t="s">
        <v>1754</v>
      </c>
      <c r="AH2124">
        <v>21</v>
      </c>
      <c r="AI2124">
        <v>1</v>
      </c>
      <c r="AJ2124">
        <v>0</v>
      </c>
      <c r="AK2124">
        <v>98.84999999999999</v>
      </c>
      <c r="AN2124" t="s">
        <v>2927</v>
      </c>
      <c r="AO2124">
        <v>12000</v>
      </c>
      <c r="AU2124">
        <v>44.4</v>
      </c>
      <c r="AV2124" t="s">
        <v>397</v>
      </c>
      <c r="AW2124" t="s">
        <v>85</v>
      </c>
    </row>
    <row r="2125" spans="1:50">
      <c r="A2125" s="1" t="s">
        <v>65</v>
      </c>
      <c r="B2125" t="s">
        <v>163</v>
      </c>
      <c r="C2125" t="s">
        <v>5335</v>
      </c>
      <c r="D2125" t="s">
        <v>343</v>
      </c>
      <c r="F2125" t="s">
        <v>463</v>
      </c>
      <c r="G2125" t="s">
        <v>8698</v>
      </c>
      <c r="H2125" t="s">
        <v>1464</v>
      </c>
      <c r="I2125" t="s">
        <v>1539</v>
      </c>
      <c r="J2125" t="s">
        <v>1644</v>
      </c>
      <c r="K2125">
        <v>11226</v>
      </c>
      <c r="L2125" t="s">
        <v>1670</v>
      </c>
      <c r="M2125" t="s">
        <v>1670</v>
      </c>
      <c r="O2125" t="s">
        <v>1939</v>
      </c>
      <c r="P2125" t="s">
        <v>1960</v>
      </c>
      <c r="R2125" t="s">
        <v>50</v>
      </c>
      <c r="U2125" t="s">
        <v>1972</v>
      </c>
      <c r="W2125" t="s">
        <v>252</v>
      </c>
      <c r="X2125" t="s">
        <v>13051</v>
      </c>
      <c r="Y2125" t="s">
        <v>2009</v>
      </c>
      <c r="AB2125" t="s">
        <v>14536</v>
      </c>
      <c r="AE2125">
        <v>48</v>
      </c>
      <c r="AF2125" t="s">
        <v>2902</v>
      </c>
      <c r="AH2125" t="s">
        <v>13051</v>
      </c>
      <c r="AI2125">
        <v>3</v>
      </c>
      <c r="AJ2125">
        <v>0</v>
      </c>
      <c r="AK2125">
        <v>99.13</v>
      </c>
      <c r="AN2125" t="s">
        <v>2928</v>
      </c>
      <c r="AO2125">
        <v>20600</v>
      </c>
      <c r="AU2125">
        <v>26.6</v>
      </c>
      <c r="AV2125" t="s">
        <v>301</v>
      </c>
      <c r="AW2125" t="s">
        <v>69</v>
      </c>
    </row>
    <row r="2126" spans="1:50">
      <c r="A2126" s="1" t="s">
        <v>103</v>
      </c>
      <c r="B2126" t="s">
        <v>163</v>
      </c>
      <c r="C2126" t="s">
        <v>5336</v>
      </c>
      <c r="D2126" t="s">
        <v>365</v>
      </c>
      <c r="F2126" t="s">
        <v>6948</v>
      </c>
      <c r="G2126" t="s">
        <v>877</v>
      </c>
      <c r="H2126" t="s">
        <v>10343</v>
      </c>
      <c r="I2126" t="s">
        <v>1570</v>
      </c>
      <c r="J2126" t="s">
        <v>1644</v>
      </c>
      <c r="K2126">
        <v>11212</v>
      </c>
      <c r="L2126" t="s">
        <v>1670</v>
      </c>
      <c r="M2126" t="s">
        <v>1672</v>
      </c>
      <c r="N2126" t="s">
        <v>12455</v>
      </c>
      <c r="O2126" t="s">
        <v>1936</v>
      </c>
      <c r="P2126" t="s">
        <v>1960</v>
      </c>
      <c r="R2126" t="s">
        <v>50</v>
      </c>
      <c r="S2126" t="s">
        <v>1671</v>
      </c>
      <c r="U2126" t="s">
        <v>1972</v>
      </c>
      <c r="W2126" t="s">
        <v>275</v>
      </c>
      <c r="X2126">
        <v>1135.26</v>
      </c>
      <c r="Y2126" t="s">
        <v>2009</v>
      </c>
      <c r="Z2126" t="s">
        <v>2015</v>
      </c>
      <c r="AB2126" t="s">
        <v>14537</v>
      </c>
      <c r="AD2126" t="s">
        <v>16947</v>
      </c>
      <c r="AE2126">
        <v>44</v>
      </c>
      <c r="AF2126" t="s">
        <v>2904</v>
      </c>
      <c r="AG2126" t="s">
        <v>2920</v>
      </c>
      <c r="AH2126">
        <v>2</v>
      </c>
      <c r="AI2126">
        <v>1</v>
      </c>
      <c r="AJ2126">
        <v>0</v>
      </c>
      <c r="AK2126">
        <v>99.34</v>
      </c>
      <c r="AN2126" t="s">
        <v>2926</v>
      </c>
      <c r="AO2126">
        <v>12408</v>
      </c>
      <c r="AU2126">
        <v>10.55</v>
      </c>
      <c r="AV2126" t="s">
        <v>230</v>
      </c>
      <c r="AW2126" t="s">
        <v>3083</v>
      </c>
      <c r="AX2126" t="s">
        <v>18685</v>
      </c>
    </row>
    <row r="2127" spans="1:50">
      <c r="A2127" s="1" t="s">
        <v>57</v>
      </c>
      <c r="B2127" t="s">
        <v>163</v>
      </c>
      <c r="C2127" t="s">
        <v>5337</v>
      </c>
      <c r="D2127" t="s">
        <v>182</v>
      </c>
      <c r="F2127" t="s">
        <v>7638</v>
      </c>
      <c r="G2127" t="s">
        <v>780</v>
      </c>
      <c r="H2127" t="s">
        <v>1112</v>
      </c>
      <c r="I2127" t="s">
        <v>1638</v>
      </c>
      <c r="J2127" t="s">
        <v>1641</v>
      </c>
      <c r="K2127">
        <v>10453</v>
      </c>
      <c r="L2127" t="s">
        <v>1670</v>
      </c>
      <c r="M2127" t="s">
        <v>1670</v>
      </c>
      <c r="O2127" t="s">
        <v>1938</v>
      </c>
      <c r="P2127" t="s">
        <v>1961</v>
      </c>
      <c r="R2127" t="s">
        <v>50</v>
      </c>
      <c r="S2127" t="s">
        <v>1670</v>
      </c>
      <c r="U2127" t="s">
        <v>1972</v>
      </c>
      <c r="W2127" t="s">
        <v>283</v>
      </c>
      <c r="X2127">
        <v>900</v>
      </c>
      <c r="Y2127" t="s">
        <v>2006</v>
      </c>
      <c r="Z2127" t="s">
        <v>2015</v>
      </c>
      <c r="AB2127" t="s">
        <v>14538</v>
      </c>
      <c r="AD2127" t="s">
        <v>16948</v>
      </c>
      <c r="AE2127">
        <v>170</v>
      </c>
      <c r="AF2127" t="s">
        <v>2902</v>
      </c>
      <c r="AG2127" t="s">
        <v>1754</v>
      </c>
      <c r="AH2127">
        <v>12</v>
      </c>
      <c r="AI2127">
        <v>2</v>
      </c>
      <c r="AJ2127">
        <v>0</v>
      </c>
      <c r="AK2127">
        <v>99.34999999999999</v>
      </c>
      <c r="AN2127" t="s">
        <v>2926</v>
      </c>
      <c r="AO2127">
        <v>16800</v>
      </c>
      <c r="AU2127" t="s">
        <v>13051</v>
      </c>
      <c r="AW2127" t="s">
        <v>3047</v>
      </c>
    </row>
    <row r="2128" spans="1:50">
      <c r="A2128" s="1" t="s">
        <v>57</v>
      </c>
      <c r="B2128" t="s">
        <v>163</v>
      </c>
      <c r="C2128" t="s">
        <v>5338</v>
      </c>
      <c r="D2128" t="s">
        <v>182</v>
      </c>
      <c r="F2128" t="s">
        <v>7638</v>
      </c>
      <c r="G2128" t="s">
        <v>780</v>
      </c>
      <c r="H2128" t="s">
        <v>1112</v>
      </c>
      <c r="I2128" t="s">
        <v>1638</v>
      </c>
      <c r="J2128" t="s">
        <v>1641</v>
      </c>
      <c r="K2128">
        <v>10453</v>
      </c>
      <c r="L2128" t="s">
        <v>1670</v>
      </c>
      <c r="M2128" t="s">
        <v>1670</v>
      </c>
      <c r="N2128" t="s">
        <v>1677</v>
      </c>
      <c r="O2128" t="s">
        <v>1939</v>
      </c>
      <c r="P2128" t="s">
        <v>1960</v>
      </c>
      <c r="R2128" t="s">
        <v>50</v>
      </c>
      <c r="S2128" t="s">
        <v>1670</v>
      </c>
      <c r="U2128" t="s">
        <v>1972</v>
      </c>
      <c r="W2128" t="s">
        <v>283</v>
      </c>
      <c r="X2128">
        <v>900</v>
      </c>
      <c r="Y2128" t="s">
        <v>2006</v>
      </c>
      <c r="Z2128" t="s">
        <v>2015</v>
      </c>
      <c r="AB2128" t="s">
        <v>14538</v>
      </c>
      <c r="AD2128" t="s">
        <v>16948</v>
      </c>
      <c r="AE2128">
        <v>170</v>
      </c>
      <c r="AF2128" t="s">
        <v>2902</v>
      </c>
      <c r="AG2128" t="s">
        <v>1754</v>
      </c>
      <c r="AH2128">
        <v>12</v>
      </c>
      <c r="AI2128">
        <v>2</v>
      </c>
      <c r="AJ2128">
        <v>0</v>
      </c>
      <c r="AK2128">
        <v>99.34999999999999</v>
      </c>
      <c r="AN2128" t="s">
        <v>2926</v>
      </c>
      <c r="AO2128">
        <v>16800</v>
      </c>
      <c r="AU2128" t="s">
        <v>13051</v>
      </c>
      <c r="AW2128" t="s">
        <v>3047</v>
      </c>
    </row>
    <row r="2129" spans="1:50">
      <c r="A2129" s="1" t="s">
        <v>132</v>
      </c>
      <c r="B2129" t="s">
        <v>164</v>
      </c>
      <c r="C2129" t="s">
        <v>5339</v>
      </c>
      <c r="D2129" t="s">
        <v>176</v>
      </c>
      <c r="E2129" t="s">
        <v>394</v>
      </c>
      <c r="F2129" t="s">
        <v>687</v>
      </c>
      <c r="G2129" t="s">
        <v>839</v>
      </c>
      <c r="H2129" t="s">
        <v>1248</v>
      </c>
      <c r="I2129" t="s">
        <v>1475</v>
      </c>
      <c r="J2129" t="s">
        <v>1644</v>
      </c>
      <c r="K2129">
        <v>11213</v>
      </c>
      <c r="L2129" t="s">
        <v>1670</v>
      </c>
      <c r="M2129" t="s">
        <v>1670</v>
      </c>
      <c r="O2129" t="s">
        <v>1937</v>
      </c>
      <c r="P2129" t="s">
        <v>1962</v>
      </c>
      <c r="Q2129" t="s">
        <v>1968</v>
      </c>
      <c r="R2129" t="s">
        <v>50</v>
      </c>
      <c r="S2129" t="s">
        <v>1670</v>
      </c>
      <c r="U2129" t="s">
        <v>1972</v>
      </c>
      <c r="W2129" t="s">
        <v>348</v>
      </c>
      <c r="X2129">
        <v>1268</v>
      </c>
      <c r="Y2129" t="s">
        <v>2009</v>
      </c>
      <c r="Z2129" t="s">
        <v>2027</v>
      </c>
      <c r="AA2129" t="s">
        <v>2031</v>
      </c>
      <c r="AB2129" t="s">
        <v>14519</v>
      </c>
      <c r="AD2129" t="s">
        <v>16930</v>
      </c>
      <c r="AE2129">
        <v>19</v>
      </c>
      <c r="AF2129" t="s">
        <v>2902</v>
      </c>
      <c r="AG2129" t="s">
        <v>2920</v>
      </c>
      <c r="AH2129">
        <v>2</v>
      </c>
      <c r="AI2129">
        <v>2</v>
      </c>
      <c r="AJ2129">
        <v>0</v>
      </c>
      <c r="AK2129">
        <v>99.62</v>
      </c>
      <c r="AN2129" t="s">
        <v>2926</v>
      </c>
      <c r="AO2129">
        <v>16398</v>
      </c>
      <c r="AU2129">
        <v>0.08</v>
      </c>
      <c r="AV2129" t="s">
        <v>332</v>
      </c>
      <c r="AW2129" t="s">
        <v>3059</v>
      </c>
    </row>
    <row r="2130" spans="1:50">
      <c r="A2130" s="1" t="s">
        <v>132</v>
      </c>
      <c r="B2130" t="s">
        <v>163</v>
      </c>
      <c r="C2130" t="s">
        <v>5340</v>
      </c>
      <c r="D2130" t="s">
        <v>176</v>
      </c>
      <c r="F2130" t="s">
        <v>687</v>
      </c>
      <c r="G2130" t="s">
        <v>839</v>
      </c>
      <c r="H2130" t="s">
        <v>1248</v>
      </c>
      <c r="I2130" t="s">
        <v>1475</v>
      </c>
      <c r="J2130" t="s">
        <v>1644</v>
      </c>
      <c r="K2130">
        <v>11213</v>
      </c>
      <c r="L2130" t="s">
        <v>1670</v>
      </c>
      <c r="M2130" t="s">
        <v>1670</v>
      </c>
      <c r="N2130" t="s">
        <v>1813</v>
      </c>
      <c r="O2130" t="s">
        <v>1939</v>
      </c>
      <c r="P2130" t="s">
        <v>1960</v>
      </c>
      <c r="R2130" t="s">
        <v>50</v>
      </c>
      <c r="S2130" t="s">
        <v>1670</v>
      </c>
      <c r="U2130" t="s">
        <v>1972</v>
      </c>
      <c r="W2130" t="s">
        <v>348</v>
      </c>
      <c r="X2130">
        <v>1268</v>
      </c>
      <c r="Y2130" t="s">
        <v>2009</v>
      </c>
      <c r="Z2130" t="s">
        <v>2027</v>
      </c>
      <c r="AB2130" t="s">
        <v>14519</v>
      </c>
      <c r="AD2130" t="s">
        <v>16930</v>
      </c>
      <c r="AE2130">
        <v>19</v>
      </c>
      <c r="AF2130" t="s">
        <v>2902</v>
      </c>
      <c r="AG2130" t="s">
        <v>2920</v>
      </c>
      <c r="AH2130">
        <v>2</v>
      </c>
      <c r="AI2130">
        <v>2</v>
      </c>
      <c r="AJ2130">
        <v>0</v>
      </c>
      <c r="AK2130">
        <v>99.62</v>
      </c>
      <c r="AN2130" t="s">
        <v>2926</v>
      </c>
      <c r="AO2130">
        <v>16398</v>
      </c>
      <c r="AU2130" t="s">
        <v>13051</v>
      </c>
      <c r="AW2130" t="s">
        <v>129</v>
      </c>
    </row>
    <row r="2131" spans="1:50">
      <c r="A2131" s="1" t="s">
        <v>68</v>
      </c>
      <c r="B2131" t="s">
        <v>163</v>
      </c>
      <c r="C2131" t="s">
        <v>5341</v>
      </c>
      <c r="D2131" t="s">
        <v>404</v>
      </c>
      <c r="F2131" t="s">
        <v>7639</v>
      </c>
      <c r="G2131" t="s">
        <v>921</v>
      </c>
      <c r="H2131" t="s">
        <v>10344</v>
      </c>
      <c r="I2131">
        <v>31</v>
      </c>
      <c r="J2131" t="s">
        <v>1643</v>
      </c>
      <c r="K2131">
        <v>10033</v>
      </c>
      <c r="L2131" t="s">
        <v>1670</v>
      </c>
      <c r="M2131" t="s">
        <v>1672</v>
      </c>
      <c r="O2131" t="s">
        <v>1941</v>
      </c>
      <c r="P2131" t="s">
        <v>1960</v>
      </c>
      <c r="R2131" t="s">
        <v>50</v>
      </c>
      <c r="S2131" t="s">
        <v>1671</v>
      </c>
      <c r="U2131" t="s">
        <v>1972</v>
      </c>
      <c r="W2131" t="s">
        <v>404</v>
      </c>
      <c r="X2131">
        <v>1251.22</v>
      </c>
      <c r="Y2131" t="s">
        <v>2008</v>
      </c>
      <c r="Z2131" t="s">
        <v>2013</v>
      </c>
      <c r="AB2131" t="s">
        <v>14539</v>
      </c>
      <c r="AD2131" t="s">
        <v>16949</v>
      </c>
      <c r="AE2131">
        <v>20</v>
      </c>
      <c r="AF2131" t="s">
        <v>2902</v>
      </c>
      <c r="AG2131" t="s">
        <v>2919</v>
      </c>
      <c r="AH2131">
        <v>19</v>
      </c>
      <c r="AI2131">
        <v>1</v>
      </c>
      <c r="AJ2131">
        <v>0</v>
      </c>
      <c r="AK2131">
        <v>99.70999999999999</v>
      </c>
      <c r="AN2131" t="s">
        <v>2927</v>
      </c>
      <c r="AO2131">
        <v>12454</v>
      </c>
      <c r="AU2131">
        <v>2.3</v>
      </c>
      <c r="AV2131" t="s">
        <v>337</v>
      </c>
      <c r="AW2131" t="s">
        <v>3042</v>
      </c>
      <c r="AX2131" t="s">
        <v>18685</v>
      </c>
    </row>
    <row r="2132" spans="1:50">
      <c r="A2132" s="1" t="s">
        <v>71</v>
      </c>
      <c r="B2132" t="s">
        <v>163</v>
      </c>
      <c r="C2132" t="s">
        <v>5342</v>
      </c>
      <c r="D2132" t="s">
        <v>263</v>
      </c>
      <c r="F2132" t="s">
        <v>6875</v>
      </c>
      <c r="G2132" t="s">
        <v>8163</v>
      </c>
      <c r="H2132" t="s">
        <v>10345</v>
      </c>
      <c r="I2132" t="s">
        <v>1525</v>
      </c>
      <c r="J2132" t="s">
        <v>1646</v>
      </c>
      <c r="K2132">
        <v>10304</v>
      </c>
      <c r="L2132" t="s">
        <v>1670</v>
      </c>
      <c r="M2132" t="s">
        <v>1670</v>
      </c>
      <c r="N2132" t="s">
        <v>12456</v>
      </c>
      <c r="O2132" t="s">
        <v>1940</v>
      </c>
      <c r="P2132" t="s">
        <v>1960</v>
      </c>
      <c r="R2132" t="s">
        <v>50</v>
      </c>
      <c r="S2132" t="s">
        <v>1671</v>
      </c>
      <c r="U2132" t="s">
        <v>1972</v>
      </c>
      <c r="V2132" t="s">
        <v>1984</v>
      </c>
      <c r="W2132" t="s">
        <v>381</v>
      </c>
      <c r="X2132">
        <v>1100</v>
      </c>
      <c r="Y2132" t="s">
        <v>2010</v>
      </c>
      <c r="Z2132" t="s">
        <v>2027</v>
      </c>
      <c r="AB2132" t="s">
        <v>14025</v>
      </c>
      <c r="AD2132" t="s">
        <v>16950</v>
      </c>
      <c r="AE2132">
        <v>5</v>
      </c>
      <c r="AF2132" t="s">
        <v>2903</v>
      </c>
      <c r="AG2132" t="s">
        <v>1754</v>
      </c>
      <c r="AH2132">
        <v>5</v>
      </c>
      <c r="AI2132">
        <v>1</v>
      </c>
      <c r="AJ2132">
        <v>0</v>
      </c>
      <c r="AK2132">
        <v>99.81999999999999</v>
      </c>
      <c r="AN2132" t="s">
        <v>2926</v>
      </c>
      <c r="AO2132">
        <v>12468</v>
      </c>
      <c r="AU2132">
        <v>12.6</v>
      </c>
      <c r="AV2132" t="s">
        <v>222</v>
      </c>
      <c r="AW2132" t="s">
        <v>112</v>
      </c>
      <c r="AX2132" t="s">
        <v>18685</v>
      </c>
    </row>
    <row r="2133" spans="1:50">
      <c r="A2133" s="1" t="s">
        <v>3200</v>
      </c>
      <c r="B2133" t="s">
        <v>164</v>
      </c>
      <c r="C2133" t="s">
        <v>5343</v>
      </c>
      <c r="D2133" t="s">
        <v>243</v>
      </c>
      <c r="E2133" t="s">
        <v>390</v>
      </c>
      <c r="F2133" t="s">
        <v>7012</v>
      </c>
      <c r="G2133" t="s">
        <v>814</v>
      </c>
      <c r="H2133" t="s">
        <v>10346</v>
      </c>
      <c r="I2133" t="s">
        <v>11344</v>
      </c>
      <c r="J2133" t="s">
        <v>1645</v>
      </c>
      <c r="K2133">
        <v>11691</v>
      </c>
      <c r="L2133" t="s">
        <v>1670</v>
      </c>
      <c r="M2133" t="s">
        <v>1671</v>
      </c>
      <c r="N2133" t="s">
        <v>12457</v>
      </c>
      <c r="O2133" t="s">
        <v>1936</v>
      </c>
      <c r="P2133" t="s">
        <v>1958</v>
      </c>
      <c r="Q2133" t="s">
        <v>1965</v>
      </c>
      <c r="R2133" t="s">
        <v>50</v>
      </c>
      <c r="S2133" t="s">
        <v>1671</v>
      </c>
      <c r="U2133" t="s">
        <v>1972</v>
      </c>
      <c r="V2133" t="s">
        <v>1985</v>
      </c>
      <c r="W2133" t="s">
        <v>243</v>
      </c>
      <c r="X2133">
        <v>1400</v>
      </c>
      <c r="Y2133" t="s">
        <v>2007</v>
      </c>
      <c r="Z2133" t="s">
        <v>2014</v>
      </c>
      <c r="AA2133" t="s">
        <v>2029</v>
      </c>
      <c r="AB2133" t="s">
        <v>14540</v>
      </c>
      <c r="AD2133" t="s">
        <v>16951</v>
      </c>
      <c r="AE2133">
        <v>301</v>
      </c>
      <c r="AF2133" t="s">
        <v>2906</v>
      </c>
      <c r="AG2133" t="s">
        <v>1754</v>
      </c>
      <c r="AH2133">
        <v>6</v>
      </c>
      <c r="AI2133">
        <v>3</v>
      </c>
      <c r="AJ2133">
        <v>0</v>
      </c>
      <c r="AK2133">
        <v>100.1</v>
      </c>
      <c r="AN2133" t="s">
        <v>2926</v>
      </c>
      <c r="AO2133">
        <v>20800</v>
      </c>
      <c r="AU2133">
        <v>2.37</v>
      </c>
      <c r="AV2133" t="s">
        <v>272</v>
      </c>
      <c r="AW2133" t="s">
        <v>3044</v>
      </c>
      <c r="AX2133" t="s">
        <v>18685</v>
      </c>
    </row>
    <row r="2134" spans="1:50">
      <c r="A2134" s="1" t="s">
        <v>3142</v>
      </c>
      <c r="B2134" t="s">
        <v>164</v>
      </c>
      <c r="C2134" t="s">
        <v>5344</v>
      </c>
      <c r="D2134" t="s">
        <v>225</v>
      </c>
      <c r="E2134" t="s">
        <v>225</v>
      </c>
      <c r="F2134" t="s">
        <v>7640</v>
      </c>
      <c r="G2134" t="s">
        <v>8774</v>
      </c>
      <c r="H2134" t="s">
        <v>10347</v>
      </c>
      <c r="I2134" t="s">
        <v>11345</v>
      </c>
      <c r="J2134" t="s">
        <v>1641</v>
      </c>
      <c r="K2134">
        <v>10453</v>
      </c>
      <c r="L2134" t="s">
        <v>1670</v>
      </c>
      <c r="M2134" t="s">
        <v>1670</v>
      </c>
      <c r="N2134" t="s">
        <v>12458</v>
      </c>
      <c r="O2134" t="s">
        <v>1940</v>
      </c>
      <c r="P2134" t="s">
        <v>1958</v>
      </c>
      <c r="Q2134" t="s">
        <v>1965</v>
      </c>
      <c r="R2134" t="s">
        <v>50</v>
      </c>
      <c r="S2134" t="s">
        <v>1671</v>
      </c>
      <c r="U2134" t="s">
        <v>1972</v>
      </c>
      <c r="W2134" t="s">
        <v>225</v>
      </c>
      <c r="X2134">
        <v>995</v>
      </c>
      <c r="Y2134" t="s">
        <v>2006</v>
      </c>
      <c r="Z2134" t="s">
        <v>2015</v>
      </c>
      <c r="AA2134" t="s">
        <v>2029</v>
      </c>
      <c r="AB2134" t="s">
        <v>14541</v>
      </c>
      <c r="AE2134">
        <v>32</v>
      </c>
      <c r="AF2134" t="s">
        <v>2902</v>
      </c>
      <c r="AG2134" t="s">
        <v>1754</v>
      </c>
      <c r="AH2134">
        <v>23</v>
      </c>
      <c r="AI2134">
        <v>3</v>
      </c>
      <c r="AJ2134">
        <v>0</v>
      </c>
      <c r="AK2134">
        <v>100.1</v>
      </c>
      <c r="AN2134" t="s">
        <v>2926</v>
      </c>
      <c r="AO2134">
        <v>20800</v>
      </c>
      <c r="AU2134">
        <v>0.2</v>
      </c>
      <c r="AV2134" t="s">
        <v>225</v>
      </c>
      <c r="AW2134" t="s">
        <v>3046</v>
      </c>
    </row>
    <row r="2135" spans="1:50">
      <c r="A2135" s="1" t="s">
        <v>116</v>
      </c>
      <c r="B2135" t="s">
        <v>163</v>
      </c>
      <c r="C2135" t="s">
        <v>5345</v>
      </c>
      <c r="D2135" t="s">
        <v>255</v>
      </c>
      <c r="F2135" t="s">
        <v>7118</v>
      </c>
      <c r="G2135" t="s">
        <v>8833</v>
      </c>
      <c r="H2135" t="s">
        <v>10348</v>
      </c>
      <c r="I2135" t="s">
        <v>11050</v>
      </c>
      <c r="J2135" t="s">
        <v>1643</v>
      </c>
      <c r="K2135">
        <v>10028</v>
      </c>
      <c r="L2135" t="s">
        <v>1670</v>
      </c>
      <c r="M2135" t="s">
        <v>1670</v>
      </c>
      <c r="N2135" t="s">
        <v>12459</v>
      </c>
      <c r="O2135" t="s">
        <v>1936</v>
      </c>
      <c r="P2135" t="s">
        <v>1963</v>
      </c>
      <c r="R2135" t="s">
        <v>50</v>
      </c>
      <c r="S2135" t="s">
        <v>1671</v>
      </c>
      <c r="U2135" t="s">
        <v>1972</v>
      </c>
      <c r="V2135" t="s">
        <v>1984</v>
      </c>
      <c r="W2135" t="s">
        <v>255</v>
      </c>
      <c r="X2135">
        <v>1849.37</v>
      </c>
      <c r="Y2135" t="s">
        <v>2008</v>
      </c>
      <c r="Z2135" t="s">
        <v>2014</v>
      </c>
      <c r="AB2135" t="s">
        <v>14542</v>
      </c>
      <c r="AD2135" t="s">
        <v>16952</v>
      </c>
      <c r="AE2135">
        <v>60</v>
      </c>
      <c r="AF2135" t="s">
        <v>2908</v>
      </c>
      <c r="AG2135" t="s">
        <v>2919</v>
      </c>
      <c r="AH2135">
        <v>50</v>
      </c>
      <c r="AI2135">
        <v>2</v>
      </c>
      <c r="AJ2135">
        <v>0</v>
      </c>
      <c r="AK2135">
        <v>100.13</v>
      </c>
      <c r="AN2135" t="s">
        <v>2926</v>
      </c>
      <c r="AO2135">
        <v>16932</v>
      </c>
      <c r="AU2135">
        <v>16.6</v>
      </c>
      <c r="AV2135" t="s">
        <v>222</v>
      </c>
      <c r="AW2135" t="s">
        <v>3051</v>
      </c>
    </row>
    <row r="2136" spans="1:50">
      <c r="A2136" s="1" t="s">
        <v>95</v>
      </c>
      <c r="B2136" t="s">
        <v>164</v>
      </c>
      <c r="C2136" t="s">
        <v>5346</v>
      </c>
      <c r="D2136" t="s">
        <v>183</v>
      </c>
      <c r="E2136" t="s">
        <v>328</v>
      </c>
      <c r="F2136" t="s">
        <v>463</v>
      </c>
      <c r="G2136" t="s">
        <v>8834</v>
      </c>
      <c r="H2136" t="s">
        <v>10126</v>
      </c>
      <c r="I2136" t="s">
        <v>11044</v>
      </c>
      <c r="J2136" t="s">
        <v>1641</v>
      </c>
      <c r="K2136">
        <v>10467</v>
      </c>
      <c r="L2136" t="s">
        <v>1670</v>
      </c>
      <c r="M2136" t="s">
        <v>1670</v>
      </c>
      <c r="O2136" t="s">
        <v>1945</v>
      </c>
      <c r="P2136" t="s">
        <v>1962</v>
      </c>
      <c r="Q2136" t="s">
        <v>1968</v>
      </c>
      <c r="R2136" t="s">
        <v>50</v>
      </c>
      <c r="S2136" t="s">
        <v>1671</v>
      </c>
      <c r="U2136" t="s">
        <v>1980</v>
      </c>
      <c r="W2136" t="s">
        <v>1991</v>
      </c>
      <c r="X2136">
        <v>600</v>
      </c>
      <c r="Y2136" t="s">
        <v>2006</v>
      </c>
      <c r="Z2136" t="s">
        <v>2021</v>
      </c>
      <c r="AA2136" t="s">
        <v>2034</v>
      </c>
      <c r="AB2136" t="s">
        <v>14543</v>
      </c>
      <c r="AD2136" t="s">
        <v>16953</v>
      </c>
      <c r="AE2136">
        <v>59</v>
      </c>
      <c r="AF2136" t="s">
        <v>2902</v>
      </c>
      <c r="AG2136" t="s">
        <v>2919</v>
      </c>
      <c r="AH2136">
        <v>37</v>
      </c>
      <c r="AI2136">
        <v>1</v>
      </c>
      <c r="AJ2136">
        <v>0</v>
      </c>
      <c r="AK2136">
        <v>100.28</v>
      </c>
      <c r="AN2136" t="s">
        <v>2926</v>
      </c>
      <c r="AO2136">
        <v>12525</v>
      </c>
      <c r="AU2136">
        <v>3.5</v>
      </c>
      <c r="AV2136" t="s">
        <v>328</v>
      </c>
      <c r="AW2136" t="s">
        <v>95</v>
      </c>
      <c r="AX2136" t="s">
        <v>18685</v>
      </c>
    </row>
    <row r="2137" spans="1:50">
      <c r="A2137" s="1" t="s">
        <v>62</v>
      </c>
      <c r="B2137" t="s">
        <v>163</v>
      </c>
      <c r="C2137" t="s">
        <v>5347</v>
      </c>
      <c r="D2137" t="s">
        <v>213</v>
      </c>
      <c r="F2137" t="s">
        <v>7405</v>
      </c>
      <c r="G2137" t="s">
        <v>8835</v>
      </c>
      <c r="H2137" t="s">
        <v>9933</v>
      </c>
      <c r="I2137" t="s">
        <v>11346</v>
      </c>
      <c r="J2137" t="s">
        <v>1644</v>
      </c>
      <c r="K2137">
        <v>11226</v>
      </c>
      <c r="L2137" t="s">
        <v>1670</v>
      </c>
      <c r="M2137" t="s">
        <v>1670</v>
      </c>
      <c r="N2137" t="s">
        <v>12460</v>
      </c>
      <c r="P2137" t="s">
        <v>1960</v>
      </c>
      <c r="R2137" t="s">
        <v>50</v>
      </c>
      <c r="U2137" t="s">
        <v>1972</v>
      </c>
      <c r="W2137" t="s">
        <v>213</v>
      </c>
      <c r="X2137">
        <v>261</v>
      </c>
      <c r="Y2137" t="s">
        <v>2009</v>
      </c>
      <c r="AB2137" t="s">
        <v>14174</v>
      </c>
      <c r="AD2137" t="s">
        <v>16954</v>
      </c>
      <c r="AE2137" t="s">
        <v>13051</v>
      </c>
      <c r="AH2137">
        <v>15</v>
      </c>
      <c r="AI2137">
        <v>1</v>
      </c>
      <c r="AJ2137">
        <v>0</v>
      </c>
      <c r="AK2137">
        <v>100.3</v>
      </c>
      <c r="AN2137" t="s">
        <v>2926</v>
      </c>
      <c r="AO2137">
        <v>12528</v>
      </c>
      <c r="AU2137">
        <v>3.25</v>
      </c>
      <c r="AV2137" t="s">
        <v>369</v>
      </c>
      <c r="AW2137" t="s">
        <v>158</v>
      </c>
    </row>
    <row r="2138" spans="1:50">
      <c r="A2138" s="1" t="s">
        <v>61</v>
      </c>
      <c r="B2138" t="s">
        <v>163</v>
      </c>
      <c r="C2138" t="s">
        <v>5348</v>
      </c>
      <c r="D2138" t="s">
        <v>302</v>
      </c>
      <c r="F2138" t="s">
        <v>7267</v>
      </c>
      <c r="G2138" t="s">
        <v>1048</v>
      </c>
      <c r="H2138" t="s">
        <v>9801</v>
      </c>
      <c r="J2138" t="s">
        <v>1644</v>
      </c>
      <c r="K2138">
        <v>11231</v>
      </c>
      <c r="L2138" t="s">
        <v>1670</v>
      </c>
      <c r="M2138" t="s">
        <v>1670</v>
      </c>
      <c r="N2138" t="s">
        <v>12461</v>
      </c>
      <c r="O2138" t="s">
        <v>1936</v>
      </c>
      <c r="P2138" t="s">
        <v>1960</v>
      </c>
      <c r="R2138" t="s">
        <v>50</v>
      </c>
      <c r="S2138" t="s">
        <v>1671</v>
      </c>
      <c r="U2138" t="s">
        <v>1972</v>
      </c>
      <c r="V2138" t="s">
        <v>1984</v>
      </c>
      <c r="W2138" t="s">
        <v>367</v>
      </c>
      <c r="X2138">
        <v>787</v>
      </c>
      <c r="Y2138" t="s">
        <v>2009</v>
      </c>
      <c r="AB2138" t="s">
        <v>13781</v>
      </c>
      <c r="AD2138" t="s">
        <v>16228</v>
      </c>
      <c r="AE2138">
        <v>9</v>
      </c>
      <c r="AF2138" t="s">
        <v>2902</v>
      </c>
      <c r="AH2138">
        <v>20</v>
      </c>
      <c r="AI2138">
        <v>2</v>
      </c>
      <c r="AJ2138">
        <v>0</v>
      </c>
      <c r="AK2138">
        <v>100.44</v>
      </c>
      <c r="AN2138" t="s">
        <v>2926</v>
      </c>
      <c r="AO2138">
        <v>16532</v>
      </c>
      <c r="AU2138">
        <v>76.3</v>
      </c>
      <c r="AV2138" t="s">
        <v>405</v>
      </c>
      <c r="AW2138" t="s">
        <v>158</v>
      </c>
    </row>
    <row r="2139" spans="1:50">
      <c r="A2139" s="1" t="s">
        <v>74</v>
      </c>
      <c r="B2139" t="s">
        <v>163</v>
      </c>
      <c r="C2139" t="s">
        <v>5349</v>
      </c>
      <c r="D2139" t="s">
        <v>328</v>
      </c>
      <c r="F2139" t="s">
        <v>7480</v>
      </c>
      <c r="G2139" t="s">
        <v>8836</v>
      </c>
      <c r="H2139" t="s">
        <v>1131</v>
      </c>
      <c r="I2139" t="s">
        <v>1588</v>
      </c>
      <c r="J2139" t="s">
        <v>1641</v>
      </c>
      <c r="K2139">
        <v>10460</v>
      </c>
      <c r="L2139" t="s">
        <v>1670</v>
      </c>
      <c r="M2139" t="s">
        <v>1672</v>
      </c>
      <c r="N2139" t="s">
        <v>1691</v>
      </c>
      <c r="O2139" t="s">
        <v>1675</v>
      </c>
      <c r="P2139" t="s">
        <v>1959</v>
      </c>
      <c r="R2139" t="s">
        <v>50</v>
      </c>
      <c r="S2139" t="s">
        <v>1670</v>
      </c>
      <c r="U2139" t="s">
        <v>1972</v>
      </c>
      <c r="W2139" t="s">
        <v>1991</v>
      </c>
      <c r="X2139">
        <v>517</v>
      </c>
      <c r="Y2139" t="s">
        <v>2006</v>
      </c>
      <c r="Z2139" t="s">
        <v>2020</v>
      </c>
      <c r="AB2139" t="s">
        <v>14544</v>
      </c>
      <c r="AE2139">
        <v>168</v>
      </c>
      <c r="AF2139" t="s">
        <v>2904</v>
      </c>
      <c r="AG2139" t="s">
        <v>2915</v>
      </c>
      <c r="AH2139">
        <v>24</v>
      </c>
      <c r="AI2139">
        <v>2</v>
      </c>
      <c r="AJ2139">
        <v>0</v>
      </c>
      <c r="AK2139">
        <v>100.53</v>
      </c>
      <c r="AN2139" t="s">
        <v>2926</v>
      </c>
      <c r="AO2139">
        <v>17000</v>
      </c>
      <c r="AU2139" t="s">
        <v>13051</v>
      </c>
      <c r="AW2139" t="s">
        <v>3046</v>
      </c>
      <c r="AX2139" t="s">
        <v>18685</v>
      </c>
    </row>
    <row r="2140" spans="1:50">
      <c r="A2140" s="1" t="s">
        <v>3172</v>
      </c>
      <c r="B2140" t="s">
        <v>163</v>
      </c>
      <c r="C2140" t="s">
        <v>5350</v>
      </c>
      <c r="D2140" t="s">
        <v>222</v>
      </c>
      <c r="F2140" t="s">
        <v>685</v>
      </c>
      <c r="G2140" t="s">
        <v>8837</v>
      </c>
      <c r="H2140" t="s">
        <v>9806</v>
      </c>
      <c r="I2140" t="s">
        <v>11347</v>
      </c>
      <c r="J2140" t="s">
        <v>1668</v>
      </c>
      <c r="K2140">
        <v>11354</v>
      </c>
      <c r="L2140" t="s">
        <v>1670</v>
      </c>
      <c r="M2140" t="s">
        <v>1672</v>
      </c>
      <c r="N2140" t="s">
        <v>11976</v>
      </c>
      <c r="O2140" t="s">
        <v>1938</v>
      </c>
      <c r="P2140" t="s">
        <v>1961</v>
      </c>
      <c r="R2140" t="s">
        <v>50</v>
      </c>
      <c r="S2140" t="s">
        <v>1670</v>
      </c>
      <c r="U2140" t="s">
        <v>1972</v>
      </c>
      <c r="V2140" t="s">
        <v>1984</v>
      </c>
      <c r="W2140" t="s">
        <v>222</v>
      </c>
      <c r="X2140">
        <v>1044.47</v>
      </c>
      <c r="Y2140" t="s">
        <v>2007</v>
      </c>
      <c r="Z2140" t="s">
        <v>2016</v>
      </c>
      <c r="AB2140" t="s">
        <v>14545</v>
      </c>
      <c r="AC2140" t="s">
        <v>15077</v>
      </c>
      <c r="AD2140" t="s">
        <v>15077</v>
      </c>
      <c r="AE2140">
        <v>91</v>
      </c>
      <c r="AF2140" t="s">
        <v>2902</v>
      </c>
      <c r="AG2140" t="s">
        <v>1754</v>
      </c>
      <c r="AH2140">
        <v>17</v>
      </c>
      <c r="AI2140">
        <v>2</v>
      </c>
      <c r="AJ2140">
        <v>0</v>
      </c>
      <c r="AK2140">
        <v>100.53</v>
      </c>
      <c r="AN2140" t="s">
        <v>2927</v>
      </c>
      <c r="AO2140">
        <v>17000</v>
      </c>
      <c r="AU2140">
        <v>0.15</v>
      </c>
      <c r="AV2140" t="s">
        <v>222</v>
      </c>
      <c r="AW2140" t="s">
        <v>3172</v>
      </c>
      <c r="AX2140" t="s">
        <v>18685</v>
      </c>
    </row>
    <row r="2141" spans="1:50">
      <c r="A2141" s="1" t="s">
        <v>128</v>
      </c>
      <c r="B2141" t="s">
        <v>164</v>
      </c>
      <c r="C2141" t="s">
        <v>5351</v>
      </c>
      <c r="D2141" t="s">
        <v>281</v>
      </c>
      <c r="E2141" t="s">
        <v>246</v>
      </c>
      <c r="F2141" t="s">
        <v>544</v>
      </c>
      <c r="G2141" t="s">
        <v>8838</v>
      </c>
      <c r="H2141" t="s">
        <v>10349</v>
      </c>
      <c r="I2141" t="s">
        <v>11348</v>
      </c>
      <c r="J2141" t="s">
        <v>1641</v>
      </c>
      <c r="K2141">
        <v>10452</v>
      </c>
      <c r="L2141" t="s">
        <v>1670</v>
      </c>
      <c r="M2141" t="s">
        <v>1670</v>
      </c>
      <c r="O2141" t="s">
        <v>1941</v>
      </c>
      <c r="P2141" t="s">
        <v>1958</v>
      </c>
      <c r="Q2141" t="s">
        <v>1965</v>
      </c>
      <c r="R2141" t="s">
        <v>50</v>
      </c>
      <c r="S2141" t="s">
        <v>1671</v>
      </c>
      <c r="U2141" t="s">
        <v>1972</v>
      </c>
      <c r="W2141" t="s">
        <v>246</v>
      </c>
      <c r="X2141">
        <v>790</v>
      </c>
      <c r="Y2141" t="s">
        <v>2006</v>
      </c>
      <c r="Z2141" t="s">
        <v>2024</v>
      </c>
      <c r="AA2141" t="s">
        <v>2029</v>
      </c>
      <c r="AB2141" t="s">
        <v>14546</v>
      </c>
      <c r="AD2141" t="s">
        <v>16955</v>
      </c>
      <c r="AE2141">
        <v>100</v>
      </c>
      <c r="AF2141" t="s">
        <v>2902</v>
      </c>
      <c r="AG2141" t="s">
        <v>2919</v>
      </c>
      <c r="AH2141">
        <v>38</v>
      </c>
      <c r="AI2141">
        <v>2</v>
      </c>
      <c r="AJ2141">
        <v>0</v>
      </c>
      <c r="AK2141">
        <v>100.61</v>
      </c>
      <c r="AN2141" t="s">
        <v>2927</v>
      </c>
      <c r="AO2141">
        <v>16560</v>
      </c>
      <c r="AP2141" t="s">
        <v>18329</v>
      </c>
      <c r="AU2141">
        <v>1.9</v>
      </c>
      <c r="AV2141" t="s">
        <v>246</v>
      </c>
      <c r="AW2141" t="s">
        <v>3043</v>
      </c>
    </row>
    <row r="2142" spans="1:50">
      <c r="A2142" s="1" t="s">
        <v>74</v>
      </c>
      <c r="B2142" t="s">
        <v>163</v>
      </c>
      <c r="C2142" t="s">
        <v>5352</v>
      </c>
      <c r="D2142" t="s">
        <v>191</v>
      </c>
      <c r="F2142" t="s">
        <v>573</v>
      </c>
      <c r="G2142" t="s">
        <v>8839</v>
      </c>
      <c r="H2142" t="s">
        <v>1131</v>
      </c>
      <c r="I2142" t="s">
        <v>1489</v>
      </c>
      <c r="J2142" t="s">
        <v>1641</v>
      </c>
      <c r="K2142">
        <v>10460</v>
      </c>
      <c r="L2142" t="s">
        <v>1670</v>
      </c>
      <c r="M2142" t="s">
        <v>1672</v>
      </c>
      <c r="N2142" t="s">
        <v>1691</v>
      </c>
      <c r="O2142" t="s">
        <v>1675</v>
      </c>
      <c r="P2142" t="s">
        <v>1959</v>
      </c>
      <c r="R2142" t="s">
        <v>50</v>
      </c>
      <c r="S2142" t="s">
        <v>1670</v>
      </c>
      <c r="U2142" t="s">
        <v>1972</v>
      </c>
      <c r="W2142" t="s">
        <v>1991</v>
      </c>
      <c r="X2142">
        <v>304</v>
      </c>
      <c r="Y2142" t="s">
        <v>2006</v>
      </c>
      <c r="Z2142" t="s">
        <v>2015</v>
      </c>
      <c r="AB2142" t="s">
        <v>14547</v>
      </c>
      <c r="AD2142" t="s">
        <v>16956</v>
      </c>
      <c r="AE2142">
        <v>168</v>
      </c>
      <c r="AF2142" t="s">
        <v>2902</v>
      </c>
      <c r="AG2142" t="s">
        <v>2915</v>
      </c>
      <c r="AH2142">
        <v>1</v>
      </c>
      <c r="AI2142">
        <v>1</v>
      </c>
      <c r="AJ2142">
        <v>0</v>
      </c>
      <c r="AK2142">
        <v>100.88</v>
      </c>
      <c r="AN2142" t="s">
        <v>2926</v>
      </c>
      <c r="AO2142">
        <v>12600</v>
      </c>
      <c r="AU2142" t="s">
        <v>13051</v>
      </c>
      <c r="AW2142" t="s">
        <v>3054</v>
      </c>
      <c r="AX2142" t="s">
        <v>18685</v>
      </c>
    </row>
    <row r="2143" spans="1:50">
      <c r="A2143" s="1" t="s">
        <v>74</v>
      </c>
      <c r="B2143" t="s">
        <v>163</v>
      </c>
      <c r="C2143" t="s">
        <v>5353</v>
      </c>
      <c r="D2143" t="s">
        <v>375</v>
      </c>
      <c r="F2143" t="s">
        <v>6906</v>
      </c>
      <c r="G2143" t="s">
        <v>8268</v>
      </c>
      <c r="H2143" t="s">
        <v>1131</v>
      </c>
      <c r="I2143" t="s">
        <v>11342</v>
      </c>
      <c r="J2143" t="s">
        <v>1641</v>
      </c>
      <c r="K2143">
        <v>10460</v>
      </c>
      <c r="L2143" t="s">
        <v>1670</v>
      </c>
      <c r="M2143" t="s">
        <v>1670</v>
      </c>
      <c r="N2143" t="s">
        <v>1692</v>
      </c>
      <c r="O2143" t="s">
        <v>1939</v>
      </c>
      <c r="P2143" t="s">
        <v>1960</v>
      </c>
      <c r="R2143" t="s">
        <v>50</v>
      </c>
      <c r="S2143" t="s">
        <v>1670</v>
      </c>
      <c r="U2143" t="s">
        <v>1972</v>
      </c>
      <c r="W2143" t="s">
        <v>283</v>
      </c>
      <c r="X2143">
        <v>397</v>
      </c>
      <c r="Y2143" t="s">
        <v>2006</v>
      </c>
      <c r="Z2143" t="s">
        <v>2015</v>
      </c>
      <c r="AB2143" t="s">
        <v>14526</v>
      </c>
      <c r="AD2143" t="s">
        <v>16936</v>
      </c>
      <c r="AE2143">
        <v>168</v>
      </c>
      <c r="AF2143" t="s">
        <v>2902</v>
      </c>
      <c r="AG2143" t="s">
        <v>2915</v>
      </c>
      <c r="AH2143">
        <v>5</v>
      </c>
      <c r="AI2143">
        <v>1</v>
      </c>
      <c r="AJ2143">
        <v>0</v>
      </c>
      <c r="AK2143">
        <v>101.02</v>
      </c>
      <c r="AN2143" t="s">
        <v>2927</v>
      </c>
      <c r="AO2143">
        <v>12264</v>
      </c>
      <c r="AU2143" t="s">
        <v>13051</v>
      </c>
      <c r="AW2143" t="s">
        <v>76</v>
      </c>
    </row>
    <row r="2144" spans="1:50">
      <c r="A2144" s="1" t="s">
        <v>54</v>
      </c>
      <c r="B2144" t="s">
        <v>164</v>
      </c>
      <c r="C2144" t="s">
        <v>5354</v>
      </c>
      <c r="D2144" t="s">
        <v>187</v>
      </c>
      <c r="E2144" t="s">
        <v>371</v>
      </c>
      <c r="F2144" t="s">
        <v>6868</v>
      </c>
      <c r="G2144" t="s">
        <v>8840</v>
      </c>
      <c r="H2144" t="s">
        <v>10350</v>
      </c>
      <c r="I2144">
        <v>2</v>
      </c>
      <c r="J2144" t="s">
        <v>1643</v>
      </c>
      <c r="K2144">
        <v>10033</v>
      </c>
      <c r="L2144" t="s">
        <v>1670</v>
      </c>
      <c r="M2144" t="s">
        <v>1670</v>
      </c>
      <c r="P2144" t="s">
        <v>1962</v>
      </c>
      <c r="Q2144" t="s">
        <v>1968</v>
      </c>
      <c r="R2144" t="s">
        <v>50</v>
      </c>
      <c r="S2144" t="s">
        <v>1671</v>
      </c>
      <c r="U2144" t="s">
        <v>1972</v>
      </c>
      <c r="W2144" t="s">
        <v>187</v>
      </c>
      <c r="X2144">
        <v>1150.76</v>
      </c>
      <c r="Y2144" t="s">
        <v>2008</v>
      </c>
      <c r="Z2144" t="s">
        <v>2020</v>
      </c>
      <c r="AA2144" t="s">
        <v>2030</v>
      </c>
      <c r="AB2144" t="s">
        <v>14548</v>
      </c>
      <c r="AD2144" t="s">
        <v>16957</v>
      </c>
      <c r="AE2144" t="s">
        <v>13051</v>
      </c>
      <c r="AF2144" t="s">
        <v>2902</v>
      </c>
      <c r="AH2144">
        <v>33</v>
      </c>
      <c r="AI2144">
        <v>2</v>
      </c>
      <c r="AJ2144">
        <v>0</v>
      </c>
      <c r="AK2144">
        <v>101.19</v>
      </c>
      <c r="AN2144" t="s">
        <v>2927</v>
      </c>
      <c r="AO2144">
        <v>16656</v>
      </c>
      <c r="AU2144">
        <v>0.5</v>
      </c>
      <c r="AV2144" t="s">
        <v>281</v>
      </c>
      <c r="AW2144" t="s">
        <v>3042</v>
      </c>
    </row>
    <row r="2145" spans="1:50">
      <c r="A2145" s="1" t="s">
        <v>58</v>
      </c>
      <c r="B2145" t="s">
        <v>164</v>
      </c>
      <c r="C2145" t="s">
        <v>5355</v>
      </c>
      <c r="D2145" t="s">
        <v>294</v>
      </c>
      <c r="E2145" t="s">
        <v>195</v>
      </c>
      <c r="F2145" t="s">
        <v>7078</v>
      </c>
      <c r="G2145" t="s">
        <v>8685</v>
      </c>
      <c r="H2145" t="s">
        <v>1473</v>
      </c>
      <c r="J2145" t="s">
        <v>1641</v>
      </c>
      <c r="K2145">
        <v>10452</v>
      </c>
      <c r="L2145" t="s">
        <v>1670</v>
      </c>
      <c r="M2145" t="s">
        <v>1670</v>
      </c>
      <c r="O2145" t="s">
        <v>1945</v>
      </c>
      <c r="P2145" t="s">
        <v>1958</v>
      </c>
      <c r="Q2145" t="s">
        <v>1965</v>
      </c>
      <c r="R2145" t="s">
        <v>50</v>
      </c>
      <c r="S2145" t="s">
        <v>1671</v>
      </c>
      <c r="U2145" t="s">
        <v>1972</v>
      </c>
      <c r="W2145" t="s">
        <v>294</v>
      </c>
      <c r="X2145">
        <v>1300</v>
      </c>
      <c r="Y2145" t="s">
        <v>2006</v>
      </c>
      <c r="Z2145" t="s">
        <v>2015</v>
      </c>
      <c r="AA2145" t="s">
        <v>2029</v>
      </c>
      <c r="AB2145" t="s">
        <v>14549</v>
      </c>
      <c r="AD2145" t="s">
        <v>16688</v>
      </c>
      <c r="AE2145">
        <v>109</v>
      </c>
      <c r="AF2145" t="s">
        <v>2904</v>
      </c>
      <c r="AG2145" t="s">
        <v>1754</v>
      </c>
      <c r="AH2145">
        <v>6</v>
      </c>
      <c r="AI2145">
        <v>2</v>
      </c>
      <c r="AJ2145">
        <v>0</v>
      </c>
      <c r="AK2145">
        <v>101.41</v>
      </c>
      <c r="AN2145" t="s">
        <v>2927</v>
      </c>
      <c r="AO2145">
        <v>17148</v>
      </c>
      <c r="AU2145">
        <v>1</v>
      </c>
      <c r="AV2145" t="s">
        <v>263</v>
      </c>
      <c r="AW2145" t="s">
        <v>3046</v>
      </c>
    </row>
    <row r="2146" spans="1:50">
      <c r="A2146" s="1" t="s">
        <v>153</v>
      </c>
      <c r="B2146" t="s">
        <v>163</v>
      </c>
      <c r="C2146" t="s">
        <v>5356</v>
      </c>
      <c r="D2146" t="s">
        <v>170</v>
      </c>
      <c r="F2146" t="s">
        <v>7628</v>
      </c>
      <c r="G2146" t="s">
        <v>8826</v>
      </c>
      <c r="H2146" t="s">
        <v>10330</v>
      </c>
      <c r="I2146">
        <v>3</v>
      </c>
      <c r="J2146" t="s">
        <v>1641</v>
      </c>
      <c r="K2146">
        <v>10462</v>
      </c>
      <c r="L2146" t="s">
        <v>1670</v>
      </c>
      <c r="M2146" t="s">
        <v>1670</v>
      </c>
      <c r="N2146" t="s">
        <v>12462</v>
      </c>
      <c r="O2146" t="s">
        <v>1952</v>
      </c>
      <c r="P2146" t="s">
        <v>1962</v>
      </c>
      <c r="R2146" t="s">
        <v>50</v>
      </c>
      <c r="U2146" t="s">
        <v>1972</v>
      </c>
      <c r="W2146" t="s">
        <v>170</v>
      </c>
      <c r="X2146">
        <v>800</v>
      </c>
      <c r="Y2146" t="s">
        <v>2006</v>
      </c>
      <c r="AB2146" t="s">
        <v>13410</v>
      </c>
      <c r="AD2146" t="s">
        <v>16925</v>
      </c>
      <c r="AE2146" t="s">
        <v>13051</v>
      </c>
      <c r="AG2146" t="s">
        <v>2916</v>
      </c>
      <c r="AH2146">
        <v>1</v>
      </c>
      <c r="AI2146">
        <v>1</v>
      </c>
      <c r="AJ2146">
        <v>0</v>
      </c>
      <c r="AK2146">
        <v>101.75</v>
      </c>
      <c r="AN2146" t="s">
        <v>2926</v>
      </c>
      <c r="AO2146">
        <v>12708</v>
      </c>
      <c r="AP2146" t="s">
        <v>18330</v>
      </c>
      <c r="AU2146">
        <v>1</v>
      </c>
      <c r="AV2146" t="s">
        <v>291</v>
      </c>
      <c r="AW2146" t="s">
        <v>18660</v>
      </c>
    </row>
    <row r="2147" spans="1:50">
      <c r="A2147" s="1" t="s">
        <v>3164</v>
      </c>
      <c r="B2147" t="s">
        <v>164</v>
      </c>
      <c r="C2147" t="s">
        <v>5357</v>
      </c>
      <c r="D2147" t="s">
        <v>368</v>
      </c>
      <c r="E2147" t="s">
        <v>393</v>
      </c>
      <c r="F2147" t="s">
        <v>7111</v>
      </c>
      <c r="G2147" t="s">
        <v>8654</v>
      </c>
      <c r="H2147" t="s">
        <v>10351</v>
      </c>
      <c r="I2147" t="s">
        <v>10963</v>
      </c>
      <c r="J2147" t="s">
        <v>1643</v>
      </c>
      <c r="K2147">
        <v>10026</v>
      </c>
      <c r="L2147" t="s">
        <v>1670</v>
      </c>
      <c r="M2147" t="s">
        <v>1670</v>
      </c>
      <c r="O2147" t="s">
        <v>1939</v>
      </c>
      <c r="P2147" t="s">
        <v>1958</v>
      </c>
      <c r="Q2147" t="s">
        <v>1965</v>
      </c>
      <c r="R2147" t="s">
        <v>50</v>
      </c>
      <c r="S2147" t="s">
        <v>1671</v>
      </c>
      <c r="U2147" t="s">
        <v>1972</v>
      </c>
      <c r="W2147" t="s">
        <v>1992</v>
      </c>
      <c r="X2147" t="s">
        <v>13051</v>
      </c>
      <c r="Y2147" t="s">
        <v>2008</v>
      </c>
      <c r="Z2147" t="s">
        <v>2020</v>
      </c>
      <c r="AA2147" t="s">
        <v>2030</v>
      </c>
      <c r="AB2147" t="s">
        <v>14550</v>
      </c>
      <c r="AD2147" t="s">
        <v>16958</v>
      </c>
      <c r="AE2147" t="s">
        <v>13051</v>
      </c>
      <c r="AG2147" t="s">
        <v>1754</v>
      </c>
      <c r="AH2147" t="s">
        <v>13051</v>
      </c>
      <c r="AI2147">
        <v>1</v>
      </c>
      <c r="AJ2147">
        <v>0</v>
      </c>
      <c r="AK2147">
        <v>101.81</v>
      </c>
      <c r="AO2147">
        <v>12360</v>
      </c>
      <c r="AU2147">
        <v>0.1</v>
      </c>
      <c r="AV2147" t="s">
        <v>393</v>
      </c>
      <c r="AW2147" t="s">
        <v>18676</v>
      </c>
    </row>
    <row r="2148" spans="1:50">
      <c r="A2148" s="1" t="s">
        <v>148</v>
      </c>
      <c r="B2148" t="s">
        <v>164</v>
      </c>
      <c r="C2148" t="s">
        <v>5358</v>
      </c>
      <c r="D2148" t="s">
        <v>396</v>
      </c>
      <c r="E2148" t="s">
        <v>396</v>
      </c>
      <c r="F2148" t="s">
        <v>7013</v>
      </c>
      <c r="G2148" t="s">
        <v>8841</v>
      </c>
      <c r="H2148" t="s">
        <v>10352</v>
      </c>
      <c r="I2148" t="s">
        <v>11145</v>
      </c>
      <c r="J2148" t="s">
        <v>1644</v>
      </c>
      <c r="K2148">
        <v>11209</v>
      </c>
      <c r="L2148" t="s">
        <v>1670</v>
      </c>
      <c r="M2148" t="s">
        <v>1672</v>
      </c>
      <c r="N2148" t="s">
        <v>12463</v>
      </c>
      <c r="O2148" t="s">
        <v>1936</v>
      </c>
      <c r="P2148" t="s">
        <v>1960</v>
      </c>
      <c r="Q2148" t="s">
        <v>13024</v>
      </c>
      <c r="R2148" t="s">
        <v>50</v>
      </c>
      <c r="S2148" t="s">
        <v>1671</v>
      </c>
      <c r="U2148" t="s">
        <v>1972</v>
      </c>
      <c r="W2148" t="s">
        <v>202</v>
      </c>
      <c r="X2148">
        <v>1194</v>
      </c>
      <c r="Y2148" t="s">
        <v>2009</v>
      </c>
      <c r="Z2148" t="s">
        <v>2014</v>
      </c>
      <c r="AA2148" t="s">
        <v>2032</v>
      </c>
      <c r="AB2148" t="s">
        <v>14551</v>
      </c>
      <c r="AD2148" t="s">
        <v>16959</v>
      </c>
      <c r="AE2148">
        <v>34</v>
      </c>
      <c r="AF2148" t="s">
        <v>2902</v>
      </c>
      <c r="AH2148" t="s">
        <v>13051</v>
      </c>
      <c r="AI2148">
        <v>4</v>
      </c>
      <c r="AJ2148">
        <v>0</v>
      </c>
      <c r="AK2148">
        <v>101.83</v>
      </c>
      <c r="AO2148">
        <v>26220</v>
      </c>
      <c r="AP2148" t="s">
        <v>18331</v>
      </c>
      <c r="AU2148">
        <v>6</v>
      </c>
      <c r="AV2148" t="s">
        <v>396</v>
      </c>
      <c r="AW2148" t="s">
        <v>148</v>
      </c>
      <c r="AX2148" t="s">
        <v>18685</v>
      </c>
    </row>
    <row r="2149" spans="1:50">
      <c r="A2149" s="1" t="s">
        <v>64</v>
      </c>
      <c r="B2149" t="s">
        <v>164</v>
      </c>
      <c r="C2149" t="s">
        <v>5359</v>
      </c>
      <c r="D2149" t="s">
        <v>185</v>
      </c>
      <c r="E2149" t="s">
        <v>262</v>
      </c>
      <c r="F2149" t="s">
        <v>7641</v>
      </c>
      <c r="G2149" t="s">
        <v>8842</v>
      </c>
      <c r="H2149" t="s">
        <v>10353</v>
      </c>
      <c r="I2149" t="s">
        <v>10972</v>
      </c>
      <c r="J2149" t="s">
        <v>1643</v>
      </c>
      <c r="K2149">
        <v>10040</v>
      </c>
      <c r="L2149" t="s">
        <v>1670</v>
      </c>
      <c r="M2149" t="s">
        <v>1670</v>
      </c>
      <c r="O2149" t="s">
        <v>1936</v>
      </c>
      <c r="P2149" t="s">
        <v>1958</v>
      </c>
      <c r="Q2149" t="s">
        <v>1965</v>
      </c>
      <c r="R2149" t="s">
        <v>50</v>
      </c>
      <c r="S2149" t="s">
        <v>1671</v>
      </c>
      <c r="U2149" t="s">
        <v>1972</v>
      </c>
      <c r="W2149" t="s">
        <v>185</v>
      </c>
      <c r="X2149">
        <v>847.33</v>
      </c>
      <c r="Y2149" t="s">
        <v>2008</v>
      </c>
      <c r="Z2149" t="s">
        <v>2013</v>
      </c>
      <c r="AA2149" t="s">
        <v>2029</v>
      </c>
      <c r="AB2149" t="s">
        <v>14552</v>
      </c>
      <c r="AD2149" t="s">
        <v>16960</v>
      </c>
      <c r="AE2149">
        <v>72</v>
      </c>
      <c r="AF2149" t="s">
        <v>2902</v>
      </c>
      <c r="AG2149" t="s">
        <v>2919</v>
      </c>
      <c r="AH2149">
        <v>30</v>
      </c>
      <c r="AI2149">
        <v>1</v>
      </c>
      <c r="AJ2149">
        <v>0</v>
      </c>
      <c r="AK2149">
        <v>101.91</v>
      </c>
      <c r="AN2149" t="s">
        <v>2926</v>
      </c>
      <c r="AO2149">
        <v>12372</v>
      </c>
      <c r="AU2149">
        <v>5.35</v>
      </c>
      <c r="AV2149" t="s">
        <v>209</v>
      </c>
      <c r="AW2149" t="s">
        <v>3042</v>
      </c>
    </row>
    <row r="2150" spans="1:50">
      <c r="A2150" s="1" t="s">
        <v>105</v>
      </c>
      <c r="B2150" t="s">
        <v>163</v>
      </c>
      <c r="C2150" t="s">
        <v>5360</v>
      </c>
      <c r="D2150" t="s">
        <v>267</v>
      </c>
      <c r="F2150" t="s">
        <v>658</v>
      </c>
      <c r="G2150" t="s">
        <v>8843</v>
      </c>
      <c r="H2150" t="s">
        <v>1312</v>
      </c>
      <c r="I2150" t="s">
        <v>1538</v>
      </c>
      <c r="J2150" t="s">
        <v>1641</v>
      </c>
      <c r="K2150">
        <v>10459</v>
      </c>
      <c r="L2150" t="s">
        <v>1670</v>
      </c>
      <c r="M2150" t="s">
        <v>1670</v>
      </c>
      <c r="O2150" t="s">
        <v>1939</v>
      </c>
      <c r="P2150" t="s">
        <v>1960</v>
      </c>
      <c r="R2150" t="s">
        <v>50</v>
      </c>
      <c r="S2150" t="s">
        <v>1670</v>
      </c>
      <c r="U2150" t="s">
        <v>1972</v>
      </c>
      <c r="W2150" t="s">
        <v>307</v>
      </c>
      <c r="X2150">
        <v>900</v>
      </c>
      <c r="Y2150" t="s">
        <v>2006</v>
      </c>
      <c r="Z2150" t="s">
        <v>2016</v>
      </c>
      <c r="AB2150" t="s">
        <v>14553</v>
      </c>
      <c r="AD2150" t="s">
        <v>16961</v>
      </c>
      <c r="AE2150">
        <v>48</v>
      </c>
      <c r="AF2150" t="s">
        <v>2909</v>
      </c>
      <c r="AH2150">
        <v>18</v>
      </c>
      <c r="AI2150">
        <v>2</v>
      </c>
      <c r="AJ2150">
        <v>0</v>
      </c>
      <c r="AK2150">
        <v>102.07</v>
      </c>
      <c r="AN2150" t="s">
        <v>2926</v>
      </c>
      <c r="AO2150">
        <v>16800</v>
      </c>
      <c r="AU2150">
        <v>3.4</v>
      </c>
      <c r="AV2150" t="s">
        <v>301</v>
      </c>
      <c r="AW2150" t="s">
        <v>3047</v>
      </c>
    </row>
    <row r="2151" spans="1:50">
      <c r="A2151" s="1" t="s">
        <v>123</v>
      </c>
      <c r="B2151" t="s">
        <v>163</v>
      </c>
      <c r="C2151" t="s">
        <v>5361</v>
      </c>
      <c r="D2151" t="s">
        <v>242</v>
      </c>
      <c r="F2151" t="s">
        <v>7642</v>
      </c>
      <c r="G2151" t="s">
        <v>8130</v>
      </c>
      <c r="H2151" t="s">
        <v>1432</v>
      </c>
      <c r="I2151" t="s">
        <v>1498</v>
      </c>
      <c r="J2151" t="s">
        <v>1641</v>
      </c>
      <c r="K2151">
        <v>10453</v>
      </c>
      <c r="L2151" t="s">
        <v>1670</v>
      </c>
      <c r="M2151" t="s">
        <v>1670</v>
      </c>
      <c r="N2151" t="s">
        <v>12464</v>
      </c>
      <c r="O2151" t="s">
        <v>1939</v>
      </c>
      <c r="P2151" t="s">
        <v>1960</v>
      </c>
      <c r="R2151" t="s">
        <v>50</v>
      </c>
      <c r="S2151" t="s">
        <v>1671</v>
      </c>
      <c r="U2151" t="s">
        <v>1972</v>
      </c>
      <c r="W2151" t="s">
        <v>402</v>
      </c>
      <c r="X2151">
        <v>1437</v>
      </c>
      <c r="Y2151" t="s">
        <v>2006</v>
      </c>
      <c r="Z2151" t="s">
        <v>2020</v>
      </c>
      <c r="AB2151" t="s">
        <v>14554</v>
      </c>
      <c r="AD2151" t="s">
        <v>16962</v>
      </c>
      <c r="AE2151">
        <v>53</v>
      </c>
      <c r="AF2151" t="s">
        <v>2902</v>
      </c>
      <c r="AG2151" t="s">
        <v>2915</v>
      </c>
      <c r="AH2151">
        <v>25</v>
      </c>
      <c r="AI2151">
        <v>1</v>
      </c>
      <c r="AJ2151">
        <v>0</v>
      </c>
      <c r="AK2151">
        <v>102.5</v>
      </c>
      <c r="AN2151" t="s">
        <v>2927</v>
      </c>
      <c r="AO2151">
        <v>12444</v>
      </c>
      <c r="AU2151">
        <v>15.25</v>
      </c>
      <c r="AV2151" t="s">
        <v>6186</v>
      </c>
      <c r="AW2151" t="s">
        <v>3047</v>
      </c>
    </row>
    <row r="2152" spans="1:50">
      <c r="A2152" s="1" t="s">
        <v>146</v>
      </c>
      <c r="B2152" t="s">
        <v>164</v>
      </c>
      <c r="C2152" t="s">
        <v>5362</v>
      </c>
      <c r="D2152" t="s">
        <v>215</v>
      </c>
      <c r="E2152" t="s">
        <v>6160</v>
      </c>
      <c r="F2152" t="s">
        <v>7643</v>
      </c>
      <c r="G2152" t="s">
        <v>8514</v>
      </c>
      <c r="H2152" t="s">
        <v>1406</v>
      </c>
      <c r="I2152" t="s">
        <v>11349</v>
      </c>
      <c r="J2152" t="s">
        <v>1641</v>
      </c>
      <c r="K2152">
        <v>10460</v>
      </c>
      <c r="L2152" t="s">
        <v>1670</v>
      </c>
      <c r="M2152" t="s">
        <v>1670</v>
      </c>
      <c r="O2152" t="s">
        <v>1941</v>
      </c>
      <c r="P2152" t="s">
        <v>1958</v>
      </c>
      <c r="Q2152" t="s">
        <v>1965</v>
      </c>
      <c r="R2152" t="s">
        <v>50</v>
      </c>
      <c r="S2152" t="s">
        <v>1671</v>
      </c>
      <c r="U2152" t="s">
        <v>1972</v>
      </c>
      <c r="W2152" t="s">
        <v>1992</v>
      </c>
      <c r="X2152">
        <v>987.5</v>
      </c>
      <c r="Y2152" t="s">
        <v>2006</v>
      </c>
      <c r="Z2152" t="s">
        <v>2025</v>
      </c>
      <c r="AA2152" t="s">
        <v>2029</v>
      </c>
      <c r="AB2152" t="s">
        <v>13904</v>
      </c>
      <c r="AD2152" t="s">
        <v>16963</v>
      </c>
      <c r="AE2152">
        <v>51</v>
      </c>
      <c r="AF2152" t="s">
        <v>2904</v>
      </c>
      <c r="AG2152" t="s">
        <v>2915</v>
      </c>
      <c r="AH2152">
        <v>45</v>
      </c>
      <c r="AI2152">
        <v>2</v>
      </c>
      <c r="AJ2152">
        <v>0</v>
      </c>
      <c r="AK2152">
        <v>102.79</v>
      </c>
      <c r="AN2152" t="s">
        <v>2926</v>
      </c>
      <c r="AO2152">
        <v>16920</v>
      </c>
      <c r="AU2152">
        <v>2.6</v>
      </c>
      <c r="AV2152" t="s">
        <v>6160</v>
      </c>
      <c r="AW2152" t="s">
        <v>3084</v>
      </c>
    </row>
    <row r="2153" spans="1:50">
      <c r="A2153" s="1" t="s">
        <v>57</v>
      </c>
      <c r="B2153" t="s">
        <v>164</v>
      </c>
      <c r="C2153" t="s">
        <v>5363</v>
      </c>
      <c r="D2153" t="s">
        <v>175</v>
      </c>
      <c r="E2153" t="s">
        <v>371</v>
      </c>
      <c r="F2153" t="s">
        <v>7174</v>
      </c>
      <c r="G2153" t="s">
        <v>959</v>
      </c>
      <c r="H2153" t="s">
        <v>1214</v>
      </c>
      <c r="I2153" t="s">
        <v>1560</v>
      </c>
      <c r="J2153" t="s">
        <v>1641</v>
      </c>
      <c r="K2153">
        <v>10452</v>
      </c>
      <c r="L2153" t="s">
        <v>1670</v>
      </c>
      <c r="M2153" t="s">
        <v>1670</v>
      </c>
      <c r="O2153" t="s">
        <v>1941</v>
      </c>
      <c r="P2153" t="s">
        <v>1958</v>
      </c>
      <c r="Q2153" t="s">
        <v>1965</v>
      </c>
      <c r="R2153" t="s">
        <v>50</v>
      </c>
      <c r="S2153" t="s">
        <v>1670</v>
      </c>
      <c r="U2153" t="s">
        <v>1972</v>
      </c>
      <c r="W2153" t="s">
        <v>359</v>
      </c>
      <c r="X2153">
        <v>844.7</v>
      </c>
      <c r="Y2153" t="s">
        <v>2006</v>
      </c>
      <c r="Z2153" t="s">
        <v>2015</v>
      </c>
      <c r="AA2153" t="s">
        <v>2029</v>
      </c>
      <c r="AB2153" t="s">
        <v>14555</v>
      </c>
      <c r="AD2153" t="s">
        <v>16964</v>
      </c>
      <c r="AE2153">
        <v>53</v>
      </c>
      <c r="AF2153" t="s">
        <v>2904</v>
      </c>
      <c r="AG2153" t="s">
        <v>1754</v>
      </c>
      <c r="AH2153">
        <v>3</v>
      </c>
      <c r="AI2153">
        <v>2</v>
      </c>
      <c r="AJ2153">
        <v>0</v>
      </c>
      <c r="AK2153">
        <v>102.87</v>
      </c>
      <c r="AN2153" t="s">
        <v>2926</v>
      </c>
      <c r="AO2153">
        <v>16932</v>
      </c>
      <c r="AP2153" t="s">
        <v>18250</v>
      </c>
      <c r="AU2153">
        <v>1.5</v>
      </c>
      <c r="AV2153" t="s">
        <v>395</v>
      </c>
      <c r="AW2153" t="s">
        <v>3046</v>
      </c>
    </row>
    <row r="2154" spans="1:50">
      <c r="A2154" s="1" t="s">
        <v>62</v>
      </c>
      <c r="B2154" t="s">
        <v>163</v>
      </c>
      <c r="C2154" t="s">
        <v>5364</v>
      </c>
      <c r="D2154" t="s">
        <v>6200</v>
      </c>
      <c r="F2154" t="s">
        <v>651</v>
      </c>
      <c r="G2154" t="s">
        <v>6881</v>
      </c>
      <c r="H2154" t="s">
        <v>10161</v>
      </c>
      <c r="I2154" t="s">
        <v>11278</v>
      </c>
      <c r="J2154" t="s">
        <v>1644</v>
      </c>
      <c r="K2154">
        <v>11226</v>
      </c>
      <c r="L2154" t="s">
        <v>1670</v>
      </c>
      <c r="M2154" t="s">
        <v>1670</v>
      </c>
      <c r="O2154" t="s">
        <v>1939</v>
      </c>
      <c r="P2154" t="s">
        <v>1960</v>
      </c>
      <c r="R2154" t="s">
        <v>50</v>
      </c>
      <c r="S2154" t="s">
        <v>1670</v>
      </c>
      <c r="T2154" t="s">
        <v>13026</v>
      </c>
      <c r="U2154" t="s">
        <v>1972</v>
      </c>
      <c r="W2154" t="s">
        <v>1992</v>
      </c>
      <c r="X2154">
        <v>915</v>
      </c>
      <c r="Y2154" t="s">
        <v>2009</v>
      </c>
      <c r="Z2154" t="s">
        <v>2015</v>
      </c>
      <c r="AB2154" t="s">
        <v>14257</v>
      </c>
      <c r="AD2154" t="s">
        <v>16682</v>
      </c>
      <c r="AE2154">
        <v>6</v>
      </c>
      <c r="AF2154" t="s">
        <v>2902</v>
      </c>
      <c r="AG2154" t="s">
        <v>1754</v>
      </c>
      <c r="AH2154">
        <v>9</v>
      </c>
      <c r="AI2154">
        <v>1</v>
      </c>
      <c r="AJ2154">
        <v>0</v>
      </c>
      <c r="AK2154">
        <v>102.97</v>
      </c>
      <c r="AN2154" t="s">
        <v>2926</v>
      </c>
      <c r="AO2154">
        <v>12500</v>
      </c>
      <c r="AU2154">
        <v>1</v>
      </c>
      <c r="AV2154" t="s">
        <v>6132</v>
      </c>
      <c r="AW2154" t="s">
        <v>3079</v>
      </c>
    </row>
    <row r="2155" spans="1:50">
      <c r="A2155" s="1" t="s">
        <v>145</v>
      </c>
      <c r="B2155" t="s">
        <v>163</v>
      </c>
      <c r="C2155" t="s">
        <v>5365</v>
      </c>
      <c r="D2155" t="s">
        <v>191</v>
      </c>
      <c r="F2155" t="s">
        <v>7273</v>
      </c>
      <c r="G2155" t="s">
        <v>8392</v>
      </c>
      <c r="H2155" t="s">
        <v>9808</v>
      </c>
      <c r="I2155" t="s">
        <v>1525</v>
      </c>
      <c r="J2155" t="s">
        <v>1644</v>
      </c>
      <c r="K2155">
        <v>11233</v>
      </c>
      <c r="L2155" t="s">
        <v>1670</v>
      </c>
      <c r="M2155" t="s">
        <v>1672</v>
      </c>
      <c r="N2155" t="s">
        <v>12465</v>
      </c>
      <c r="O2155" t="s">
        <v>1936</v>
      </c>
      <c r="P2155" t="s">
        <v>1960</v>
      </c>
      <c r="R2155" t="s">
        <v>50</v>
      </c>
      <c r="S2155" t="s">
        <v>1671</v>
      </c>
      <c r="U2155" t="s">
        <v>1972</v>
      </c>
      <c r="V2155" t="s">
        <v>1984</v>
      </c>
      <c r="W2155" t="s">
        <v>191</v>
      </c>
      <c r="X2155">
        <v>1275.64</v>
      </c>
      <c r="Y2155" t="s">
        <v>2009</v>
      </c>
      <c r="Z2155" t="s">
        <v>2020</v>
      </c>
      <c r="AB2155" t="s">
        <v>13797</v>
      </c>
      <c r="AD2155" t="s">
        <v>15077</v>
      </c>
      <c r="AE2155">
        <v>6</v>
      </c>
      <c r="AF2155" t="s">
        <v>2902</v>
      </c>
      <c r="AH2155">
        <v>16</v>
      </c>
      <c r="AI2155">
        <v>3</v>
      </c>
      <c r="AJ2155">
        <v>0</v>
      </c>
      <c r="AK2155">
        <v>103.14</v>
      </c>
      <c r="AO2155">
        <v>22000</v>
      </c>
      <c r="AP2155" t="s">
        <v>18332</v>
      </c>
      <c r="AU2155">
        <v>15.5</v>
      </c>
      <c r="AV2155" t="s">
        <v>3030</v>
      </c>
      <c r="AW2155" t="s">
        <v>130</v>
      </c>
      <c r="AX2155" t="s">
        <v>18685</v>
      </c>
    </row>
    <row r="2156" spans="1:50">
      <c r="A2156" s="1" t="s">
        <v>96</v>
      </c>
      <c r="B2156" t="s">
        <v>164</v>
      </c>
      <c r="C2156" t="s">
        <v>5366</v>
      </c>
      <c r="D2156" t="s">
        <v>407</v>
      </c>
      <c r="E2156" t="s">
        <v>299</v>
      </c>
      <c r="F2156" t="s">
        <v>7644</v>
      </c>
      <c r="G2156" t="s">
        <v>7874</v>
      </c>
      <c r="H2156" t="s">
        <v>9374</v>
      </c>
      <c r="I2156" t="s">
        <v>10938</v>
      </c>
      <c r="J2156" t="s">
        <v>1644</v>
      </c>
      <c r="K2156">
        <v>11203</v>
      </c>
      <c r="L2156" t="s">
        <v>1670</v>
      </c>
      <c r="M2156" t="s">
        <v>1670</v>
      </c>
      <c r="O2156" t="s">
        <v>1937</v>
      </c>
      <c r="P2156" t="s">
        <v>1962</v>
      </c>
      <c r="Q2156" t="s">
        <v>1968</v>
      </c>
      <c r="R2156" t="s">
        <v>50</v>
      </c>
      <c r="T2156" t="s">
        <v>50</v>
      </c>
      <c r="U2156" t="s">
        <v>1972</v>
      </c>
      <c r="W2156" t="s">
        <v>407</v>
      </c>
      <c r="X2156">
        <v>166</v>
      </c>
      <c r="Y2156" t="s">
        <v>2009</v>
      </c>
      <c r="Z2156" t="s">
        <v>2020</v>
      </c>
      <c r="AA2156" t="s">
        <v>2030</v>
      </c>
      <c r="AB2156" t="s">
        <v>13074</v>
      </c>
      <c r="AD2156" t="s">
        <v>15708</v>
      </c>
      <c r="AE2156">
        <v>6</v>
      </c>
      <c r="AF2156" t="s">
        <v>2902</v>
      </c>
      <c r="AH2156">
        <v>4</v>
      </c>
      <c r="AI2156">
        <v>1</v>
      </c>
      <c r="AJ2156">
        <v>0</v>
      </c>
      <c r="AK2156">
        <v>103.2</v>
      </c>
      <c r="AN2156" t="s">
        <v>2926</v>
      </c>
      <c r="AO2156">
        <v>12528</v>
      </c>
      <c r="AU2156">
        <v>11.1</v>
      </c>
      <c r="AV2156" t="s">
        <v>299</v>
      </c>
      <c r="AW2156" t="s">
        <v>3049</v>
      </c>
    </row>
    <row r="2157" spans="1:50">
      <c r="A2157" s="1" t="s">
        <v>62</v>
      </c>
      <c r="B2157" t="s">
        <v>163</v>
      </c>
      <c r="C2157" t="s">
        <v>5367</v>
      </c>
      <c r="D2157" t="s">
        <v>6198</v>
      </c>
      <c r="F2157" t="s">
        <v>7405</v>
      </c>
      <c r="G2157" t="s">
        <v>8835</v>
      </c>
      <c r="H2157" t="s">
        <v>9933</v>
      </c>
      <c r="I2157" t="s">
        <v>11346</v>
      </c>
      <c r="J2157" t="s">
        <v>1644</v>
      </c>
      <c r="K2157">
        <v>11226</v>
      </c>
      <c r="L2157" t="s">
        <v>1670</v>
      </c>
      <c r="M2157" t="s">
        <v>1670</v>
      </c>
      <c r="O2157" t="s">
        <v>1941</v>
      </c>
      <c r="P2157" t="s">
        <v>1960</v>
      </c>
      <c r="R2157" t="s">
        <v>50</v>
      </c>
      <c r="S2157" t="s">
        <v>1670</v>
      </c>
      <c r="U2157" t="s">
        <v>1972</v>
      </c>
      <c r="W2157" t="s">
        <v>252</v>
      </c>
      <c r="X2157">
        <v>1091.17</v>
      </c>
      <c r="Y2157" t="s">
        <v>2009</v>
      </c>
      <c r="Z2157" t="s">
        <v>2015</v>
      </c>
      <c r="AB2157" t="s">
        <v>14174</v>
      </c>
      <c r="AD2157" t="s">
        <v>16954</v>
      </c>
      <c r="AE2157">
        <v>61</v>
      </c>
      <c r="AF2157" t="s">
        <v>2902</v>
      </c>
      <c r="AG2157" t="s">
        <v>2915</v>
      </c>
      <c r="AH2157">
        <v>15</v>
      </c>
      <c r="AI2157">
        <v>1</v>
      </c>
      <c r="AJ2157">
        <v>0</v>
      </c>
      <c r="AK2157">
        <v>103.2</v>
      </c>
      <c r="AN2157" t="s">
        <v>2926</v>
      </c>
      <c r="AO2157">
        <v>12528</v>
      </c>
      <c r="AU2157">
        <v>31.7</v>
      </c>
      <c r="AV2157" t="s">
        <v>337</v>
      </c>
      <c r="AW2157" t="s">
        <v>3079</v>
      </c>
    </row>
    <row r="2158" spans="1:50">
      <c r="A2158" s="1" t="s">
        <v>96</v>
      </c>
      <c r="B2158" t="s">
        <v>163</v>
      </c>
      <c r="C2158" t="s">
        <v>5368</v>
      </c>
      <c r="D2158" t="s">
        <v>243</v>
      </c>
      <c r="F2158" t="s">
        <v>422</v>
      </c>
      <c r="G2158" t="s">
        <v>7874</v>
      </c>
      <c r="H2158" t="s">
        <v>9374</v>
      </c>
      <c r="I2158" t="s">
        <v>10938</v>
      </c>
      <c r="J2158" t="s">
        <v>1644</v>
      </c>
      <c r="K2158">
        <v>11203</v>
      </c>
      <c r="L2158" t="s">
        <v>1670</v>
      </c>
      <c r="M2158" t="s">
        <v>1670</v>
      </c>
      <c r="N2158" t="s">
        <v>12466</v>
      </c>
      <c r="O2158" t="s">
        <v>1936</v>
      </c>
      <c r="P2158" t="s">
        <v>1960</v>
      </c>
      <c r="R2158" t="s">
        <v>50</v>
      </c>
      <c r="S2158" t="s">
        <v>1671</v>
      </c>
      <c r="U2158" t="s">
        <v>1972</v>
      </c>
      <c r="V2158" t="s">
        <v>1984</v>
      </c>
      <c r="W2158" t="s">
        <v>243</v>
      </c>
      <c r="X2158">
        <v>166</v>
      </c>
      <c r="Y2158" t="s">
        <v>2009</v>
      </c>
      <c r="Z2158" t="s">
        <v>2020</v>
      </c>
      <c r="AB2158" t="s">
        <v>13074</v>
      </c>
      <c r="AD2158" t="s">
        <v>15708</v>
      </c>
      <c r="AE2158">
        <v>114</v>
      </c>
      <c r="AF2158" t="s">
        <v>18015</v>
      </c>
      <c r="AH2158">
        <v>4</v>
      </c>
      <c r="AI2158">
        <v>1</v>
      </c>
      <c r="AJ2158">
        <v>0</v>
      </c>
      <c r="AK2158">
        <v>103.2</v>
      </c>
      <c r="AN2158" t="s">
        <v>2926</v>
      </c>
      <c r="AO2158">
        <v>12528</v>
      </c>
      <c r="AQ2158" t="s">
        <v>2979</v>
      </c>
      <c r="AU2158">
        <v>29.9</v>
      </c>
      <c r="AV2158" t="s">
        <v>401</v>
      </c>
      <c r="AW2158" t="s">
        <v>158</v>
      </c>
      <c r="AX2158" t="s">
        <v>18685</v>
      </c>
    </row>
    <row r="2159" spans="1:50">
      <c r="A2159" s="1" t="s">
        <v>62</v>
      </c>
      <c r="B2159" t="s">
        <v>163</v>
      </c>
      <c r="C2159" t="s">
        <v>5369</v>
      </c>
      <c r="D2159" t="s">
        <v>167</v>
      </c>
      <c r="F2159" t="s">
        <v>7645</v>
      </c>
      <c r="G2159" t="s">
        <v>8844</v>
      </c>
      <c r="H2159" t="s">
        <v>9576</v>
      </c>
      <c r="I2159" t="s">
        <v>11158</v>
      </c>
      <c r="J2159" t="s">
        <v>1644</v>
      </c>
      <c r="K2159">
        <v>11226</v>
      </c>
      <c r="L2159" t="s">
        <v>1670</v>
      </c>
      <c r="M2159" t="s">
        <v>1670</v>
      </c>
      <c r="N2159" t="s">
        <v>12467</v>
      </c>
      <c r="O2159" t="s">
        <v>1939</v>
      </c>
      <c r="P2159" t="s">
        <v>1963</v>
      </c>
      <c r="R2159" t="s">
        <v>50</v>
      </c>
      <c r="S2159" t="s">
        <v>1670</v>
      </c>
      <c r="U2159" t="s">
        <v>1972</v>
      </c>
      <c r="W2159" t="s">
        <v>238</v>
      </c>
      <c r="X2159">
        <v>1529.97</v>
      </c>
      <c r="Y2159" t="s">
        <v>2009</v>
      </c>
      <c r="Z2159" t="s">
        <v>2020</v>
      </c>
      <c r="AB2159" t="s">
        <v>14556</v>
      </c>
      <c r="AE2159">
        <v>6</v>
      </c>
      <c r="AF2159" t="s">
        <v>2902</v>
      </c>
      <c r="AG2159" t="s">
        <v>1754</v>
      </c>
      <c r="AH2159">
        <v>6</v>
      </c>
      <c r="AI2159">
        <v>2</v>
      </c>
      <c r="AJ2159">
        <v>0</v>
      </c>
      <c r="AK2159">
        <v>103.28</v>
      </c>
      <c r="AN2159" t="s">
        <v>2926</v>
      </c>
      <c r="AO2159">
        <v>17000</v>
      </c>
      <c r="AU2159">
        <v>38.65</v>
      </c>
      <c r="AV2159" t="s">
        <v>397</v>
      </c>
      <c r="AW2159" t="s">
        <v>3074</v>
      </c>
    </row>
    <row r="2160" spans="1:50">
      <c r="A2160" s="1" t="s">
        <v>72</v>
      </c>
      <c r="B2160" t="s">
        <v>163</v>
      </c>
      <c r="C2160" t="s">
        <v>5370</v>
      </c>
      <c r="D2160" t="s">
        <v>384</v>
      </c>
      <c r="F2160" t="s">
        <v>463</v>
      </c>
      <c r="G2160" t="s">
        <v>6961</v>
      </c>
      <c r="H2160" t="s">
        <v>9665</v>
      </c>
      <c r="I2160" t="s">
        <v>1484</v>
      </c>
      <c r="J2160" t="s">
        <v>1643</v>
      </c>
      <c r="K2160">
        <v>10035</v>
      </c>
      <c r="L2160" t="s">
        <v>1670</v>
      </c>
      <c r="M2160" t="s">
        <v>1672</v>
      </c>
      <c r="N2160" t="s">
        <v>12468</v>
      </c>
      <c r="O2160" t="s">
        <v>1675</v>
      </c>
      <c r="P2160" t="s">
        <v>1963</v>
      </c>
      <c r="R2160" t="s">
        <v>50</v>
      </c>
      <c r="S2160" t="s">
        <v>1670</v>
      </c>
      <c r="U2160" t="s">
        <v>1972</v>
      </c>
      <c r="V2160" t="s">
        <v>1984</v>
      </c>
      <c r="W2160" t="s">
        <v>384</v>
      </c>
      <c r="X2160">
        <v>831</v>
      </c>
      <c r="Y2160" t="s">
        <v>2008</v>
      </c>
      <c r="Z2160" t="s">
        <v>2020</v>
      </c>
      <c r="AB2160" t="s">
        <v>14557</v>
      </c>
      <c r="AD2160" t="s">
        <v>16965</v>
      </c>
      <c r="AE2160">
        <v>35</v>
      </c>
      <c r="AF2160" t="s">
        <v>2902</v>
      </c>
      <c r="AG2160" t="s">
        <v>2919</v>
      </c>
      <c r="AH2160">
        <v>32</v>
      </c>
      <c r="AI2160">
        <v>1</v>
      </c>
      <c r="AJ2160">
        <v>0</v>
      </c>
      <c r="AK2160">
        <v>103.28</v>
      </c>
      <c r="AN2160" t="s">
        <v>2926</v>
      </c>
      <c r="AO2160">
        <v>12900</v>
      </c>
      <c r="AU2160">
        <v>7.5</v>
      </c>
      <c r="AV2160" t="s">
        <v>222</v>
      </c>
      <c r="AW2160" t="s">
        <v>3051</v>
      </c>
      <c r="AX2160" t="s">
        <v>18685</v>
      </c>
    </row>
    <row r="2161" spans="1:50">
      <c r="A2161" s="1" t="s">
        <v>74</v>
      </c>
      <c r="B2161" t="s">
        <v>163</v>
      </c>
      <c r="C2161" t="s">
        <v>5371</v>
      </c>
      <c r="D2161" t="s">
        <v>306</v>
      </c>
      <c r="F2161" t="s">
        <v>7480</v>
      </c>
      <c r="G2161" t="s">
        <v>8836</v>
      </c>
      <c r="H2161" t="s">
        <v>1131</v>
      </c>
      <c r="I2161" t="s">
        <v>1588</v>
      </c>
      <c r="J2161" t="s">
        <v>1641</v>
      </c>
      <c r="K2161">
        <v>10460</v>
      </c>
      <c r="L2161" t="s">
        <v>1670</v>
      </c>
      <c r="M2161" t="s">
        <v>1670</v>
      </c>
      <c r="N2161" t="s">
        <v>1692</v>
      </c>
      <c r="O2161" t="s">
        <v>1939</v>
      </c>
      <c r="P2161" t="s">
        <v>1960</v>
      </c>
      <c r="R2161" t="s">
        <v>50</v>
      </c>
      <c r="S2161" t="s">
        <v>1670</v>
      </c>
      <c r="U2161" t="s">
        <v>1972</v>
      </c>
      <c r="W2161" t="s">
        <v>283</v>
      </c>
      <c r="X2161">
        <v>517</v>
      </c>
      <c r="Y2161" t="s">
        <v>2006</v>
      </c>
      <c r="Z2161" t="s">
        <v>2015</v>
      </c>
      <c r="AB2161" t="s">
        <v>14544</v>
      </c>
      <c r="AE2161">
        <v>168</v>
      </c>
      <c r="AF2161" t="s">
        <v>2904</v>
      </c>
      <c r="AG2161" t="s">
        <v>2915</v>
      </c>
      <c r="AH2161">
        <v>24</v>
      </c>
      <c r="AI2161">
        <v>2</v>
      </c>
      <c r="AJ2161">
        <v>0</v>
      </c>
      <c r="AK2161">
        <v>103.28</v>
      </c>
      <c r="AN2161" t="s">
        <v>2926</v>
      </c>
      <c r="AO2161">
        <v>17000</v>
      </c>
      <c r="AU2161" t="s">
        <v>13051</v>
      </c>
      <c r="AW2161" t="s">
        <v>3046</v>
      </c>
    </row>
    <row r="2162" spans="1:50">
      <c r="A2162" s="1" t="s">
        <v>126</v>
      </c>
      <c r="B2162" t="s">
        <v>163</v>
      </c>
      <c r="C2162" t="s">
        <v>5372</v>
      </c>
      <c r="D2162" t="s">
        <v>296</v>
      </c>
      <c r="F2162" t="s">
        <v>7646</v>
      </c>
      <c r="G2162" t="s">
        <v>784</v>
      </c>
      <c r="H2162" t="s">
        <v>9627</v>
      </c>
      <c r="I2162" t="s">
        <v>11350</v>
      </c>
      <c r="J2162" t="s">
        <v>1641</v>
      </c>
      <c r="K2162">
        <v>10451</v>
      </c>
      <c r="L2162" t="s">
        <v>1670</v>
      </c>
      <c r="M2162" t="s">
        <v>1670</v>
      </c>
      <c r="N2162" t="s">
        <v>11981</v>
      </c>
      <c r="O2162" t="s">
        <v>1939</v>
      </c>
      <c r="P2162" t="s">
        <v>1960</v>
      </c>
      <c r="R2162" t="s">
        <v>50</v>
      </c>
      <c r="S2162" t="s">
        <v>1670</v>
      </c>
      <c r="U2162" t="s">
        <v>1972</v>
      </c>
      <c r="W2162" t="s">
        <v>359</v>
      </c>
      <c r="X2162">
        <v>1012</v>
      </c>
      <c r="Y2162" t="s">
        <v>2006</v>
      </c>
      <c r="Z2162" t="s">
        <v>2015</v>
      </c>
      <c r="AB2162" t="s">
        <v>14558</v>
      </c>
      <c r="AD2162" t="s">
        <v>16966</v>
      </c>
      <c r="AE2162">
        <v>100</v>
      </c>
      <c r="AF2162" t="s">
        <v>2902</v>
      </c>
      <c r="AG2162" t="s">
        <v>1754</v>
      </c>
      <c r="AH2162">
        <v>21</v>
      </c>
      <c r="AI2162">
        <v>2</v>
      </c>
      <c r="AJ2162">
        <v>0</v>
      </c>
      <c r="AK2162">
        <v>103.28</v>
      </c>
      <c r="AN2162" t="s">
        <v>2927</v>
      </c>
      <c r="AO2162">
        <v>17000</v>
      </c>
      <c r="AU2162" t="s">
        <v>13051</v>
      </c>
      <c r="AW2162" t="s">
        <v>3047</v>
      </c>
    </row>
    <row r="2163" spans="1:50">
      <c r="A2163" s="1" t="s">
        <v>63</v>
      </c>
      <c r="B2163" t="s">
        <v>164</v>
      </c>
      <c r="C2163" t="s">
        <v>5373</v>
      </c>
      <c r="D2163" t="s">
        <v>378</v>
      </c>
      <c r="E2163" t="s">
        <v>6769</v>
      </c>
      <c r="F2163" t="s">
        <v>670</v>
      </c>
      <c r="G2163" t="s">
        <v>8690</v>
      </c>
      <c r="H2163" t="s">
        <v>10170</v>
      </c>
      <c r="I2163" t="s">
        <v>11097</v>
      </c>
      <c r="J2163" t="s">
        <v>1641</v>
      </c>
      <c r="K2163">
        <v>10453</v>
      </c>
      <c r="L2163" t="s">
        <v>1670</v>
      </c>
      <c r="M2163" t="s">
        <v>1670</v>
      </c>
      <c r="O2163" t="s">
        <v>1937</v>
      </c>
      <c r="P2163" t="s">
        <v>1962</v>
      </c>
      <c r="Q2163" t="s">
        <v>1968</v>
      </c>
      <c r="R2163" t="s">
        <v>50</v>
      </c>
      <c r="S2163" t="s">
        <v>1671</v>
      </c>
      <c r="U2163" t="s">
        <v>1972</v>
      </c>
      <c r="W2163" t="s">
        <v>216</v>
      </c>
      <c r="X2163">
        <v>700</v>
      </c>
      <c r="Y2163" t="s">
        <v>2006</v>
      </c>
      <c r="AA2163" t="s">
        <v>2031</v>
      </c>
      <c r="AB2163" t="s">
        <v>14272</v>
      </c>
      <c r="AD2163" t="s">
        <v>16697</v>
      </c>
      <c r="AE2163">
        <v>58</v>
      </c>
      <c r="AF2163" t="s">
        <v>2902</v>
      </c>
      <c r="AG2163" t="s">
        <v>1754</v>
      </c>
      <c r="AH2163">
        <v>33</v>
      </c>
      <c r="AI2163">
        <v>1</v>
      </c>
      <c r="AJ2163">
        <v>0</v>
      </c>
      <c r="AK2163">
        <v>103.29</v>
      </c>
      <c r="AN2163" t="s">
        <v>2927</v>
      </c>
      <c r="AO2163">
        <v>12540</v>
      </c>
      <c r="AU2163">
        <v>1.5</v>
      </c>
      <c r="AV2163" t="s">
        <v>169</v>
      </c>
      <c r="AW2163" t="s">
        <v>3046</v>
      </c>
    </row>
    <row r="2164" spans="1:50">
      <c r="A2164" s="1" t="s">
        <v>53</v>
      </c>
      <c r="B2164" t="s">
        <v>164</v>
      </c>
      <c r="C2164" t="s">
        <v>5374</v>
      </c>
      <c r="D2164" t="s">
        <v>228</v>
      </c>
      <c r="E2164" t="s">
        <v>230</v>
      </c>
      <c r="F2164" t="s">
        <v>7269</v>
      </c>
      <c r="G2164" t="s">
        <v>8845</v>
      </c>
      <c r="H2164" t="s">
        <v>10354</v>
      </c>
      <c r="I2164" t="s">
        <v>11351</v>
      </c>
      <c r="J2164" t="s">
        <v>1645</v>
      </c>
      <c r="K2164">
        <v>11691</v>
      </c>
      <c r="L2164" t="s">
        <v>1670</v>
      </c>
      <c r="M2164" t="s">
        <v>1670</v>
      </c>
      <c r="N2164" t="s">
        <v>12469</v>
      </c>
      <c r="O2164" t="s">
        <v>1936</v>
      </c>
      <c r="P2164" t="s">
        <v>1960</v>
      </c>
      <c r="Q2164" t="s">
        <v>1966</v>
      </c>
      <c r="R2164" t="s">
        <v>50</v>
      </c>
      <c r="S2164" t="s">
        <v>1671</v>
      </c>
      <c r="U2164" t="s">
        <v>1972</v>
      </c>
      <c r="V2164" t="s">
        <v>1984</v>
      </c>
      <c r="W2164" t="s">
        <v>228</v>
      </c>
      <c r="X2164">
        <v>770</v>
      </c>
      <c r="Y2164" t="s">
        <v>2007</v>
      </c>
      <c r="Z2164" t="s">
        <v>2014</v>
      </c>
      <c r="AA2164" t="s">
        <v>2032</v>
      </c>
      <c r="AB2164" t="s">
        <v>14559</v>
      </c>
      <c r="AC2164" t="s">
        <v>15255</v>
      </c>
      <c r="AD2164" t="s">
        <v>16967</v>
      </c>
      <c r="AE2164">
        <v>256</v>
      </c>
      <c r="AF2164" t="s">
        <v>2906</v>
      </c>
      <c r="AG2164" t="s">
        <v>1754</v>
      </c>
      <c r="AH2164">
        <v>1</v>
      </c>
      <c r="AI2164">
        <v>2</v>
      </c>
      <c r="AJ2164">
        <v>0</v>
      </c>
      <c r="AK2164">
        <v>103.6</v>
      </c>
      <c r="AN2164" t="s">
        <v>2926</v>
      </c>
      <c r="AO2164">
        <v>17052</v>
      </c>
      <c r="AR2164" t="s">
        <v>2017</v>
      </c>
      <c r="AS2164" t="s">
        <v>2992</v>
      </c>
      <c r="AT2164" t="s">
        <v>3023</v>
      </c>
      <c r="AU2164">
        <v>20.15</v>
      </c>
      <c r="AV2164" t="s">
        <v>199</v>
      </c>
      <c r="AW2164" t="s">
        <v>85</v>
      </c>
    </row>
    <row r="2165" spans="1:50">
      <c r="A2165" s="1" t="s">
        <v>101</v>
      </c>
      <c r="B2165" t="s">
        <v>163</v>
      </c>
      <c r="C2165" t="s">
        <v>5375</v>
      </c>
      <c r="D2165" t="s">
        <v>356</v>
      </c>
      <c r="F2165" t="s">
        <v>460</v>
      </c>
      <c r="G2165" t="s">
        <v>8487</v>
      </c>
      <c r="H2165" t="s">
        <v>9440</v>
      </c>
      <c r="I2165">
        <v>52</v>
      </c>
      <c r="J2165" t="s">
        <v>1643</v>
      </c>
      <c r="K2165">
        <v>10039</v>
      </c>
      <c r="L2165" t="s">
        <v>1670</v>
      </c>
      <c r="M2165" t="s">
        <v>1670</v>
      </c>
      <c r="N2165" t="s">
        <v>11886</v>
      </c>
      <c r="O2165" t="s">
        <v>1939</v>
      </c>
      <c r="P2165" t="s">
        <v>1960</v>
      </c>
      <c r="R2165" t="s">
        <v>50</v>
      </c>
      <c r="S2165" t="s">
        <v>1670</v>
      </c>
      <c r="U2165" t="s">
        <v>1972</v>
      </c>
      <c r="V2165" t="s">
        <v>1984</v>
      </c>
      <c r="W2165" t="s">
        <v>238</v>
      </c>
      <c r="X2165">
        <v>196.5</v>
      </c>
      <c r="Y2165" t="s">
        <v>2008</v>
      </c>
      <c r="Z2165" t="s">
        <v>2013</v>
      </c>
      <c r="AB2165" t="s">
        <v>14560</v>
      </c>
      <c r="AD2165" t="s">
        <v>16608</v>
      </c>
      <c r="AE2165">
        <v>24</v>
      </c>
      <c r="AF2165" t="s">
        <v>2908</v>
      </c>
      <c r="AG2165" t="s">
        <v>1754</v>
      </c>
      <c r="AH2165">
        <v>50</v>
      </c>
      <c r="AI2165">
        <v>2</v>
      </c>
      <c r="AJ2165">
        <v>0</v>
      </c>
      <c r="AK2165">
        <v>103.74</v>
      </c>
      <c r="AN2165" t="s">
        <v>2926</v>
      </c>
      <c r="AO2165">
        <v>17076</v>
      </c>
      <c r="AU2165" t="s">
        <v>13051</v>
      </c>
      <c r="AW2165" t="s">
        <v>3051</v>
      </c>
    </row>
    <row r="2166" spans="1:50">
      <c r="A2166" s="1" t="s">
        <v>70</v>
      </c>
      <c r="B2166" t="s">
        <v>164</v>
      </c>
      <c r="C2166" t="s">
        <v>5376</v>
      </c>
      <c r="D2166" t="s">
        <v>224</v>
      </c>
      <c r="E2166" t="s">
        <v>273</v>
      </c>
      <c r="F2166" t="s">
        <v>7528</v>
      </c>
      <c r="G2166" t="s">
        <v>780</v>
      </c>
      <c r="H2166" t="s">
        <v>10355</v>
      </c>
      <c r="I2166" t="s">
        <v>1580</v>
      </c>
      <c r="J2166" t="s">
        <v>1641</v>
      </c>
      <c r="K2166">
        <v>10451</v>
      </c>
      <c r="L2166" t="s">
        <v>1670</v>
      </c>
      <c r="M2166" t="s">
        <v>1670</v>
      </c>
      <c r="O2166" t="s">
        <v>1936</v>
      </c>
      <c r="P2166" t="s">
        <v>1958</v>
      </c>
      <c r="Q2166" t="s">
        <v>1965</v>
      </c>
      <c r="R2166" t="s">
        <v>50</v>
      </c>
      <c r="S2166" t="s">
        <v>1671</v>
      </c>
      <c r="U2166" t="s">
        <v>1972</v>
      </c>
      <c r="W2166" t="s">
        <v>273</v>
      </c>
      <c r="X2166">
        <v>793</v>
      </c>
      <c r="Y2166" t="s">
        <v>2006</v>
      </c>
      <c r="Z2166" t="s">
        <v>2015</v>
      </c>
      <c r="AA2166" t="s">
        <v>2029</v>
      </c>
      <c r="AB2166" t="s">
        <v>14561</v>
      </c>
      <c r="AD2166" t="s">
        <v>16968</v>
      </c>
      <c r="AE2166" t="s">
        <v>13051</v>
      </c>
      <c r="AF2166" t="s">
        <v>2902</v>
      </c>
      <c r="AG2166" t="s">
        <v>1754</v>
      </c>
      <c r="AH2166">
        <v>9</v>
      </c>
      <c r="AI2166">
        <v>1</v>
      </c>
      <c r="AJ2166">
        <v>0</v>
      </c>
      <c r="AK2166">
        <v>103.79</v>
      </c>
      <c r="AN2166" t="s">
        <v>2927</v>
      </c>
      <c r="AO2166">
        <v>12600</v>
      </c>
      <c r="AU2166">
        <v>0.25</v>
      </c>
      <c r="AV2166" t="s">
        <v>273</v>
      </c>
      <c r="AW2166" t="s">
        <v>3047</v>
      </c>
    </row>
    <row r="2167" spans="1:50">
      <c r="A2167" s="1" t="s">
        <v>74</v>
      </c>
      <c r="B2167" t="s">
        <v>163</v>
      </c>
      <c r="C2167" t="s">
        <v>5377</v>
      </c>
      <c r="D2167" t="s">
        <v>341</v>
      </c>
      <c r="F2167" t="s">
        <v>573</v>
      </c>
      <c r="G2167" t="s">
        <v>8839</v>
      </c>
      <c r="H2167" t="s">
        <v>1131</v>
      </c>
      <c r="I2167" t="s">
        <v>1489</v>
      </c>
      <c r="J2167" t="s">
        <v>1641</v>
      </c>
      <c r="K2167">
        <v>10460</v>
      </c>
      <c r="L2167" t="s">
        <v>1670</v>
      </c>
      <c r="M2167" t="s">
        <v>1670</v>
      </c>
      <c r="N2167" t="s">
        <v>1692</v>
      </c>
      <c r="O2167" t="s">
        <v>1939</v>
      </c>
      <c r="P2167" t="s">
        <v>1960</v>
      </c>
      <c r="R2167" t="s">
        <v>50</v>
      </c>
      <c r="S2167" t="s">
        <v>1670</v>
      </c>
      <c r="U2167" t="s">
        <v>1972</v>
      </c>
      <c r="W2167" t="s">
        <v>283</v>
      </c>
      <c r="X2167">
        <v>304</v>
      </c>
      <c r="Y2167" t="s">
        <v>2006</v>
      </c>
      <c r="Z2167" t="s">
        <v>2015</v>
      </c>
      <c r="AB2167" t="s">
        <v>14547</v>
      </c>
      <c r="AD2167" t="s">
        <v>16956</v>
      </c>
      <c r="AE2167">
        <v>168</v>
      </c>
      <c r="AF2167" t="s">
        <v>2902</v>
      </c>
      <c r="AG2167" t="s">
        <v>2915</v>
      </c>
      <c r="AH2167">
        <v>1</v>
      </c>
      <c r="AI2167">
        <v>1</v>
      </c>
      <c r="AJ2167">
        <v>0</v>
      </c>
      <c r="AK2167">
        <v>103.79</v>
      </c>
      <c r="AN2167" t="s">
        <v>2926</v>
      </c>
      <c r="AO2167">
        <v>12600</v>
      </c>
      <c r="AU2167" t="s">
        <v>13051</v>
      </c>
      <c r="AW2167" t="s">
        <v>3046</v>
      </c>
    </row>
    <row r="2168" spans="1:50">
      <c r="A2168" s="1" t="s">
        <v>146</v>
      </c>
      <c r="B2168" t="s">
        <v>164</v>
      </c>
      <c r="C2168" t="s">
        <v>5378</v>
      </c>
      <c r="D2168" t="s">
        <v>166</v>
      </c>
      <c r="E2168" t="s">
        <v>362</v>
      </c>
      <c r="F2168" t="s">
        <v>758</v>
      </c>
      <c r="G2168" t="s">
        <v>8846</v>
      </c>
      <c r="H2168" t="s">
        <v>10356</v>
      </c>
      <c r="J2168" t="s">
        <v>1641</v>
      </c>
      <c r="K2168">
        <v>10457</v>
      </c>
      <c r="L2168" t="s">
        <v>1670</v>
      </c>
      <c r="M2168" t="s">
        <v>1670</v>
      </c>
      <c r="N2168" t="s">
        <v>12470</v>
      </c>
      <c r="O2168" t="s">
        <v>1936</v>
      </c>
      <c r="P2168" t="s">
        <v>1960</v>
      </c>
      <c r="Q2168" t="s">
        <v>1969</v>
      </c>
      <c r="R2168" t="s">
        <v>50</v>
      </c>
      <c r="S2168" t="s">
        <v>1671</v>
      </c>
      <c r="U2168" t="s">
        <v>1972</v>
      </c>
      <c r="V2168" t="s">
        <v>1986</v>
      </c>
      <c r="W2168" t="s">
        <v>166</v>
      </c>
      <c r="X2168">
        <v>2294</v>
      </c>
      <c r="Y2168" t="s">
        <v>2006</v>
      </c>
      <c r="Z2168" t="s">
        <v>2011</v>
      </c>
      <c r="AA2168" t="s">
        <v>2032</v>
      </c>
      <c r="AB2168" t="s">
        <v>14562</v>
      </c>
      <c r="AD2168" t="s">
        <v>16969</v>
      </c>
      <c r="AE2168">
        <v>186</v>
      </c>
      <c r="AF2168" t="s">
        <v>2902</v>
      </c>
      <c r="AG2168" t="s">
        <v>2915</v>
      </c>
      <c r="AH2168">
        <v>27</v>
      </c>
      <c r="AI2168">
        <v>3</v>
      </c>
      <c r="AJ2168">
        <v>0</v>
      </c>
      <c r="AK2168">
        <v>103.95</v>
      </c>
      <c r="AN2168" t="s">
        <v>2926</v>
      </c>
      <c r="AO2168">
        <v>21600</v>
      </c>
      <c r="AQ2168" t="s">
        <v>2978</v>
      </c>
      <c r="AR2168" t="s">
        <v>2982</v>
      </c>
      <c r="AS2168" t="s">
        <v>2992</v>
      </c>
      <c r="AT2168" t="s">
        <v>18583</v>
      </c>
      <c r="AU2168">
        <v>15.65</v>
      </c>
      <c r="AV2168" t="s">
        <v>408</v>
      </c>
      <c r="AW2168" t="s">
        <v>3064</v>
      </c>
    </row>
    <row r="2169" spans="1:50">
      <c r="A2169" s="1" t="s">
        <v>96</v>
      </c>
      <c r="B2169" t="s">
        <v>163</v>
      </c>
      <c r="C2169" t="s">
        <v>5379</v>
      </c>
      <c r="D2169" t="s">
        <v>195</v>
      </c>
      <c r="F2169" t="s">
        <v>7647</v>
      </c>
      <c r="G2169" t="s">
        <v>8847</v>
      </c>
      <c r="H2169" t="s">
        <v>10357</v>
      </c>
      <c r="I2169" t="s">
        <v>11352</v>
      </c>
      <c r="J2169" t="s">
        <v>1644</v>
      </c>
      <c r="K2169">
        <v>11213</v>
      </c>
      <c r="L2169" t="s">
        <v>1670</v>
      </c>
      <c r="M2169" t="s">
        <v>1670</v>
      </c>
      <c r="N2169" t="s">
        <v>12471</v>
      </c>
      <c r="O2169" t="s">
        <v>1940</v>
      </c>
      <c r="P2169" t="s">
        <v>1960</v>
      </c>
      <c r="R2169" t="s">
        <v>50</v>
      </c>
      <c r="S2169" t="s">
        <v>1671</v>
      </c>
      <c r="U2169" t="s">
        <v>1972</v>
      </c>
      <c r="V2169" t="s">
        <v>1984</v>
      </c>
      <c r="W2169" t="s">
        <v>195</v>
      </c>
      <c r="X2169">
        <v>777.39</v>
      </c>
      <c r="Y2169" t="s">
        <v>2009</v>
      </c>
      <c r="Z2169" t="s">
        <v>2020</v>
      </c>
      <c r="AB2169" t="s">
        <v>14563</v>
      </c>
      <c r="AD2169" t="s">
        <v>16970</v>
      </c>
      <c r="AE2169">
        <v>53</v>
      </c>
      <c r="AF2169" t="s">
        <v>2902</v>
      </c>
      <c r="AH2169">
        <v>37</v>
      </c>
      <c r="AI2169">
        <v>1</v>
      </c>
      <c r="AJ2169">
        <v>0</v>
      </c>
      <c r="AK2169">
        <v>103.96</v>
      </c>
      <c r="AN2169" t="s">
        <v>2926</v>
      </c>
      <c r="AO2169">
        <v>12984</v>
      </c>
      <c r="AQ2169" t="s">
        <v>2979</v>
      </c>
      <c r="AU2169">
        <v>21.2</v>
      </c>
      <c r="AV2169" t="s">
        <v>399</v>
      </c>
      <c r="AW2169" t="s">
        <v>96</v>
      </c>
      <c r="AX2169" t="s">
        <v>18685</v>
      </c>
    </row>
    <row r="2170" spans="1:50">
      <c r="A2170" s="1" t="s">
        <v>151</v>
      </c>
      <c r="B2170" t="s">
        <v>164</v>
      </c>
      <c r="C2170" t="s">
        <v>5380</v>
      </c>
      <c r="D2170" t="s">
        <v>255</v>
      </c>
      <c r="E2170" t="s">
        <v>6766</v>
      </c>
      <c r="F2170" t="s">
        <v>7405</v>
      </c>
      <c r="G2170" t="s">
        <v>875</v>
      </c>
      <c r="H2170" t="s">
        <v>10358</v>
      </c>
      <c r="J2170" t="s">
        <v>1660</v>
      </c>
      <c r="K2170">
        <v>11377</v>
      </c>
      <c r="L2170" t="s">
        <v>1670</v>
      </c>
      <c r="M2170" t="s">
        <v>1670</v>
      </c>
      <c r="N2170" t="s">
        <v>12472</v>
      </c>
      <c r="O2170" t="s">
        <v>1940</v>
      </c>
      <c r="P2170" t="s">
        <v>1958</v>
      </c>
      <c r="Q2170" t="s">
        <v>1965</v>
      </c>
      <c r="R2170" t="s">
        <v>50</v>
      </c>
      <c r="S2170" t="s">
        <v>1671</v>
      </c>
      <c r="U2170" t="s">
        <v>1972</v>
      </c>
      <c r="V2170" t="s">
        <v>1984</v>
      </c>
      <c r="W2170" t="s">
        <v>255</v>
      </c>
      <c r="X2170">
        <v>800</v>
      </c>
      <c r="Y2170" t="s">
        <v>2007</v>
      </c>
      <c r="Z2170" t="s">
        <v>2014</v>
      </c>
      <c r="AA2170" t="s">
        <v>2029</v>
      </c>
      <c r="AB2170" t="s">
        <v>14564</v>
      </c>
      <c r="AC2170" t="s">
        <v>15077</v>
      </c>
      <c r="AD2170" t="s">
        <v>16971</v>
      </c>
      <c r="AE2170">
        <v>9</v>
      </c>
      <c r="AF2170" t="s">
        <v>18014</v>
      </c>
      <c r="AG2170" t="s">
        <v>1754</v>
      </c>
      <c r="AH2170">
        <v>2</v>
      </c>
      <c r="AI2170">
        <v>1</v>
      </c>
      <c r="AJ2170">
        <v>0</v>
      </c>
      <c r="AK2170">
        <v>104.08</v>
      </c>
      <c r="AN2170" t="s">
        <v>2926</v>
      </c>
      <c r="AO2170">
        <v>13000</v>
      </c>
      <c r="AU2170">
        <v>1.25</v>
      </c>
      <c r="AV2170" t="s">
        <v>6766</v>
      </c>
      <c r="AW2170" t="s">
        <v>3073</v>
      </c>
      <c r="AX2170" t="s">
        <v>18685</v>
      </c>
    </row>
    <row r="2171" spans="1:50">
      <c r="A2171" s="1" t="s">
        <v>130</v>
      </c>
      <c r="B2171" t="s">
        <v>164</v>
      </c>
      <c r="C2171" t="s">
        <v>5381</v>
      </c>
      <c r="D2171" t="s">
        <v>313</v>
      </c>
      <c r="E2171" t="s">
        <v>283</v>
      </c>
      <c r="F2171" t="s">
        <v>427</v>
      </c>
      <c r="G2171" t="s">
        <v>8692</v>
      </c>
      <c r="H2171" t="s">
        <v>9783</v>
      </c>
      <c r="I2171" t="s">
        <v>11285</v>
      </c>
      <c r="J2171" t="s">
        <v>1644</v>
      </c>
      <c r="K2171">
        <v>11208</v>
      </c>
      <c r="L2171" t="s">
        <v>1670</v>
      </c>
      <c r="M2171" t="s">
        <v>1670</v>
      </c>
      <c r="O2171" t="s">
        <v>1937</v>
      </c>
      <c r="P2171" t="s">
        <v>1962</v>
      </c>
      <c r="Q2171" t="s">
        <v>1968</v>
      </c>
      <c r="R2171" t="s">
        <v>50</v>
      </c>
      <c r="S2171" t="s">
        <v>1670</v>
      </c>
      <c r="U2171" t="s">
        <v>1972</v>
      </c>
      <c r="V2171" t="s">
        <v>1984</v>
      </c>
      <c r="W2171" t="s">
        <v>231</v>
      </c>
      <c r="X2171">
        <v>300</v>
      </c>
      <c r="Y2171" t="s">
        <v>2009</v>
      </c>
      <c r="AA2171" t="s">
        <v>2030</v>
      </c>
      <c r="AB2171" t="s">
        <v>14275</v>
      </c>
      <c r="AD2171" t="s">
        <v>16700</v>
      </c>
      <c r="AE2171">
        <v>7</v>
      </c>
      <c r="AF2171" t="s">
        <v>2903</v>
      </c>
      <c r="AG2171" t="s">
        <v>1754</v>
      </c>
      <c r="AH2171">
        <v>3</v>
      </c>
      <c r="AI2171">
        <v>1</v>
      </c>
      <c r="AJ2171">
        <v>0</v>
      </c>
      <c r="AK2171">
        <v>104.08</v>
      </c>
      <c r="AN2171" t="s">
        <v>2927</v>
      </c>
      <c r="AO2171">
        <v>13000</v>
      </c>
      <c r="AU2171">
        <v>0.1</v>
      </c>
      <c r="AV2171" t="s">
        <v>208</v>
      </c>
      <c r="AW2171" t="s">
        <v>3059</v>
      </c>
    </row>
    <row r="2172" spans="1:50">
      <c r="A2172" s="1" t="s">
        <v>57</v>
      </c>
      <c r="B2172" t="s">
        <v>163</v>
      </c>
      <c r="C2172" t="s">
        <v>5382</v>
      </c>
      <c r="D2172" t="s">
        <v>170</v>
      </c>
      <c r="F2172" t="s">
        <v>7648</v>
      </c>
      <c r="G2172" t="s">
        <v>8145</v>
      </c>
      <c r="H2172" t="s">
        <v>1112</v>
      </c>
      <c r="I2172" t="s">
        <v>10939</v>
      </c>
      <c r="J2172" t="s">
        <v>1641</v>
      </c>
      <c r="K2172">
        <v>10453</v>
      </c>
      <c r="L2172" t="s">
        <v>1670</v>
      </c>
      <c r="M2172" t="s">
        <v>1670</v>
      </c>
      <c r="N2172" t="s">
        <v>1677</v>
      </c>
      <c r="O2172" t="s">
        <v>1939</v>
      </c>
      <c r="P2172" t="s">
        <v>1960</v>
      </c>
      <c r="R2172" t="s">
        <v>50</v>
      </c>
      <c r="S2172" t="s">
        <v>1670</v>
      </c>
      <c r="U2172" t="s">
        <v>1972</v>
      </c>
      <c r="W2172" t="s">
        <v>283</v>
      </c>
      <c r="X2172">
        <v>1152.67</v>
      </c>
      <c r="Y2172" t="s">
        <v>2006</v>
      </c>
      <c r="Z2172" t="s">
        <v>2015</v>
      </c>
      <c r="AB2172" t="s">
        <v>14565</v>
      </c>
      <c r="AD2172" t="s">
        <v>16972</v>
      </c>
      <c r="AE2172">
        <v>167</v>
      </c>
      <c r="AF2172" t="s">
        <v>2902</v>
      </c>
      <c r="AG2172" t="s">
        <v>2017</v>
      </c>
      <c r="AH2172">
        <v>14</v>
      </c>
      <c r="AI2172">
        <v>1</v>
      </c>
      <c r="AJ2172">
        <v>0</v>
      </c>
      <c r="AK2172">
        <v>104.08</v>
      </c>
      <c r="AN2172" t="s">
        <v>2926</v>
      </c>
      <c r="AO2172">
        <v>13000</v>
      </c>
      <c r="AU2172">
        <v>0.3</v>
      </c>
      <c r="AV2172" t="s">
        <v>357</v>
      </c>
      <c r="AW2172" t="s">
        <v>3046</v>
      </c>
    </row>
    <row r="2173" spans="1:50">
      <c r="A2173" s="1" t="s">
        <v>130</v>
      </c>
      <c r="B2173" t="s">
        <v>164</v>
      </c>
      <c r="C2173" t="s">
        <v>5383</v>
      </c>
      <c r="D2173" t="s">
        <v>6201</v>
      </c>
      <c r="E2173" t="s">
        <v>206</v>
      </c>
      <c r="F2173" t="s">
        <v>7297</v>
      </c>
      <c r="G2173" t="s">
        <v>843</v>
      </c>
      <c r="H2173" t="s">
        <v>10225</v>
      </c>
      <c r="I2173" t="s">
        <v>10957</v>
      </c>
      <c r="J2173" t="s">
        <v>1644</v>
      </c>
      <c r="K2173">
        <v>11237</v>
      </c>
      <c r="L2173" t="s">
        <v>1670</v>
      </c>
      <c r="M2173" t="s">
        <v>1670</v>
      </c>
      <c r="O2173" t="s">
        <v>1941</v>
      </c>
      <c r="P2173" t="s">
        <v>1959</v>
      </c>
      <c r="Q2173" t="s">
        <v>1966</v>
      </c>
      <c r="R2173" t="s">
        <v>50</v>
      </c>
      <c r="S2173" t="s">
        <v>1670</v>
      </c>
      <c r="U2173" t="s">
        <v>1972</v>
      </c>
      <c r="V2173" t="s">
        <v>1984</v>
      </c>
      <c r="W2173" t="s">
        <v>1989</v>
      </c>
      <c r="X2173">
        <v>972</v>
      </c>
      <c r="Y2173" t="s">
        <v>2009</v>
      </c>
      <c r="Z2173" t="s">
        <v>2019</v>
      </c>
      <c r="AA2173" t="s">
        <v>2030</v>
      </c>
      <c r="AB2173" t="s">
        <v>14357</v>
      </c>
      <c r="AE2173">
        <v>6</v>
      </c>
      <c r="AF2173" t="s">
        <v>2902</v>
      </c>
      <c r="AG2173" t="s">
        <v>1754</v>
      </c>
      <c r="AH2173">
        <v>19</v>
      </c>
      <c r="AI2173">
        <v>2</v>
      </c>
      <c r="AJ2173">
        <v>0</v>
      </c>
      <c r="AK2173">
        <v>104.68</v>
      </c>
      <c r="AN2173" t="s">
        <v>2927</v>
      </c>
      <c r="AO2173">
        <v>17000</v>
      </c>
      <c r="AU2173">
        <v>134.15</v>
      </c>
      <c r="AV2173" t="s">
        <v>385</v>
      </c>
      <c r="AW2173" t="s">
        <v>3083</v>
      </c>
      <c r="AX2173" t="s">
        <v>18685</v>
      </c>
    </row>
    <row r="2174" spans="1:50">
      <c r="A2174" s="1" t="s">
        <v>3201</v>
      </c>
      <c r="B2174" t="s">
        <v>163</v>
      </c>
      <c r="C2174" t="s">
        <v>5384</v>
      </c>
      <c r="D2174" t="s">
        <v>265</v>
      </c>
      <c r="F2174" t="s">
        <v>544</v>
      </c>
      <c r="G2174" t="s">
        <v>915</v>
      </c>
      <c r="H2174" t="s">
        <v>10359</v>
      </c>
      <c r="I2174">
        <v>521</v>
      </c>
      <c r="J2174" t="s">
        <v>1644</v>
      </c>
      <c r="K2174">
        <v>11212</v>
      </c>
      <c r="L2174" t="s">
        <v>1670</v>
      </c>
      <c r="M2174" t="s">
        <v>1672</v>
      </c>
      <c r="O2174" t="s">
        <v>1942</v>
      </c>
      <c r="P2174" t="s">
        <v>1961</v>
      </c>
      <c r="R2174" t="s">
        <v>50</v>
      </c>
      <c r="S2174" t="s">
        <v>1671</v>
      </c>
      <c r="U2174" t="s">
        <v>1972</v>
      </c>
      <c r="W2174" t="s">
        <v>263</v>
      </c>
      <c r="X2174">
        <v>160</v>
      </c>
      <c r="Y2174" t="s">
        <v>2009</v>
      </c>
      <c r="AB2174" t="s">
        <v>14566</v>
      </c>
      <c r="AD2174" t="s">
        <v>16973</v>
      </c>
      <c r="AE2174">
        <v>50</v>
      </c>
      <c r="AG2174" t="s">
        <v>2915</v>
      </c>
      <c r="AH2174">
        <v>5</v>
      </c>
      <c r="AI2174">
        <v>1</v>
      </c>
      <c r="AJ2174">
        <v>0</v>
      </c>
      <c r="AK2174">
        <v>104.92</v>
      </c>
      <c r="AN2174" t="s">
        <v>2927</v>
      </c>
      <c r="AO2174">
        <v>13104</v>
      </c>
      <c r="AU2174">
        <v>19.6</v>
      </c>
      <c r="AV2174" t="s">
        <v>222</v>
      </c>
      <c r="AW2174" t="s">
        <v>18654</v>
      </c>
      <c r="AX2174" t="s">
        <v>18685</v>
      </c>
    </row>
    <row r="2175" spans="1:50">
      <c r="A2175" s="1" t="s">
        <v>122</v>
      </c>
      <c r="B2175" t="s">
        <v>164</v>
      </c>
      <c r="C2175" t="s">
        <v>5385</v>
      </c>
      <c r="D2175" t="s">
        <v>264</v>
      </c>
      <c r="E2175" t="s">
        <v>330</v>
      </c>
      <c r="F2175" t="s">
        <v>7649</v>
      </c>
      <c r="G2175" t="s">
        <v>8848</v>
      </c>
      <c r="H2175" t="s">
        <v>10123</v>
      </c>
      <c r="I2175" t="s">
        <v>11353</v>
      </c>
      <c r="J2175" t="s">
        <v>1641</v>
      </c>
      <c r="K2175">
        <v>10453</v>
      </c>
      <c r="L2175" t="s">
        <v>1670</v>
      </c>
      <c r="M2175" t="s">
        <v>1670</v>
      </c>
      <c r="N2175" t="s">
        <v>12473</v>
      </c>
      <c r="O2175" t="s">
        <v>1939</v>
      </c>
      <c r="P2175" t="s">
        <v>1958</v>
      </c>
      <c r="Q2175" t="s">
        <v>1965</v>
      </c>
      <c r="R2175" t="s">
        <v>50</v>
      </c>
      <c r="S2175" t="s">
        <v>1671</v>
      </c>
      <c r="U2175" t="s">
        <v>1972</v>
      </c>
      <c r="W2175" t="s">
        <v>351</v>
      </c>
      <c r="X2175">
        <v>1340</v>
      </c>
      <c r="Y2175" t="s">
        <v>2006</v>
      </c>
      <c r="Z2175" t="s">
        <v>2024</v>
      </c>
      <c r="AA2175" t="s">
        <v>2029</v>
      </c>
      <c r="AB2175" t="s">
        <v>14567</v>
      </c>
      <c r="AD2175" t="s">
        <v>16974</v>
      </c>
      <c r="AE2175">
        <v>278</v>
      </c>
      <c r="AF2175" t="s">
        <v>2909</v>
      </c>
      <c r="AH2175">
        <v>14</v>
      </c>
      <c r="AI2175">
        <v>1</v>
      </c>
      <c r="AJ2175">
        <v>0</v>
      </c>
      <c r="AK2175">
        <v>104.94</v>
      </c>
      <c r="AN2175" t="s">
        <v>2927</v>
      </c>
      <c r="AO2175">
        <v>12740</v>
      </c>
      <c r="AU2175">
        <v>2</v>
      </c>
      <c r="AV2175" t="s">
        <v>351</v>
      </c>
      <c r="AW2175" t="s">
        <v>18658</v>
      </c>
    </row>
    <row r="2176" spans="1:50">
      <c r="A2176" s="1" t="s">
        <v>3202</v>
      </c>
      <c r="B2176" t="s">
        <v>164</v>
      </c>
      <c r="C2176" t="s">
        <v>5386</v>
      </c>
      <c r="D2176" t="s">
        <v>344</v>
      </c>
      <c r="E2176" t="s">
        <v>359</v>
      </c>
      <c r="F2176" t="s">
        <v>7650</v>
      </c>
      <c r="G2176" t="s">
        <v>8849</v>
      </c>
      <c r="H2176" t="s">
        <v>10360</v>
      </c>
      <c r="I2176" t="s">
        <v>1490</v>
      </c>
      <c r="J2176" t="s">
        <v>1644</v>
      </c>
      <c r="K2176">
        <v>11212</v>
      </c>
      <c r="L2176" t="s">
        <v>1670</v>
      </c>
      <c r="M2176" t="s">
        <v>1672</v>
      </c>
      <c r="N2176" t="s">
        <v>12474</v>
      </c>
      <c r="O2176" t="s">
        <v>1936</v>
      </c>
      <c r="P2176" t="s">
        <v>1962</v>
      </c>
      <c r="Q2176" t="s">
        <v>1968</v>
      </c>
      <c r="R2176" t="s">
        <v>50</v>
      </c>
      <c r="S2176" t="s">
        <v>1671</v>
      </c>
      <c r="U2176" t="s">
        <v>1972</v>
      </c>
      <c r="W2176" t="s">
        <v>194</v>
      </c>
      <c r="X2176">
        <v>942.8099999999999</v>
      </c>
      <c r="Y2176" t="s">
        <v>2009</v>
      </c>
      <c r="Z2176" t="s">
        <v>2020</v>
      </c>
      <c r="AA2176" t="s">
        <v>2029</v>
      </c>
      <c r="AB2176" t="s">
        <v>14568</v>
      </c>
      <c r="AD2176" t="s">
        <v>16975</v>
      </c>
      <c r="AE2176">
        <v>31</v>
      </c>
      <c r="AF2176" t="s">
        <v>2902</v>
      </c>
      <c r="AH2176">
        <v>19</v>
      </c>
      <c r="AI2176">
        <v>2</v>
      </c>
      <c r="AJ2176">
        <v>0</v>
      </c>
      <c r="AK2176">
        <v>105.35</v>
      </c>
      <c r="AN2176" t="s">
        <v>2926</v>
      </c>
      <c r="AO2176">
        <v>17340</v>
      </c>
      <c r="AU2176">
        <v>1.5</v>
      </c>
      <c r="AV2176" t="s">
        <v>242</v>
      </c>
      <c r="AW2176" t="s">
        <v>3060</v>
      </c>
    </row>
    <row r="2177" spans="1:50">
      <c r="A2177" s="1" t="s">
        <v>123</v>
      </c>
      <c r="B2177" t="s">
        <v>163</v>
      </c>
      <c r="C2177" t="s">
        <v>5387</v>
      </c>
      <c r="D2177" t="s">
        <v>339</v>
      </c>
      <c r="F2177" t="s">
        <v>6996</v>
      </c>
      <c r="G2177" t="s">
        <v>8850</v>
      </c>
      <c r="H2177" t="s">
        <v>10072</v>
      </c>
      <c r="I2177" t="s">
        <v>11354</v>
      </c>
      <c r="J2177" t="s">
        <v>1641</v>
      </c>
      <c r="K2177">
        <v>10452</v>
      </c>
      <c r="L2177" t="s">
        <v>1670</v>
      </c>
      <c r="M2177" t="s">
        <v>1670</v>
      </c>
      <c r="N2177" t="s">
        <v>1691</v>
      </c>
      <c r="O2177" t="s">
        <v>1675</v>
      </c>
      <c r="P2177" t="s">
        <v>1958</v>
      </c>
      <c r="R2177" t="s">
        <v>50</v>
      </c>
      <c r="S2177" t="s">
        <v>1671</v>
      </c>
      <c r="U2177" t="s">
        <v>1973</v>
      </c>
      <c r="W2177" t="s">
        <v>1991</v>
      </c>
      <c r="X2177">
        <v>390</v>
      </c>
      <c r="Y2177" t="s">
        <v>2006</v>
      </c>
      <c r="Z2177" t="s">
        <v>2013</v>
      </c>
      <c r="AB2177" t="s">
        <v>14569</v>
      </c>
      <c r="AD2177" t="s">
        <v>16976</v>
      </c>
      <c r="AE2177" t="s">
        <v>13051</v>
      </c>
      <c r="AF2177" t="s">
        <v>2909</v>
      </c>
      <c r="AG2177" t="s">
        <v>2915</v>
      </c>
      <c r="AH2177">
        <v>27</v>
      </c>
      <c r="AI2177">
        <v>2</v>
      </c>
      <c r="AJ2177">
        <v>0</v>
      </c>
      <c r="AK2177">
        <v>105.42</v>
      </c>
      <c r="AN2177" t="s">
        <v>2926</v>
      </c>
      <c r="AO2177">
        <v>17826</v>
      </c>
      <c r="AU2177">
        <v>0.1</v>
      </c>
      <c r="AV2177" t="s">
        <v>333</v>
      </c>
      <c r="AW2177" t="s">
        <v>123</v>
      </c>
      <c r="AX2177" t="s">
        <v>18685</v>
      </c>
    </row>
    <row r="2178" spans="1:50">
      <c r="A2178" s="1" t="s">
        <v>97</v>
      </c>
      <c r="B2178" t="s">
        <v>163</v>
      </c>
      <c r="C2178" t="s">
        <v>5388</v>
      </c>
      <c r="D2178" t="s">
        <v>285</v>
      </c>
      <c r="F2178" t="s">
        <v>7379</v>
      </c>
      <c r="G2178" t="s">
        <v>7944</v>
      </c>
      <c r="H2178" t="s">
        <v>1244</v>
      </c>
      <c r="I2178">
        <v>24</v>
      </c>
      <c r="J2178" t="s">
        <v>1643</v>
      </c>
      <c r="K2178">
        <v>10034</v>
      </c>
      <c r="L2178" t="s">
        <v>1670</v>
      </c>
      <c r="M2178" t="s">
        <v>1670</v>
      </c>
      <c r="N2178" t="s">
        <v>1771</v>
      </c>
      <c r="O2178" t="s">
        <v>1939</v>
      </c>
      <c r="P2178" t="s">
        <v>1960</v>
      </c>
      <c r="R2178" t="s">
        <v>50</v>
      </c>
      <c r="S2178" t="s">
        <v>1670</v>
      </c>
      <c r="U2178" t="s">
        <v>1972</v>
      </c>
      <c r="W2178" t="s">
        <v>285</v>
      </c>
      <c r="X2178">
        <v>947.89</v>
      </c>
      <c r="Y2178" t="s">
        <v>2008</v>
      </c>
      <c r="Z2178" t="s">
        <v>2020</v>
      </c>
      <c r="AB2178" t="s">
        <v>14418</v>
      </c>
      <c r="AD2178" t="s">
        <v>16977</v>
      </c>
      <c r="AE2178">
        <v>25</v>
      </c>
      <c r="AF2178" t="s">
        <v>2902</v>
      </c>
      <c r="AG2178" t="s">
        <v>2919</v>
      </c>
      <c r="AH2178">
        <v>20</v>
      </c>
      <c r="AI2178">
        <v>3</v>
      </c>
      <c r="AJ2178">
        <v>0</v>
      </c>
      <c r="AK2178">
        <v>105.65</v>
      </c>
      <c r="AN2178" t="s">
        <v>2927</v>
      </c>
      <c r="AO2178">
        <v>22536</v>
      </c>
      <c r="AU2178">
        <v>0.5</v>
      </c>
      <c r="AV2178" t="s">
        <v>285</v>
      </c>
      <c r="AW2178" t="s">
        <v>3042</v>
      </c>
    </row>
    <row r="2179" spans="1:50">
      <c r="A2179" s="1" t="s">
        <v>53</v>
      </c>
      <c r="B2179" t="s">
        <v>164</v>
      </c>
      <c r="C2179" t="s">
        <v>5389</v>
      </c>
      <c r="D2179" t="s">
        <v>183</v>
      </c>
      <c r="E2179" t="s">
        <v>191</v>
      </c>
      <c r="F2179" t="s">
        <v>588</v>
      </c>
      <c r="G2179" t="s">
        <v>8851</v>
      </c>
      <c r="H2179" t="s">
        <v>10361</v>
      </c>
      <c r="I2179" t="s">
        <v>1510</v>
      </c>
      <c r="J2179" t="s">
        <v>1668</v>
      </c>
      <c r="K2179">
        <v>11354</v>
      </c>
      <c r="L2179" t="s">
        <v>1670</v>
      </c>
      <c r="M2179" t="s">
        <v>1672</v>
      </c>
      <c r="N2179" t="s">
        <v>12475</v>
      </c>
      <c r="O2179" t="s">
        <v>1940</v>
      </c>
      <c r="P2179" t="s">
        <v>1962</v>
      </c>
      <c r="Q2179" t="s">
        <v>1968</v>
      </c>
      <c r="R2179" t="s">
        <v>50</v>
      </c>
      <c r="S2179" t="s">
        <v>1671</v>
      </c>
      <c r="U2179" t="s">
        <v>1972</v>
      </c>
      <c r="V2179" t="s">
        <v>1984</v>
      </c>
      <c r="W2179" t="s">
        <v>193</v>
      </c>
      <c r="X2179">
        <v>1375</v>
      </c>
      <c r="Y2179" t="s">
        <v>2007</v>
      </c>
      <c r="Z2179" t="s">
        <v>2014</v>
      </c>
      <c r="AA2179" t="s">
        <v>2030</v>
      </c>
      <c r="AB2179" t="s">
        <v>14570</v>
      </c>
      <c r="AC2179" t="s">
        <v>15077</v>
      </c>
      <c r="AD2179" t="s">
        <v>16978</v>
      </c>
      <c r="AE2179">
        <v>36</v>
      </c>
      <c r="AF2179" t="s">
        <v>2902</v>
      </c>
      <c r="AG2179" t="s">
        <v>1754</v>
      </c>
      <c r="AH2179">
        <v>2</v>
      </c>
      <c r="AI2179">
        <v>1</v>
      </c>
      <c r="AJ2179">
        <v>0</v>
      </c>
      <c r="AK2179">
        <v>105.68</v>
      </c>
      <c r="AN2179" t="s">
        <v>2926</v>
      </c>
      <c r="AO2179">
        <v>13200</v>
      </c>
      <c r="AR2179" t="s">
        <v>2017</v>
      </c>
      <c r="AT2179" t="s">
        <v>18584</v>
      </c>
      <c r="AU2179">
        <v>5.1</v>
      </c>
      <c r="AV2179" t="s">
        <v>328</v>
      </c>
      <c r="AW2179" t="s">
        <v>3084</v>
      </c>
      <c r="AX2179" t="s">
        <v>18685</v>
      </c>
    </row>
    <row r="2180" spans="1:50">
      <c r="A2180" s="1" t="s">
        <v>57</v>
      </c>
      <c r="B2180" t="s">
        <v>163</v>
      </c>
      <c r="C2180" t="s">
        <v>5390</v>
      </c>
      <c r="D2180" t="s">
        <v>186</v>
      </c>
      <c r="F2180" t="s">
        <v>7199</v>
      </c>
      <c r="G2180" t="s">
        <v>8430</v>
      </c>
      <c r="H2180" t="s">
        <v>1107</v>
      </c>
      <c r="I2180" t="s">
        <v>1554</v>
      </c>
      <c r="J2180" t="s">
        <v>1641</v>
      </c>
      <c r="K2180">
        <v>10460</v>
      </c>
      <c r="L2180" t="s">
        <v>1670</v>
      </c>
      <c r="M2180" t="s">
        <v>1670</v>
      </c>
      <c r="O2180" t="s">
        <v>1675</v>
      </c>
      <c r="P2180" t="s">
        <v>1962</v>
      </c>
      <c r="R2180" t="s">
        <v>50</v>
      </c>
      <c r="S2180" t="s">
        <v>1671</v>
      </c>
      <c r="U2180" t="s">
        <v>1972</v>
      </c>
      <c r="W2180" t="s">
        <v>239</v>
      </c>
      <c r="X2180">
        <v>1285.31</v>
      </c>
      <c r="Y2180" t="s">
        <v>2006</v>
      </c>
      <c r="Z2180" t="s">
        <v>2025</v>
      </c>
      <c r="AA2180" t="s">
        <v>2029</v>
      </c>
      <c r="AB2180" t="s">
        <v>14571</v>
      </c>
      <c r="AD2180" t="s">
        <v>16979</v>
      </c>
      <c r="AE2180">
        <v>96</v>
      </c>
      <c r="AF2180" t="s">
        <v>2902</v>
      </c>
      <c r="AG2180" t="s">
        <v>2915</v>
      </c>
      <c r="AH2180">
        <v>10</v>
      </c>
      <c r="AI2180">
        <v>1</v>
      </c>
      <c r="AJ2180">
        <v>0</v>
      </c>
      <c r="AK2180">
        <v>105.68</v>
      </c>
      <c r="AN2180" t="s">
        <v>2926</v>
      </c>
      <c r="AO2180">
        <v>13200</v>
      </c>
      <c r="AU2180">
        <v>4.1</v>
      </c>
      <c r="AV2180" t="s">
        <v>3031</v>
      </c>
      <c r="AW2180" t="s">
        <v>18677</v>
      </c>
      <c r="AX2180" t="s">
        <v>18685</v>
      </c>
    </row>
    <row r="2181" spans="1:50">
      <c r="A2181" s="1" t="s">
        <v>97</v>
      </c>
      <c r="B2181" t="s">
        <v>163</v>
      </c>
      <c r="C2181" t="s">
        <v>5391</v>
      </c>
      <c r="D2181" t="s">
        <v>283</v>
      </c>
      <c r="F2181" t="s">
        <v>544</v>
      </c>
      <c r="G2181" t="s">
        <v>8852</v>
      </c>
      <c r="H2181" t="s">
        <v>10362</v>
      </c>
      <c r="I2181" t="s">
        <v>1475</v>
      </c>
      <c r="J2181" t="s">
        <v>1643</v>
      </c>
      <c r="K2181">
        <v>10034</v>
      </c>
      <c r="L2181" t="s">
        <v>1670</v>
      </c>
      <c r="M2181" t="s">
        <v>1670</v>
      </c>
      <c r="N2181" t="s">
        <v>12476</v>
      </c>
      <c r="O2181" t="s">
        <v>12750</v>
      </c>
      <c r="P2181" t="s">
        <v>1961</v>
      </c>
      <c r="R2181" t="s">
        <v>50</v>
      </c>
      <c r="S2181" t="s">
        <v>1671</v>
      </c>
      <c r="U2181" t="s">
        <v>1972</v>
      </c>
      <c r="V2181" t="s">
        <v>1984</v>
      </c>
      <c r="W2181" t="s">
        <v>283</v>
      </c>
      <c r="X2181">
        <v>450.25</v>
      </c>
      <c r="Y2181" t="s">
        <v>2008</v>
      </c>
      <c r="Z2181" t="s">
        <v>2017</v>
      </c>
      <c r="AB2181" t="s">
        <v>14572</v>
      </c>
      <c r="AD2181" t="s">
        <v>16980</v>
      </c>
      <c r="AE2181">
        <v>49</v>
      </c>
      <c r="AF2181" t="s">
        <v>2902</v>
      </c>
      <c r="AG2181" t="s">
        <v>1754</v>
      </c>
      <c r="AH2181">
        <v>50</v>
      </c>
      <c r="AI2181">
        <v>1</v>
      </c>
      <c r="AJ2181">
        <v>0</v>
      </c>
      <c r="AK2181">
        <v>105.68</v>
      </c>
      <c r="AN2181" t="s">
        <v>2926</v>
      </c>
      <c r="AO2181">
        <v>13200</v>
      </c>
      <c r="AU2181">
        <v>10.3</v>
      </c>
      <c r="AV2181" t="s">
        <v>327</v>
      </c>
      <c r="AW2181" t="s">
        <v>3051</v>
      </c>
      <c r="AX2181" t="s">
        <v>18685</v>
      </c>
    </row>
    <row r="2182" spans="1:50">
      <c r="A2182" s="1" t="s">
        <v>52</v>
      </c>
      <c r="B2182" t="s">
        <v>163</v>
      </c>
      <c r="C2182" t="s">
        <v>5392</v>
      </c>
      <c r="D2182" t="s">
        <v>219</v>
      </c>
      <c r="F2182" t="s">
        <v>7651</v>
      </c>
      <c r="G2182" t="s">
        <v>8714</v>
      </c>
      <c r="H2182" t="s">
        <v>10197</v>
      </c>
      <c r="I2182" t="s">
        <v>11100</v>
      </c>
      <c r="J2182" t="s">
        <v>1641</v>
      </c>
      <c r="K2182">
        <v>10453</v>
      </c>
      <c r="L2182" t="s">
        <v>1670</v>
      </c>
      <c r="M2182" t="s">
        <v>1670</v>
      </c>
      <c r="N2182" t="s">
        <v>12477</v>
      </c>
      <c r="O2182" t="s">
        <v>1936</v>
      </c>
      <c r="P2182" t="s">
        <v>1960</v>
      </c>
      <c r="R2182" t="s">
        <v>50</v>
      </c>
      <c r="S2182" t="s">
        <v>1671</v>
      </c>
      <c r="U2182" t="s">
        <v>1972</v>
      </c>
      <c r="V2182" t="s">
        <v>1984</v>
      </c>
      <c r="W2182" t="s">
        <v>219</v>
      </c>
      <c r="X2182">
        <v>1019</v>
      </c>
      <c r="Y2182" t="s">
        <v>2006</v>
      </c>
      <c r="Z2182" t="s">
        <v>2020</v>
      </c>
      <c r="AB2182" t="s">
        <v>14310</v>
      </c>
      <c r="AD2182" t="s">
        <v>16729</v>
      </c>
      <c r="AE2182">
        <v>69</v>
      </c>
      <c r="AF2182" t="s">
        <v>2902</v>
      </c>
      <c r="AG2182" t="s">
        <v>1754</v>
      </c>
      <c r="AH2182">
        <v>15</v>
      </c>
      <c r="AI2182">
        <v>1</v>
      </c>
      <c r="AJ2182">
        <v>0</v>
      </c>
      <c r="AK2182">
        <v>105.68</v>
      </c>
      <c r="AN2182" t="s">
        <v>2929</v>
      </c>
      <c r="AO2182">
        <v>13200</v>
      </c>
      <c r="AU2182">
        <v>7.3</v>
      </c>
      <c r="AV2182" t="s">
        <v>1995</v>
      </c>
      <c r="AW2182" t="s">
        <v>3045</v>
      </c>
      <c r="AX2182" t="s">
        <v>18685</v>
      </c>
    </row>
    <row r="2183" spans="1:50">
      <c r="A2183" s="1" t="s">
        <v>63</v>
      </c>
      <c r="B2183" t="s">
        <v>163</v>
      </c>
      <c r="C2183" t="s">
        <v>5393</v>
      </c>
      <c r="D2183" t="s">
        <v>176</v>
      </c>
      <c r="F2183" t="s">
        <v>508</v>
      </c>
      <c r="G2183" t="s">
        <v>8853</v>
      </c>
      <c r="H2183" t="s">
        <v>1314</v>
      </c>
      <c r="I2183" t="s">
        <v>11355</v>
      </c>
      <c r="J2183" t="s">
        <v>1641</v>
      </c>
      <c r="K2183">
        <v>10452</v>
      </c>
      <c r="L2183" t="s">
        <v>1670</v>
      </c>
      <c r="M2183" t="s">
        <v>1670</v>
      </c>
      <c r="N2183" t="s">
        <v>12478</v>
      </c>
      <c r="O2183" t="s">
        <v>1952</v>
      </c>
      <c r="P2183" t="s">
        <v>1960</v>
      </c>
      <c r="R2183" t="s">
        <v>50</v>
      </c>
      <c r="S2183" t="s">
        <v>1670</v>
      </c>
      <c r="U2183" t="s">
        <v>1972</v>
      </c>
      <c r="W2183" t="s">
        <v>359</v>
      </c>
      <c r="X2183">
        <v>996</v>
      </c>
      <c r="Y2183" t="s">
        <v>2006</v>
      </c>
      <c r="Z2183" t="s">
        <v>2015</v>
      </c>
      <c r="AB2183" t="s">
        <v>14573</v>
      </c>
      <c r="AD2183" t="s">
        <v>16981</v>
      </c>
      <c r="AE2183">
        <v>71</v>
      </c>
      <c r="AF2183" t="s">
        <v>2902</v>
      </c>
      <c r="AG2183" t="s">
        <v>1754</v>
      </c>
      <c r="AH2183">
        <v>5</v>
      </c>
      <c r="AI2183">
        <v>2</v>
      </c>
      <c r="AJ2183">
        <v>0</v>
      </c>
      <c r="AK2183">
        <v>105.71</v>
      </c>
      <c r="AN2183" t="s">
        <v>2926</v>
      </c>
      <c r="AO2183">
        <v>17400</v>
      </c>
      <c r="AU2183" t="s">
        <v>13051</v>
      </c>
      <c r="AW2183" t="s">
        <v>3046</v>
      </c>
    </row>
    <row r="2184" spans="1:50">
      <c r="A2184" s="1" t="s">
        <v>63</v>
      </c>
      <c r="B2184" t="s">
        <v>163</v>
      </c>
      <c r="C2184" t="s">
        <v>5394</v>
      </c>
      <c r="D2184" t="s">
        <v>176</v>
      </c>
      <c r="F2184" t="s">
        <v>508</v>
      </c>
      <c r="G2184" t="s">
        <v>8853</v>
      </c>
      <c r="H2184" t="s">
        <v>1314</v>
      </c>
      <c r="I2184" t="s">
        <v>11355</v>
      </c>
      <c r="J2184" t="s">
        <v>1641</v>
      </c>
      <c r="K2184">
        <v>10452</v>
      </c>
      <c r="L2184" t="s">
        <v>1670</v>
      </c>
      <c r="M2184" t="s">
        <v>1670</v>
      </c>
      <c r="N2184" t="s">
        <v>12479</v>
      </c>
      <c r="O2184" t="s">
        <v>1936</v>
      </c>
      <c r="P2184" t="s">
        <v>1960</v>
      </c>
      <c r="R2184" t="s">
        <v>50</v>
      </c>
      <c r="S2184" t="s">
        <v>1671</v>
      </c>
      <c r="U2184" t="s">
        <v>1972</v>
      </c>
      <c r="W2184" t="s">
        <v>13047</v>
      </c>
      <c r="X2184">
        <v>996</v>
      </c>
      <c r="Y2184" t="s">
        <v>2006</v>
      </c>
      <c r="Z2184" t="s">
        <v>2020</v>
      </c>
      <c r="AB2184" t="s">
        <v>14573</v>
      </c>
      <c r="AD2184" t="s">
        <v>16981</v>
      </c>
      <c r="AE2184">
        <v>71</v>
      </c>
      <c r="AF2184" t="s">
        <v>2902</v>
      </c>
      <c r="AG2184" t="s">
        <v>1754</v>
      </c>
      <c r="AH2184">
        <v>5</v>
      </c>
      <c r="AI2184">
        <v>2</v>
      </c>
      <c r="AJ2184">
        <v>0</v>
      </c>
      <c r="AK2184">
        <v>105.71</v>
      </c>
      <c r="AN2184" t="s">
        <v>2926</v>
      </c>
      <c r="AO2184">
        <v>17400</v>
      </c>
      <c r="AU2184">
        <v>12.8</v>
      </c>
      <c r="AV2184" t="s">
        <v>341</v>
      </c>
      <c r="AW2184" t="s">
        <v>3046</v>
      </c>
    </row>
    <row r="2185" spans="1:50">
      <c r="A2185" s="1" t="s">
        <v>3172</v>
      </c>
      <c r="B2185" t="s">
        <v>164</v>
      </c>
      <c r="C2185" t="s">
        <v>5395</v>
      </c>
      <c r="D2185" t="s">
        <v>316</v>
      </c>
      <c r="E2185" t="s">
        <v>3031</v>
      </c>
      <c r="F2185" t="s">
        <v>685</v>
      </c>
      <c r="G2185" t="s">
        <v>1001</v>
      </c>
      <c r="H2185" t="s">
        <v>10363</v>
      </c>
      <c r="I2185" t="s">
        <v>10967</v>
      </c>
      <c r="J2185" t="s">
        <v>1649</v>
      </c>
      <c r="K2185">
        <v>11692</v>
      </c>
      <c r="L2185" t="s">
        <v>1670</v>
      </c>
      <c r="M2185" t="s">
        <v>1672</v>
      </c>
      <c r="N2185" t="s">
        <v>12480</v>
      </c>
      <c r="O2185" t="s">
        <v>1936</v>
      </c>
      <c r="P2185" t="s">
        <v>1958</v>
      </c>
      <c r="Q2185" t="s">
        <v>1965</v>
      </c>
      <c r="R2185" t="s">
        <v>50</v>
      </c>
      <c r="S2185" t="s">
        <v>1671</v>
      </c>
      <c r="U2185" t="s">
        <v>1972</v>
      </c>
      <c r="V2185" t="s">
        <v>1984</v>
      </c>
      <c r="W2185" t="s">
        <v>3031</v>
      </c>
      <c r="X2185">
        <v>1106</v>
      </c>
      <c r="Y2185" t="s">
        <v>2007</v>
      </c>
      <c r="Z2185" t="s">
        <v>2014</v>
      </c>
      <c r="AA2185" t="s">
        <v>2029</v>
      </c>
      <c r="AB2185" t="s">
        <v>14574</v>
      </c>
      <c r="AC2185" t="s">
        <v>15077</v>
      </c>
      <c r="AD2185" t="s">
        <v>16982</v>
      </c>
      <c r="AE2185">
        <v>42</v>
      </c>
      <c r="AF2185" t="s">
        <v>2902</v>
      </c>
      <c r="AG2185" t="s">
        <v>1754</v>
      </c>
      <c r="AH2185">
        <v>25</v>
      </c>
      <c r="AI2185">
        <v>4</v>
      </c>
      <c r="AJ2185">
        <v>0</v>
      </c>
      <c r="AK2185">
        <v>106.02</v>
      </c>
      <c r="AN2185" t="s">
        <v>2927</v>
      </c>
      <c r="AO2185">
        <v>27300</v>
      </c>
      <c r="AU2185">
        <v>0.95</v>
      </c>
      <c r="AV2185" t="s">
        <v>3031</v>
      </c>
      <c r="AW2185" t="s">
        <v>89</v>
      </c>
      <c r="AX2185" t="s">
        <v>18685</v>
      </c>
    </row>
    <row r="2186" spans="1:50">
      <c r="A2186" s="1" t="s">
        <v>63</v>
      </c>
      <c r="B2186" t="s">
        <v>164</v>
      </c>
      <c r="C2186" t="s">
        <v>5396</v>
      </c>
      <c r="D2186" t="s">
        <v>260</v>
      </c>
      <c r="E2186" t="s">
        <v>6769</v>
      </c>
      <c r="F2186" t="s">
        <v>7652</v>
      </c>
      <c r="G2186" t="s">
        <v>835</v>
      </c>
      <c r="H2186" t="s">
        <v>10122</v>
      </c>
      <c r="I2186" t="s">
        <v>1534</v>
      </c>
      <c r="J2186" t="s">
        <v>1641</v>
      </c>
      <c r="K2186">
        <v>10459</v>
      </c>
      <c r="L2186" t="s">
        <v>1670</v>
      </c>
      <c r="M2186" t="s">
        <v>1670</v>
      </c>
      <c r="N2186" t="s">
        <v>1687</v>
      </c>
      <c r="O2186" t="s">
        <v>1943</v>
      </c>
      <c r="P2186" t="s">
        <v>1958</v>
      </c>
      <c r="Q2186" t="s">
        <v>1965</v>
      </c>
      <c r="R2186" t="s">
        <v>50</v>
      </c>
      <c r="S2186" t="s">
        <v>1671</v>
      </c>
      <c r="U2186" t="s">
        <v>1972</v>
      </c>
      <c r="W2186" t="s">
        <v>342</v>
      </c>
      <c r="X2186" t="s">
        <v>13051</v>
      </c>
      <c r="Y2186" t="s">
        <v>2006</v>
      </c>
      <c r="Z2186" t="s">
        <v>2026</v>
      </c>
      <c r="AA2186" t="s">
        <v>2029</v>
      </c>
      <c r="AB2186" t="s">
        <v>14575</v>
      </c>
      <c r="AD2186" t="s">
        <v>16983</v>
      </c>
      <c r="AE2186">
        <v>25</v>
      </c>
      <c r="AF2186" t="s">
        <v>2909</v>
      </c>
      <c r="AG2186" t="s">
        <v>2915</v>
      </c>
      <c r="AH2186" t="s">
        <v>13051</v>
      </c>
      <c r="AI2186">
        <v>2</v>
      </c>
      <c r="AJ2186">
        <v>0</v>
      </c>
      <c r="AK2186">
        <v>106.15</v>
      </c>
      <c r="AO2186">
        <v>17472</v>
      </c>
      <c r="AU2186">
        <v>0.5</v>
      </c>
      <c r="AV2186" t="s">
        <v>260</v>
      </c>
      <c r="AW2186" t="s">
        <v>3046</v>
      </c>
    </row>
    <row r="2187" spans="1:50">
      <c r="A2187" s="1" t="s">
        <v>141</v>
      </c>
      <c r="B2187" t="s">
        <v>164</v>
      </c>
      <c r="C2187" t="s">
        <v>5397</v>
      </c>
      <c r="D2187" t="s">
        <v>344</v>
      </c>
      <c r="E2187" t="s">
        <v>304</v>
      </c>
      <c r="F2187" t="s">
        <v>7653</v>
      </c>
      <c r="G2187" t="s">
        <v>6936</v>
      </c>
      <c r="H2187" t="s">
        <v>10364</v>
      </c>
      <c r="I2187" t="s">
        <v>1570</v>
      </c>
      <c r="J2187" t="s">
        <v>1668</v>
      </c>
      <c r="K2187">
        <v>11358</v>
      </c>
      <c r="L2187" t="s">
        <v>1670</v>
      </c>
      <c r="M2187" t="s">
        <v>1670</v>
      </c>
      <c r="N2187" t="s">
        <v>12481</v>
      </c>
      <c r="O2187" t="s">
        <v>1940</v>
      </c>
      <c r="P2187" t="s">
        <v>1958</v>
      </c>
      <c r="Q2187" t="s">
        <v>1965</v>
      </c>
      <c r="R2187" t="s">
        <v>50</v>
      </c>
      <c r="S2187" t="s">
        <v>1671</v>
      </c>
      <c r="U2187" t="s">
        <v>1972</v>
      </c>
      <c r="V2187" t="s">
        <v>1984</v>
      </c>
      <c r="W2187" t="s">
        <v>292</v>
      </c>
      <c r="X2187">
        <v>1102</v>
      </c>
      <c r="Y2187" t="s">
        <v>2007</v>
      </c>
      <c r="Z2187" t="s">
        <v>2014</v>
      </c>
      <c r="AA2187" t="s">
        <v>2029</v>
      </c>
      <c r="AB2187" t="s">
        <v>14576</v>
      </c>
      <c r="AC2187" t="s">
        <v>15256</v>
      </c>
      <c r="AD2187" t="s">
        <v>16984</v>
      </c>
      <c r="AE2187">
        <v>16</v>
      </c>
      <c r="AF2187" t="s">
        <v>2902</v>
      </c>
      <c r="AG2187" t="s">
        <v>1754</v>
      </c>
      <c r="AH2187">
        <v>7</v>
      </c>
      <c r="AI2187">
        <v>2</v>
      </c>
      <c r="AJ2187">
        <v>0</v>
      </c>
      <c r="AK2187">
        <v>106.44</v>
      </c>
      <c r="AN2187" t="s">
        <v>2926</v>
      </c>
      <c r="AO2187">
        <v>17520</v>
      </c>
      <c r="AU2187">
        <v>0.8</v>
      </c>
      <c r="AV2187" t="s">
        <v>209</v>
      </c>
      <c r="AW2187" t="s">
        <v>85</v>
      </c>
    </row>
    <row r="2188" spans="1:50">
      <c r="A2188" s="1" t="s">
        <v>130</v>
      </c>
      <c r="B2188" t="s">
        <v>164</v>
      </c>
      <c r="C2188" t="s">
        <v>5398</v>
      </c>
      <c r="D2188" t="s">
        <v>283</v>
      </c>
      <c r="E2188" t="s">
        <v>249</v>
      </c>
      <c r="F2188" t="s">
        <v>7299</v>
      </c>
      <c r="G2188" t="s">
        <v>780</v>
      </c>
      <c r="H2188" t="s">
        <v>1242</v>
      </c>
      <c r="I2188" t="s">
        <v>1484</v>
      </c>
      <c r="J2188" t="s">
        <v>1644</v>
      </c>
      <c r="K2188">
        <v>11206</v>
      </c>
      <c r="L2188" t="s">
        <v>1670</v>
      </c>
      <c r="M2188" t="s">
        <v>1670</v>
      </c>
      <c r="N2188" t="s">
        <v>1687</v>
      </c>
      <c r="O2188" t="s">
        <v>1675</v>
      </c>
      <c r="P2188" t="s">
        <v>1962</v>
      </c>
      <c r="Q2188" t="s">
        <v>1968</v>
      </c>
      <c r="R2188" t="s">
        <v>50</v>
      </c>
      <c r="S2188" t="s">
        <v>1670</v>
      </c>
      <c r="U2188" t="s">
        <v>1972</v>
      </c>
      <c r="W2188" t="s">
        <v>326</v>
      </c>
      <c r="X2188">
        <v>1245</v>
      </c>
      <c r="Y2188" t="s">
        <v>2009</v>
      </c>
      <c r="Z2188" t="s">
        <v>2016</v>
      </c>
      <c r="AA2188" t="s">
        <v>2030</v>
      </c>
      <c r="AB2188" t="s">
        <v>13836</v>
      </c>
      <c r="AC2188" t="s">
        <v>15109</v>
      </c>
      <c r="AE2188">
        <v>8</v>
      </c>
      <c r="AF2188" t="s">
        <v>2902</v>
      </c>
      <c r="AG2188" t="s">
        <v>2920</v>
      </c>
      <c r="AH2188">
        <v>1</v>
      </c>
      <c r="AI2188">
        <v>2</v>
      </c>
      <c r="AJ2188">
        <v>0</v>
      </c>
      <c r="AK2188">
        <v>106.45</v>
      </c>
      <c r="AN2188" t="s">
        <v>2926</v>
      </c>
      <c r="AO2188">
        <v>18000</v>
      </c>
      <c r="AP2188" t="s">
        <v>18333</v>
      </c>
      <c r="AU2188">
        <v>0.1</v>
      </c>
      <c r="AV2188" t="s">
        <v>290</v>
      </c>
      <c r="AW2188" t="s">
        <v>3059</v>
      </c>
      <c r="AX2188" t="s">
        <v>18685</v>
      </c>
    </row>
    <row r="2189" spans="1:50">
      <c r="A2189" s="1" t="s">
        <v>127</v>
      </c>
      <c r="B2189" t="s">
        <v>163</v>
      </c>
      <c r="C2189" t="s">
        <v>5399</v>
      </c>
      <c r="D2189" t="s">
        <v>283</v>
      </c>
      <c r="F2189" t="s">
        <v>7299</v>
      </c>
      <c r="G2189" t="s">
        <v>780</v>
      </c>
      <c r="H2189" t="s">
        <v>1242</v>
      </c>
      <c r="I2189" t="s">
        <v>1484</v>
      </c>
      <c r="J2189" t="s">
        <v>1644</v>
      </c>
      <c r="K2189">
        <v>11206</v>
      </c>
      <c r="L2189" t="s">
        <v>1670</v>
      </c>
      <c r="M2189" t="s">
        <v>1670</v>
      </c>
      <c r="N2189" t="s">
        <v>12482</v>
      </c>
      <c r="O2189" t="s">
        <v>1938</v>
      </c>
      <c r="P2189" t="s">
        <v>1959</v>
      </c>
      <c r="R2189" t="s">
        <v>50</v>
      </c>
      <c r="S2189" t="s">
        <v>1670</v>
      </c>
      <c r="U2189" t="s">
        <v>1972</v>
      </c>
      <c r="W2189" t="s">
        <v>165</v>
      </c>
      <c r="X2189">
        <v>1245</v>
      </c>
      <c r="Y2189" t="s">
        <v>2009</v>
      </c>
      <c r="Z2189" t="s">
        <v>2016</v>
      </c>
      <c r="AB2189" t="s">
        <v>13836</v>
      </c>
      <c r="AC2189" t="s">
        <v>15109</v>
      </c>
      <c r="AE2189">
        <v>8</v>
      </c>
      <c r="AF2189" t="s">
        <v>2902</v>
      </c>
      <c r="AG2189" t="s">
        <v>2920</v>
      </c>
      <c r="AH2189">
        <v>1</v>
      </c>
      <c r="AI2189">
        <v>2</v>
      </c>
      <c r="AJ2189">
        <v>0</v>
      </c>
      <c r="AK2189">
        <v>106.45</v>
      </c>
      <c r="AN2189" t="s">
        <v>2926</v>
      </c>
      <c r="AO2189">
        <v>18000</v>
      </c>
      <c r="AP2189" t="s">
        <v>18333</v>
      </c>
      <c r="AU2189">
        <v>0.1</v>
      </c>
      <c r="AV2189" t="s">
        <v>290</v>
      </c>
      <c r="AW2189" t="s">
        <v>3059</v>
      </c>
      <c r="AX2189" t="s">
        <v>18685</v>
      </c>
    </row>
    <row r="2190" spans="1:50">
      <c r="A2190" s="1" t="s">
        <v>157</v>
      </c>
      <c r="B2190" t="s">
        <v>163</v>
      </c>
      <c r="C2190" t="s">
        <v>5400</v>
      </c>
      <c r="D2190" t="s">
        <v>361</v>
      </c>
      <c r="F2190" t="s">
        <v>7654</v>
      </c>
      <c r="G2190" t="s">
        <v>8854</v>
      </c>
      <c r="H2190" t="s">
        <v>10365</v>
      </c>
      <c r="I2190">
        <v>6</v>
      </c>
      <c r="J2190" t="s">
        <v>1643</v>
      </c>
      <c r="K2190">
        <v>10012</v>
      </c>
      <c r="L2190" t="s">
        <v>1670</v>
      </c>
      <c r="M2190" t="s">
        <v>1672</v>
      </c>
      <c r="N2190" t="s">
        <v>12483</v>
      </c>
      <c r="O2190" t="s">
        <v>1936</v>
      </c>
      <c r="P2190" t="s">
        <v>1963</v>
      </c>
      <c r="R2190" t="s">
        <v>50</v>
      </c>
      <c r="S2190" t="s">
        <v>1671</v>
      </c>
      <c r="U2190" t="s">
        <v>1972</v>
      </c>
      <c r="W2190" t="s">
        <v>361</v>
      </c>
      <c r="X2190">
        <v>207.16</v>
      </c>
      <c r="Y2190" t="s">
        <v>2008</v>
      </c>
      <c r="AB2190" t="s">
        <v>14577</v>
      </c>
      <c r="AD2190" t="s">
        <v>16985</v>
      </c>
      <c r="AE2190" t="s">
        <v>13051</v>
      </c>
      <c r="AF2190" t="s">
        <v>2902</v>
      </c>
      <c r="AG2190" t="s">
        <v>2919</v>
      </c>
      <c r="AH2190">
        <v>37</v>
      </c>
      <c r="AI2190">
        <v>1</v>
      </c>
      <c r="AJ2190">
        <v>0</v>
      </c>
      <c r="AK2190">
        <v>106.65</v>
      </c>
      <c r="AO2190">
        <v>13320</v>
      </c>
      <c r="AU2190">
        <v>2</v>
      </c>
      <c r="AV2190" t="s">
        <v>346</v>
      </c>
      <c r="AW2190" t="s">
        <v>3048</v>
      </c>
    </row>
    <row r="2191" spans="1:50">
      <c r="A2191" s="1" t="s">
        <v>54</v>
      </c>
      <c r="B2191" t="s">
        <v>163</v>
      </c>
      <c r="C2191" t="s">
        <v>5401</v>
      </c>
      <c r="D2191" t="s">
        <v>228</v>
      </c>
      <c r="F2191" t="s">
        <v>7655</v>
      </c>
      <c r="G2191" t="s">
        <v>8855</v>
      </c>
      <c r="H2191" t="s">
        <v>10366</v>
      </c>
      <c r="I2191" t="s">
        <v>1486</v>
      </c>
      <c r="J2191" t="s">
        <v>1643</v>
      </c>
      <c r="K2191">
        <v>10034</v>
      </c>
      <c r="L2191" t="s">
        <v>1670</v>
      </c>
      <c r="M2191" t="s">
        <v>1670</v>
      </c>
      <c r="O2191" t="s">
        <v>1939</v>
      </c>
      <c r="P2191" t="s">
        <v>1960</v>
      </c>
      <c r="R2191" t="s">
        <v>50</v>
      </c>
      <c r="S2191" t="s">
        <v>1670</v>
      </c>
      <c r="U2191" t="s">
        <v>1972</v>
      </c>
      <c r="W2191" t="s">
        <v>228</v>
      </c>
      <c r="X2191">
        <v>257</v>
      </c>
      <c r="Y2191" t="s">
        <v>2008</v>
      </c>
      <c r="Z2191" t="s">
        <v>2013</v>
      </c>
      <c r="AB2191" t="s">
        <v>14458</v>
      </c>
      <c r="AD2191" t="s">
        <v>16986</v>
      </c>
      <c r="AE2191">
        <v>63</v>
      </c>
      <c r="AF2191" t="s">
        <v>2902</v>
      </c>
      <c r="AG2191" t="s">
        <v>1754</v>
      </c>
      <c r="AH2191">
        <v>18</v>
      </c>
      <c r="AI2191">
        <v>1</v>
      </c>
      <c r="AJ2191">
        <v>0</v>
      </c>
      <c r="AK2191">
        <v>106.75</v>
      </c>
      <c r="AN2191" t="s">
        <v>2926</v>
      </c>
      <c r="AO2191">
        <v>12960</v>
      </c>
      <c r="AU2191">
        <v>1.25</v>
      </c>
      <c r="AV2191" t="s">
        <v>272</v>
      </c>
      <c r="AW2191" t="s">
        <v>3042</v>
      </c>
    </row>
    <row r="2192" spans="1:50">
      <c r="A2192" s="1" t="s">
        <v>101</v>
      </c>
      <c r="B2192" t="s">
        <v>164</v>
      </c>
      <c r="C2192" t="s">
        <v>5402</v>
      </c>
      <c r="D2192" t="s">
        <v>277</v>
      </c>
      <c r="E2192" t="s">
        <v>222</v>
      </c>
      <c r="F2192" t="s">
        <v>7038</v>
      </c>
      <c r="G2192" t="s">
        <v>8856</v>
      </c>
      <c r="H2192" t="s">
        <v>10367</v>
      </c>
      <c r="J2192" t="s">
        <v>1643</v>
      </c>
      <c r="K2192">
        <v>10029</v>
      </c>
      <c r="L2192" t="s">
        <v>1670</v>
      </c>
      <c r="M2192" t="s">
        <v>1670</v>
      </c>
      <c r="O2192" t="s">
        <v>1675</v>
      </c>
      <c r="P2192" t="s">
        <v>1958</v>
      </c>
      <c r="Q2192" t="s">
        <v>1965</v>
      </c>
      <c r="R2192" t="s">
        <v>50</v>
      </c>
      <c r="S2192" t="s">
        <v>1671</v>
      </c>
      <c r="U2192" t="s">
        <v>1972</v>
      </c>
      <c r="V2192" t="s">
        <v>1984</v>
      </c>
      <c r="W2192" t="s">
        <v>3029</v>
      </c>
      <c r="X2192">
        <v>73</v>
      </c>
      <c r="Y2192" t="s">
        <v>2008</v>
      </c>
      <c r="Z2192" t="s">
        <v>2016</v>
      </c>
      <c r="AA2192" t="s">
        <v>2029</v>
      </c>
      <c r="AB2192" t="s">
        <v>14578</v>
      </c>
      <c r="AD2192" t="s">
        <v>16987</v>
      </c>
      <c r="AE2192">
        <v>1</v>
      </c>
      <c r="AF2192" t="s">
        <v>2906</v>
      </c>
      <c r="AG2192" t="s">
        <v>1754</v>
      </c>
      <c r="AH2192">
        <v>20</v>
      </c>
      <c r="AI2192">
        <v>1</v>
      </c>
      <c r="AJ2192">
        <v>0</v>
      </c>
      <c r="AK2192">
        <v>106.82</v>
      </c>
      <c r="AN2192" t="s">
        <v>2926</v>
      </c>
      <c r="AO2192">
        <v>13342</v>
      </c>
      <c r="AP2192" t="s">
        <v>18334</v>
      </c>
      <c r="AU2192">
        <v>0.1</v>
      </c>
      <c r="AV2192" t="s">
        <v>256</v>
      </c>
      <c r="AW2192" t="s">
        <v>3051</v>
      </c>
      <c r="AX2192" t="s">
        <v>18685</v>
      </c>
    </row>
    <row r="2193" spans="1:50">
      <c r="A2193" s="1" t="s">
        <v>53</v>
      </c>
      <c r="B2193" t="s">
        <v>164</v>
      </c>
      <c r="C2193" t="s">
        <v>5403</v>
      </c>
      <c r="D2193" t="s">
        <v>377</v>
      </c>
      <c r="E2193" t="s">
        <v>383</v>
      </c>
      <c r="F2193" t="s">
        <v>6935</v>
      </c>
      <c r="G2193" t="s">
        <v>8857</v>
      </c>
      <c r="H2193" t="s">
        <v>10368</v>
      </c>
      <c r="I2193" t="s">
        <v>1542</v>
      </c>
      <c r="J2193" t="s">
        <v>1647</v>
      </c>
      <c r="K2193">
        <v>11435</v>
      </c>
      <c r="L2193" t="s">
        <v>1670</v>
      </c>
      <c r="M2193" t="s">
        <v>1670</v>
      </c>
      <c r="N2193" t="s">
        <v>12484</v>
      </c>
      <c r="O2193" t="s">
        <v>1940</v>
      </c>
      <c r="P2193" t="s">
        <v>1958</v>
      </c>
      <c r="Q2193" t="s">
        <v>1965</v>
      </c>
      <c r="R2193" t="s">
        <v>50</v>
      </c>
      <c r="S2193" t="s">
        <v>1671</v>
      </c>
      <c r="U2193" t="s">
        <v>1972</v>
      </c>
      <c r="V2193" t="s">
        <v>1984</v>
      </c>
      <c r="W2193" t="s">
        <v>196</v>
      </c>
      <c r="X2193">
        <v>1800</v>
      </c>
      <c r="Y2193" t="s">
        <v>2007</v>
      </c>
      <c r="Z2193" t="s">
        <v>2014</v>
      </c>
      <c r="AA2193" t="s">
        <v>2029</v>
      </c>
      <c r="AB2193" t="s">
        <v>14579</v>
      </c>
      <c r="AC2193" t="s">
        <v>1754</v>
      </c>
      <c r="AD2193" t="s">
        <v>15077</v>
      </c>
      <c r="AE2193">
        <v>2</v>
      </c>
      <c r="AF2193" t="s">
        <v>2903</v>
      </c>
      <c r="AG2193" t="s">
        <v>1754</v>
      </c>
      <c r="AH2193">
        <v>4</v>
      </c>
      <c r="AI2193">
        <v>1</v>
      </c>
      <c r="AJ2193">
        <v>0</v>
      </c>
      <c r="AK2193">
        <v>107.08</v>
      </c>
      <c r="AN2193" t="s">
        <v>2926</v>
      </c>
      <c r="AO2193">
        <v>13000</v>
      </c>
      <c r="AU2193">
        <v>1.7</v>
      </c>
      <c r="AV2193" t="s">
        <v>3029</v>
      </c>
      <c r="AW2193" t="s">
        <v>85</v>
      </c>
    </row>
    <row r="2194" spans="1:50">
      <c r="A2194" s="1" t="s">
        <v>73</v>
      </c>
      <c r="B2194" t="s">
        <v>164</v>
      </c>
      <c r="C2194" t="s">
        <v>5404</v>
      </c>
      <c r="D2194" t="s">
        <v>229</v>
      </c>
      <c r="E2194" t="s">
        <v>372</v>
      </c>
      <c r="F2194" t="s">
        <v>7474</v>
      </c>
      <c r="G2194" t="s">
        <v>8858</v>
      </c>
      <c r="H2194" t="s">
        <v>10369</v>
      </c>
      <c r="I2194" t="s">
        <v>10939</v>
      </c>
      <c r="J2194" t="s">
        <v>1654</v>
      </c>
      <c r="K2194">
        <v>11103</v>
      </c>
      <c r="L2194" t="s">
        <v>1670</v>
      </c>
      <c r="M2194" t="s">
        <v>1670</v>
      </c>
      <c r="N2194" t="s">
        <v>12485</v>
      </c>
      <c r="O2194" t="s">
        <v>1936</v>
      </c>
      <c r="P2194" t="s">
        <v>1958</v>
      </c>
      <c r="Q2194" t="s">
        <v>1965</v>
      </c>
      <c r="R2194" t="s">
        <v>50</v>
      </c>
      <c r="S2194" t="s">
        <v>1671</v>
      </c>
      <c r="U2194" t="s">
        <v>1972</v>
      </c>
      <c r="V2194" t="s">
        <v>1984</v>
      </c>
      <c r="W2194" t="s">
        <v>229</v>
      </c>
      <c r="X2194">
        <v>1785</v>
      </c>
      <c r="Y2194" t="s">
        <v>2007</v>
      </c>
      <c r="Z2194" t="s">
        <v>2014</v>
      </c>
      <c r="AA2194" t="s">
        <v>2029</v>
      </c>
      <c r="AB2194" t="s">
        <v>14580</v>
      </c>
      <c r="AD2194" t="s">
        <v>16988</v>
      </c>
      <c r="AE2194">
        <v>60</v>
      </c>
      <c r="AF2194" t="s">
        <v>2902</v>
      </c>
      <c r="AG2194" t="s">
        <v>1754</v>
      </c>
      <c r="AH2194">
        <v>6</v>
      </c>
      <c r="AI2194">
        <v>1</v>
      </c>
      <c r="AJ2194">
        <v>0</v>
      </c>
      <c r="AK2194">
        <v>107.08</v>
      </c>
      <c r="AN2194" t="s">
        <v>2926</v>
      </c>
      <c r="AO2194">
        <v>13000</v>
      </c>
      <c r="AU2194">
        <v>1.2</v>
      </c>
      <c r="AV2194" t="s">
        <v>372</v>
      </c>
      <c r="AW2194" t="s">
        <v>85</v>
      </c>
    </row>
    <row r="2195" spans="1:50">
      <c r="A2195" s="1" t="s">
        <v>146</v>
      </c>
      <c r="B2195" t="s">
        <v>164</v>
      </c>
      <c r="C2195" t="s">
        <v>5405</v>
      </c>
      <c r="D2195" t="s">
        <v>370</v>
      </c>
      <c r="E2195" t="s">
        <v>359</v>
      </c>
      <c r="F2195" t="s">
        <v>7656</v>
      </c>
      <c r="G2195" t="s">
        <v>8487</v>
      </c>
      <c r="H2195" t="s">
        <v>10370</v>
      </c>
      <c r="I2195" t="s">
        <v>11190</v>
      </c>
      <c r="J2195" t="s">
        <v>1641</v>
      </c>
      <c r="K2195">
        <v>10466</v>
      </c>
      <c r="L2195" t="s">
        <v>1670</v>
      </c>
      <c r="M2195" t="s">
        <v>1670</v>
      </c>
      <c r="O2195" t="s">
        <v>1957</v>
      </c>
      <c r="P2195" t="s">
        <v>1958</v>
      </c>
      <c r="Q2195" t="s">
        <v>1965</v>
      </c>
      <c r="R2195" t="s">
        <v>50</v>
      </c>
      <c r="S2195" t="s">
        <v>1671</v>
      </c>
      <c r="U2195" t="s">
        <v>1972</v>
      </c>
      <c r="W2195" t="s">
        <v>1992</v>
      </c>
      <c r="X2195">
        <v>700</v>
      </c>
      <c r="Y2195" t="s">
        <v>2006</v>
      </c>
      <c r="Z2195" t="s">
        <v>2015</v>
      </c>
      <c r="AA2195" t="s">
        <v>2029</v>
      </c>
      <c r="AB2195" t="s">
        <v>14014</v>
      </c>
      <c r="AD2195" t="s">
        <v>16989</v>
      </c>
      <c r="AE2195">
        <v>1</v>
      </c>
      <c r="AF2195" t="s">
        <v>18014</v>
      </c>
      <c r="AG2195" t="s">
        <v>1754</v>
      </c>
      <c r="AH2195">
        <v>3</v>
      </c>
      <c r="AI2195">
        <v>1</v>
      </c>
      <c r="AJ2195">
        <v>0</v>
      </c>
      <c r="AK2195">
        <v>107.08</v>
      </c>
      <c r="AN2195" t="s">
        <v>2926</v>
      </c>
      <c r="AO2195">
        <v>13000</v>
      </c>
      <c r="AU2195">
        <v>1</v>
      </c>
      <c r="AV2195" t="s">
        <v>370</v>
      </c>
      <c r="AW2195" t="s">
        <v>3203</v>
      </c>
    </row>
    <row r="2196" spans="1:50">
      <c r="A2196" s="1" t="s">
        <v>3159</v>
      </c>
      <c r="B2196" t="s">
        <v>164</v>
      </c>
      <c r="C2196" t="s">
        <v>5406</v>
      </c>
      <c r="D2196" t="s">
        <v>178</v>
      </c>
      <c r="E2196" t="s">
        <v>231</v>
      </c>
      <c r="F2196" t="s">
        <v>7657</v>
      </c>
      <c r="G2196" t="s">
        <v>8859</v>
      </c>
      <c r="H2196" t="s">
        <v>10371</v>
      </c>
      <c r="I2196" t="s">
        <v>11356</v>
      </c>
      <c r="J2196" t="s">
        <v>1641</v>
      </c>
      <c r="K2196">
        <v>10467</v>
      </c>
      <c r="L2196" t="s">
        <v>1670</v>
      </c>
      <c r="M2196" t="s">
        <v>1670</v>
      </c>
      <c r="O2196" t="s">
        <v>1941</v>
      </c>
      <c r="P2196" t="s">
        <v>1962</v>
      </c>
      <c r="Q2196" t="s">
        <v>1968</v>
      </c>
      <c r="R2196" t="s">
        <v>50</v>
      </c>
      <c r="U2196" t="s">
        <v>1972</v>
      </c>
      <c r="V2196" t="s">
        <v>1986</v>
      </c>
      <c r="W2196" t="s">
        <v>331</v>
      </c>
      <c r="X2196">
        <v>335</v>
      </c>
      <c r="Y2196" t="s">
        <v>2006</v>
      </c>
      <c r="Z2196" t="s">
        <v>2020</v>
      </c>
      <c r="AA2196" t="s">
        <v>2043</v>
      </c>
      <c r="AB2196" t="s">
        <v>14581</v>
      </c>
      <c r="AC2196" t="s">
        <v>15257</v>
      </c>
      <c r="AD2196" t="s">
        <v>16990</v>
      </c>
      <c r="AE2196" t="s">
        <v>13051</v>
      </c>
      <c r="AF2196" t="s">
        <v>2902</v>
      </c>
      <c r="AG2196" t="s">
        <v>1754</v>
      </c>
      <c r="AH2196">
        <v>8</v>
      </c>
      <c r="AI2196">
        <v>1</v>
      </c>
      <c r="AJ2196">
        <v>0</v>
      </c>
      <c r="AK2196">
        <v>107.08</v>
      </c>
      <c r="AN2196" t="s">
        <v>2926</v>
      </c>
      <c r="AO2196">
        <v>13000</v>
      </c>
      <c r="AR2196" t="s">
        <v>18475</v>
      </c>
      <c r="AS2196" t="s">
        <v>2993</v>
      </c>
      <c r="AT2196" t="s">
        <v>18585</v>
      </c>
      <c r="AU2196">
        <v>6.1</v>
      </c>
      <c r="AV2196" t="s">
        <v>246</v>
      </c>
      <c r="AW2196" t="s">
        <v>18655</v>
      </c>
    </row>
    <row r="2197" spans="1:50">
      <c r="A2197" s="1" t="s">
        <v>59</v>
      </c>
      <c r="B2197" t="s">
        <v>163</v>
      </c>
      <c r="C2197" t="s">
        <v>5407</v>
      </c>
      <c r="D2197" t="s">
        <v>349</v>
      </c>
      <c r="F2197" t="s">
        <v>510</v>
      </c>
      <c r="G2197" t="s">
        <v>8860</v>
      </c>
      <c r="H2197" t="s">
        <v>9704</v>
      </c>
      <c r="I2197">
        <v>10</v>
      </c>
      <c r="J2197" t="s">
        <v>1641</v>
      </c>
      <c r="K2197">
        <v>10452</v>
      </c>
      <c r="L2197" t="s">
        <v>1670</v>
      </c>
      <c r="M2197" t="s">
        <v>1670</v>
      </c>
      <c r="N2197" t="s">
        <v>12486</v>
      </c>
      <c r="O2197" t="s">
        <v>1938</v>
      </c>
      <c r="P2197" t="s">
        <v>1961</v>
      </c>
      <c r="R2197" t="s">
        <v>50</v>
      </c>
      <c r="S2197" t="s">
        <v>1671</v>
      </c>
      <c r="U2197" t="s">
        <v>1972</v>
      </c>
      <c r="W2197" t="s">
        <v>349</v>
      </c>
      <c r="X2197">
        <v>1350</v>
      </c>
      <c r="Y2197" t="s">
        <v>2006</v>
      </c>
      <c r="Z2197" t="s">
        <v>2015</v>
      </c>
      <c r="AB2197" t="s">
        <v>14582</v>
      </c>
      <c r="AD2197" t="s">
        <v>16991</v>
      </c>
      <c r="AE2197">
        <v>167</v>
      </c>
      <c r="AF2197" t="s">
        <v>2902</v>
      </c>
      <c r="AG2197" t="s">
        <v>1754</v>
      </c>
      <c r="AH2197">
        <v>1</v>
      </c>
      <c r="AI2197">
        <v>1</v>
      </c>
      <c r="AJ2197">
        <v>0</v>
      </c>
      <c r="AK2197">
        <v>107.08</v>
      </c>
      <c r="AN2197" t="s">
        <v>2926</v>
      </c>
      <c r="AO2197">
        <v>13000</v>
      </c>
      <c r="AU2197">
        <v>18.95</v>
      </c>
      <c r="AV2197" t="s">
        <v>346</v>
      </c>
      <c r="AW2197" t="s">
        <v>3047</v>
      </c>
    </row>
    <row r="2198" spans="1:50">
      <c r="A2198" s="1" t="s">
        <v>130</v>
      </c>
      <c r="B2198" t="s">
        <v>164</v>
      </c>
      <c r="C2198" t="s">
        <v>5408</v>
      </c>
      <c r="D2198" t="s">
        <v>288</v>
      </c>
      <c r="E2198" t="s">
        <v>283</v>
      </c>
      <c r="F2198" t="s">
        <v>427</v>
      </c>
      <c r="G2198" t="s">
        <v>8692</v>
      </c>
      <c r="H2198" t="s">
        <v>9783</v>
      </c>
      <c r="I2198" t="s">
        <v>11285</v>
      </c>
      <c r="J2198" t="s">
        <v>1644</v>
      </c>
      <c r="K2198">
        <v>11208</v>
      </c>
      <c r="L2198" t="s">
        <v>1670</v>
      </c>
      <c r="M2198" t="s">
        <v>1670</v>
      </c>
      <c r="N2198" t="s">
        <v>12185</v>
      </c>
      <c r="O2198" t="s">
        <v>1940</v>
      </c>
      <c r="P2198" t="s">
        <v>1960</v>
      </c>
      <c r="Q2198" t="s">
        <v>1969</v>
      </c>
      <c r="R2198" t="s">
        <v>50</v>
      </c>
      <c r="S2198" t="s">
        <v>1670</v>
      </c>
      <c r="U2198" t="s">
        <v>1972</v>
      </c>
      <c r="V2198" t="s">
        <v>1984</v>
      </c>
      <c r="W2198" t="s">
        <v>284</v>
      </c>
      <c r="X2198">
        <v>300</v>
      </c>
      <c r="Y2198" t="s">
        <v>2009</v>
      </c>
      <c r="AA2198" t="s">
        <v>2029</v>
      </c>
      <c r="AB2198" t="s">
        <v>14275</v>
      </c>
      <c r="AC2198" t="s">
        <v>1754</v>
      </c>
      <c r="AD2198" t="s">
        <v>16700</v>
      </c>
      <c r="AE2198">
        <v>7</v>
      </c>
      <c r="AF2198" t="s">
        <v>2903</v>
      </c>
      <c r="AG2198" t="s">
        <v>1754</v>
      </c>
      <c r="AH2198">
        <v>3</v>
      </c>
      <c r="AI2198">
        <v>1</v>
      </c>
      <c r="AJ2198">
        <v>0</v>
      </c>
      <c r="AK2198">
        <v>107.08</v>
      </c>
      <c r="AN2198" t="s">
        <v>2927</v>
      </c>
      <c r="AO2198">
        <v>13000</v>
      </c>
      <c r="AP2198" t="s">
        <v>18335</v>
      </c>
      <c r="AQ2198" t="s">
        <v>2977</v>
      </c>
      <c r="AR2198" t="s">
        <v>18476</v>
      </c>
      <c r="AS2198" t="s">
        <v>2993</v>
      </c>
      <c r="AT2198" t="s">
        <v>18586</v>
      </c>
      <c r="AU2198">
        <v>0.1</v>
      </c>
      <c r="AV2198" t="s">
        <v>246</v>
      </c>
      <c r="AW2198" t="s">
        <v>3060</v>
      </c>
    </row>
    <row r="2199" spans="1:50">
      <c r="A2199" s="1" t="s">
        <v>124</v>
      </c>
      <c r="B2199" t="s">
        <v>163</v>
      </c>
      <c r="C2199" t="s">
        <v>5409</v>
      </c>
      <c r="D2199" t="s">
        <v>367</v>
      </c>
      <c r="F2199" t="s">
        <v>460</v>
      </c>
      <c r="G2199" t="s">
        <v>7179</v>
      </c>
      <c r="H2199" t="s">
        <v>10372</v>
      </c>
      <c r="I2199" t="s">
        <v>1580</v>
      </c>
      <c r="J2199" t="s">
        <v>1644</v>
      </c>
      <c r="K2199">
        <v>11226</v>
      </c>
      <c r="L2199" t="s">
        <v>1670</v>
      </c>
      <c r="M2199" t="s">
        <v>1670</v>
      </c>
      <c r="N2199" t="s">
        <v>12487</v>
      </c>
      <c r="O2199" t="s">
        <v>1940</v>
      </c>
      <c r="P2199" t="s">
        <v>1960</v>
      </c>
      <c r="R2199" t="s">
        <v>50</v>
      </c>
      <c r="U2199" t="s">
        <v>1972</v>
      </c>
      <c r="W2199" t="s">
        <v>332</v>
      </c>
      <c r="X2199">
        <v>1428.11</v>
      </c>
      <c r="Y2199" t="s">
        <v>2009</v>
      </c>
      <c r="AB2199" t="s">
        <v>14583</v>
      </c>
      <c r="AD2199" t="s">
        <v>16992</v>
      </c>
      <c r="AE2199" t="s">
        <v>13051</v>
      </c>
      <c r="AH2199">
        <v>12</v>
      </c>
      <c r="AI2199">
        <v>1</v>
      </c>
      <c r="AJ2199">
        <v>0</v>
      </c>
      <c r="AK2199">
        <v>107.08</v>
      </c>
      <c r="AN2199" t="s">
        <v>2928</v>
      </c>
      <c r="AO2199">
        <v>13000</v>
      </c>
      <c r="AU2199">
        <v>15.7</v>
      </c>
      <c r="AV2199" t="s">
        <v>400</v>
      </c>
      <c r="AW2199" t="s">
        <v>158</v>
      </c>
    </row>
    <row r="2200" spans="1:50">
      <c r="A2200" s="1" t="s">
        <v>3203</v>
      </c>
      <c r="B2200" t="s">
        <v>164</v>
      </c>
      <c r="C2200" t="s">
        <v>5410</v>
      </c>
      <c r="D2200" t="s">
        <v>180</v>
      </c>
      <c r="E2200" t="s">
        <v>6160</v>
      </c>
      <c r="F2200" t="s">
        <v>685</v>
      </c>
      <c r="G2200" t="s">
        <v>8861</v>
      </c>
      <c r="H2200" t="s">
        <v>10373</v>
      </c>
      <c r="J2200" t="s">
        <v>1641</v>
      </c>
      <c r="K2200">
        <v>10456</v>
      </c>
      <c r="L2200" t="s">
        <v>1670</v>
      </c>
      <c r="M2200" t="s">
        <v>1670</v>
      </c>
      <c r="O2200" t="s">
        <v>1950</v>
      </c>
      <c r="P2200" t="s">
        <v>1958</v>
      </c>
      <c r="Q2200" t="s">
        <v>1965</v>
      </c>
      <c r="R2200" t="s">
        <v>50</v>
      </c>
      <c r="S2200" t="s">
        <v>1671</v>
      </c>
      <c r="U2200" t="s">
        <v>1972</v>
      </c>
      <c r="W2200" t="s">
        <v>180</v>
      </c>
      <c r="X2200">
        <v>612</v>
      </c>
      <c r="Y2200" t="s">
        <v>2006</v>
      </c>
      <c r="Z2200" t="s">
        <v>2015</v>
      </c>
      <c r="AA2200" t="s">
        <v>2029</v>
      </c>
      <c r="AB2200" t="s">
        <v>14584</v>
      </c>
      <c r="AD2200" t="s">
        <v>16993</v>
      </c>
      <c r="AE2200" t="s">
        <v>13051</v>
      </c>
      <c r="AF2200" t="s">
        <v>2902</v>
      </c>
      <c r="AH2200">
        <v>10</v>
      </c>
      <c r="AI2200">
        <v>2</v>
      </c>
      <c r="AJ2200">
        <v>0</v>
      </c>
      <c r="AK2200">
        <v>107.09</v>
      </c>
      <c r="AN2200" t="s">
        <v>2927</v>
      </c>
      <c r="AO2200">
        <v>17626.24</v>
      </c>
      <c r="AU2200">
        <v>1</v>
      </c>
      <c r="AV2200" t="s">
        <v>6160</v>
      </c>
      <c r="AW2200" t="s">
        <v>3203</v>
      </c>
    </row>
    <row r="2201" spans="1:50">
      <c r="A2201" s="1" t="s">
        <v>122</v>
      </c>
      <c r="B2201" t="s">
        <v>164</v>
      </c>
      <c r="C2201" t="s">
        <v>5411</v>
      </c>
      <c r="D2201" t="s">
        <v>351</v>
      </c>
      <c r="E2201" t="s">
        <v>330</v>
      </c>
      <c r="F2201" t="s">
        <v>427</v>
      </c>
      <c r="G2201" t="s">
        <v>8862</v>
      </c>
      <c r="H2201" t="s">
        <v>10374</v>
      </c>
      <c r="I2201" t="s">
        <v>1542</v>
      </c>
      <c r="J2201" t="s">
        <v>1641</v>
      </c>
      <c r="K2201">
        <v>10452</v>
      </c>
      <c r="L2201" t="s">
        <v>1670</v>
      </c>
      <c r="M2201" t="s">
        <v>1670</v>
      </c>
      <c r="O2201" t="s">
        <v>1675</v>
      </c>
      <c r="P2201" t="s">
        <v>1958</v>
      </c>
      <c r="Q2201" t="s">
        <v>1965</v>
      </c>
      <c r="R2201" t="s">
        <v>50</v>
      </c>
      <c r="S2201" t="s">
        <v>1671</v>
      </c>
      <c r="U2201" t="s">
        <v>1972</v>
      </c>
      <c r="W2201" t="s">
        <v>351</v>
      </c>
      <c r="X2201">
        <v>1600</v>
      </c>
      <c r="Y2201" t="s">
        <v>2006</v>
      </c>
      <c r="Z2201" t="s">
        <v>2015</v>
      </c>
      <c r="AA2201" t="s">
        <v>2029</v>
      </c>
      <c r="AB2201" t="s">
        <v>14585</v>
      </c>
      <c r="AD2201" t="s">
        <v>16994</v>
      </c>
      <c r="AE2201">
        <v>2</v>
      </c>
      <c r="AF2201" t="s">
        <v>2903</v>
      </c>
      <c r="AH2201">
        <v>7</v>
      </c>
      <c r="AI2201">
        <v>2</v>
      </c>
      <c r="AJ2201">
        <v>0</v>
      </c>
      <c r="AK2201">
        <v>107.11</v>
      </c>
      <c r="AN2201" t="s">
        <v>2927</v>
      </c>
      <c r="AO2201">
        <v>17630</v>
      </c>
      <c r="AU2201">
        <v>0.1</v>
      </c>
      <c r="AV2201" t="s">
        <v>330</v>
      </c>
      <c r="AW2201" t="s">
        <v>122</v>
      </c>
    </row>
    <row r="2202" spans="1:50">
      <c r="A2202" s="1" t="s">
        <v>64</v>
      </c>
      <c r="B2202" t="s">
        <v>163</v>
      </c>
      <c r="C2202" t="s">
        <v>5412</v>
      </c>
      <c r="D2202" t="s">
        <v>232</v>
      </c>
      <c r="F2202" t="s">
        <v>7543</v>
      </c>
      <c r="G2202" t="s">
        <v>8528</v>
      </c>
      <c r="H2202" t="s">
        <v>1243</v>
      </c>
      <c r="I2202" t="s">
        <v>11019</v>
      </c>
      <c r="J2202" t="s">
        <v>1643</v>
      </c>
      <c r="K2202">
        <v>10033</v>
      </c>
      <c r="L2202" t="s">
        <v>1670</v>
      </c>
      <c r="M2202" t="s">
        <v>1670</v>
      </c>
      <c r="O2202" t="s">
        <v>1939</v>
      </c>
      <c r="P2202" t="s">
        <v>1962</v>
      </c>
      <c r="R2202" t="s">
        <v>50</v>
      </c>
      <c r="S2202" t="s">
        <v>1670</v>
      </c>
      <c r="U2202" t="s">
        <v>1972</v>
      </c>
      <c r="W2202" t="s">
        <v>232</v>
      </c>
      <c r="X2202">
        <v>1145.5</v>
      </c>
      <c r="Y2202" t="s">
        <v>2008</v>
      </c>
      <c r="Z2202" t="s">
        <v>2013</v>
      </c>
      <c r="AB2202" t="s">
        <v>14586</v>
      </c>
      <c r="AD2202" t="s">
        <v>16995</v>
      </c>
      <c r="AE2202">
        <v>232</v>
      </c>
      <c r="AF2202" t="s">
        <v>2902</v>
      </c>
      <c r="AG2202" t="s">
        <v>2017</v>
      </c>
      <c r="AH2202">
        <v>50</v>
      </c>
      <c r="AI2202">
        <v>1</v>
      </c>
      <c r="AJ2202">
        <v>0</v>
      </c>
      <c r="AK2202">
        <v>107.25</v>
      </c>
      <c r="AN2202" t="s">
        <v>2926</v>
      </c>
      <c r="AO2202">
        <v>13020</v>
      </c>
      <c r="AU2202">
        <v>1.1</v>
      </c>
      <c r="AV2202" t="s">
        <v>206</v>
      </c>
      <c r="AW2202" t="s">
        <v>3042</v>
      </c>
    </row>
    <row r="2203" spans="1:50">
      <c r="A2203" s="1" t="s">
        <v>118</v>
      </c>
      <c r="B2203" t="s">
        <v>163</v>
      </c>
      <c r="C2203" t="s">
        <v>5413</v>
      </c>
      <c r="D2203" t="s">
        <v>193</v>
      </c>
      <c r="F2203" t="s">
        <v>6916</v>
      </c>
      <c r="G2203" t="s">
        <v>8863</v>
      </c>
      <c r="H2203" t="s">
        <v>9805</v>
      </c>
      <c r="I2203" t="s">
        <v>10946</v>
      </c>
      <c r="J2203" t="s">
        <v>1641</v>
      </c>
      <c r="K2203">
        <v>10452</v>
      </c>
      <c r="L2203" t="s">
        <v>1670</v>
      </c>
      <c r="M2203" t="s">
        <v>1670</v>
      </c>
      <c r="O2203" t="s">
        <v>1675</v>
      </c>
      <c r="P2203" t="s">
        <v>1959</v>
      </c>
      <c r="R2203" t="s">
        <v>50</v>
      </c>
      <c r="S2203" t="s">
        <v>1670</v>
      </c>
      <c r="U2203" t="s">
        <v>1972</v>
      </c>
      <c r="W2203" t="s">
        <v>1991</v>
      </c>
      <c r="X2203">
        <v>926.15</v>
      </c>
      <c r="Y2203" t="s">
        <v>2006</v>
      </c>
      <c r="Z2203" t="s">
        <v>2015</v>
      </c>
      <c r="AB2203" t="s">
        <v>14587</v>
      </c>
      <c r="AC2203" t="s">
        <v>15258</v>
      </c>
      <c r="AD2203" t="s">
        <v>16996</v>
      </c>
      <c r="AE2203">
        <v>60</v>
      </c>
      <c r="AF2203" t="s">
        <v>2902</v>
      </c>
      <c r="AG2203" t="s">
        <v>1754</v>
      </c>
      <c r="AH2203">
        <v>17</v>
      </c>
      <c r="AI2203">
        <v>1</v>
      </c>
      <c r="AJ2203">
        <v>0</v>
      </c>
      <c r="AK2203">
        <v>107.35</v>
      </c>
      <c r="AN2203" t="s">
        <v>2927</v>
      </c>
      <c r="AO2203">
        <v>13408.4</v>
      </c>
      <c r="AU2203">
        <v>2.2</v>
      </c>
      <c r="AV2203" t="s">
        <v>3039</v>
      </c>
      <c r="AW2203" t="s">
        <v>3046</v>
      </c>
      <c r="AX2203" t="s">
        <v>18685</v>
      </c>
    </row>
    <row r="2204" spans="1:50">
      <c r="A2204" s="1" t="s">
        <v>63</v>
      </c>
      <c r="B2204" t="s">
        <v>163</v>
      </c>
      <c r="C2204" t="s">
        <v>5414</v>
      </c>
      <c r="D2204" t="s">
        <v>256</v>
      </c>
      <c r="F2204" t="s">
        <v>6916</v>
      </c>
      <c r="G2204" t="s">
        <v>8863</v>
      </c>
      <c r="H2204" t="s">
        <v>9805</v>
      </c>
      <c r="I2204" t="s">
        <v>10946</v>
      </c>
      <c r="J2204" t="s">
        <v>1641</v>
      </c>
      <c r="K2204">
        <v>10452</v>
      </c>
      <c r="L2204" t="s">
        <v>1670</v>
      </c>
      <c r="M2204" t="s">
        <v>1670</v>
      </c>
      <c r="N2204" t="s">
        <v>12488</v>
      </c>
      <c r="O2204" t="s">
        <v>1936</v>
      </c>
      <c r="P2204" t="s">
        <v>1960</v>
      </c>
      <c r="R2204" t="s">
        <v>50</v>
      </c>
      <c r="S2204" t="s">
        <v>1671</v>
      </c>
      <c r="U2204" t="s">
        <v>1972</v>
      </c>
      <c r="W2204" t="s">
        <v>256</v>
      </c>
      <c r="X2204">
        <v>926.15</v>
      </c>
      <c r="Y2204" t="s">
        <v>2006</v>
      </c>
      <c r="Z2204" t="s">
        <v>2020</v>
      </c>
      <c r="AB2204" t="s">
        <v>14587</v>
      </c>
      <c r="AC2204" t="s">
        <v>15258</v>
      </c>
      <c r="AD2204" t="s">
        <v>16996</v>
      </c>
      <c r="AE2204">
        <v>60</v>
      </c>
      <c r="AF2204" t="s">
        <v>2902</v>
      </c>
      <c r="AG2204" t="s">
        <v>1754</v>
      </c>
      <c r="AH2204">
        <v>17</v>
      </c>
      <c r="AI2204">
        <v>1</v>
      </c>
      <c r="AJ2204">
        <v>0</v>
      </c>
      <c r="AK2204">
        <v>107.35</v>
      </c>
      <c r="AN2204" t="s">
        <v>2927</v>
      </c>
      <c r="AO2204">
        <v>13408.4</v>
      </c>
      <c r="AP2204" t="s">
        <v>18336</v>
      </c>
      <c r="AU2204">
        <v>19.65</v>
      </c>
      <c r="AV2204" t="s">
        <v>393</v>
      </c>
      <c r="AW2204" t="s">
        <v>3046</v>
      </c>
      <c r="AX2204" t="s">
        <v>18686</v>
      </c>
    </row>
    <row r="2205" spans="1:50">
      <c r="A2205" s="1" t="s">
        <v>3203</v>
      </c>
      <c r="B2205" t="s">
        <v>164</v>
      </c>
      <c r="C2205" t="s">
        <v>5415</v>
      </c>
      <c r="D2205" t="s">
        <v>6202</v>
      </c>
      <c r="E2205" t="s">
        <v>6186</v>
      </c>
      <c r="F2205" t="s">
        <v>427</v>
      </c>
      <c r="G2205" t="s">
        <v>946</v>
      </c>
      <c r="H2205" t="s">
        <v>10375</v>
      </c>
      <c r="I2205" t="s">
        <v>11135</v>
      </c>
      <c r="J2205" t="s">
        <v>1641</v>
      </c>
      <c r="K2205">
        <v>10453</v>
      </c>
      <c r="L2205" t="s">
        <v>1670</v>
      </c>
      <c r="M2205" t="s">
        <v>1670</v>
      </c>
      <c r="O2205" t="s">
        <v>1936</v>
      </c>
      <c r="P2205" t="s">
        <v>1958</v>
      </c>
      <c r="Q2205" t="s">
        <v>1965</v>
      </c>
      <c r="R2205" t="s">
        <v>50</v>
      </c>
      <c r="U2205" t="s">
        <v>1972</v>
      </c>
      <c r="W2205" t="s">
        <v>359</v>
      </c>
      <c r="X2205">
        <v>876.25</v>
      </c>
      <c r="Y2205" t="s">
        <v>2006</v>
      </c>
      <c r="AA2205" t="s">
        <v>2029</v>
      </c>
      <c r="AB2205" t="s">
        <v>14588</v>
      </c>
      <c r="AD2205" t="s">
        <v>16997</v>
      </c>
      <c r="AE2205">
        <v>20</v>
      </c>
      <c r="AH2205">
        <v>20</v>
      </c>
      <c r="AI2205">
        <v>1</v>
      </c>
      <c r="AJ2205">
        <v>0</v>
      </c>
      <c r="AK2205">
        <v>107.46</v>
      </c>
      <c r="AN2205" t="s">
        <v>2927</v>
      </c>
      <c r="AO2205">
        <v>12960</v>
      </c>
      <c r="AP2205" t="s">
        <v>18337</v>
      </c>
      <c r="AU2205">
        <v>1.97</v>
      </c>
      <c r="AV2205" t="s">
        <v>6138</v>
      </c>
      <c r="AW2205" t="s">
        <v>3046</v>
      </c>
    </row>
    <row r="2206" spans="1:50">
      <c r="A2206" s="1" t="s">
        <v>95</v>
      </c>
      <c r="B2206" t="s">
        <v>164</v>
      </c>
      <c r="C2206" t="s">
        <v>5416</v>
      </c>
      <c r="D2206" t="s">
        <v>384</v>
      </c>
      <c r="E2206" t="s">
        <v>258</v>
      </c>
      <c r="F2206" t="s">
        <v>7658</v>
      </c>
      <c r="G2206" t="s">
        <v>8864</v>
      </c>
      <c r="H2206" t="s">
        <v>10376</v>
      </c>
      <c r="I2206" t="s">
        <v>11357</v>
      </c>
      <c r="J2206" t="s">
        <v>1641</v>
      </c>
      <c r="K2206">
        <v>10452</v>
      </c>
      <c r="L2206" t="s">
        <v>1670</v>
      </c>
      <c r="M2206" t="s">
        <v>1670</v>
      </c>
      <c r="O2206" t="s">
        <v>1675</v>
      </c>
      <c r="P2206" t="s">
        <v>1962</v>
      </c>
      <c r="Q2206" t="s">
        <v>1965</v>
      </c>
      <c r="R2206" t="s">
        <v>50</v>
      </c>
      <c r="S2206" t="s">
        <v>1671</v>
      </c>
      <c r="U2206" t="s">
        <v>1972</v>
      </c>
      <c r="W2206" t="s">
        <v>384</v>
      </c>
      <c r="X2206">
        <v>966</v>
      </c>
      <c r="Y2206" t="s">
        <v>2006</v>
      </c>
      <c r="Z2206" t="s">
        <v>2015</v>
      </c>
      <c r="AA2206" t="s">
        <v>2029</v>
      </c>
      <c r="AB2206" t="s">
        <v>14589</v>
      </c>
      <c r="AD2206" t="s">
        <v>16998</v>
      </c>
      <c r="AE2206">
        <v>50</v>
      </c>
      <c r="AF2206" t="s">
        <v>2902</v>
      </c>
      <c r="AG2206" t="s">
        <v>1754</v>
      </c>
      <c r="AH2206">
        <v>4</v>
      </c>
      <c r="AI2206">
        <v>2</v>
      </c>
      <c r="AJ2206">
        <v>0</v>
      </c>
      <c r="AK2206">
        <v>107.63</v>
      </c>
      <c r="AN2206" t="s">
        <v>2927</v>
      </c>
      <c r="AO2206">
        <v>18200</v>
      </c>
      <c r="AU2206">
        <v>4.5</v>
      </c>
      <c r="AV2206" t="s">
        <v>255</v>
      </c>
      <c r="AW2206" t="s">
        <v>95</v>
      </c>
      <c r="AX2206" t="s">
        <v>18685</v>
      </c>
    </row>
    <row r="2207" spans="1:50">
      <c r="A2207" s="1" t="s">
        <v>3172</v>
      </c>
      <c r="B2207" t="s">
        <v>164</v>
      </c>
      <c r="C2207" t="s">
        <v>5417</v>
      </c>
      <c r="D2207" t="s">
        <v>313</v>
      </c>
      <c r="E2207" t="s">
        <v>191</v>
      </c>
      <c r="F2207" t="s">
        <v>757</v>
      </c>
      <c r="G2207" t="s">
        <v>8865</v>
      </c>
      <c r="H2207" t="s">
        <v>10377</v>
      </c>
      <c r="I2207" t="s">
        <v>1477</v>
      </c>
      <c r="J2207" t="s">
        <v>1654</v>
      </c>
      <c r="K2207">
        <v>11105</v>
      </c>
      <c r="L2207" t="s">
        <v>1670</v>
      </c>
      <c r="M2207" t="s">
        <v>1670</v>
      </c>
      <c r="N2207" t="s">
        <v>12489</v>
      </c>
      <c r="O2207" t="s">
        <v>1936</v>
      </c>
      <c r="P2207" t="s">
        <v>1960</v>
      </c>
      <c r="Q2207" t="s">
        <v>1969</v>
      </c>
      <c r="R2207" t="s">
        <v>50</v>
      </c>
      <c r="S2207" t="s">
        <v>1671</v>
      </c>
      <c r="U2207" t="s">
        <v>1972</v>
      </c>
      <c r="V2207" t="s">
        <v>1984</v>
      </c>
      <c r="W2207" t="s">
        <v>254</v>
      </c>
      <c r="X2207">
        <v>538</v>
      </c>
      <c r="Y2207" t="s">
        <v>2007</v>
      </c>
      <c r="Z2207" t="s">
        <v>2014</v>
      </c>
      <c r="AA2207" t="s">
        <v>2032</v>
      </c>
      <c r="AB2207" t="s">
        <v>14590</v>
      </c>
      <c r="AC2207" t="s">
        <v>15259</v>
      </c>
      <c r="AD2207" t="s">
        <v>16999</v>
      </c>
      <c r="AE2207">
        <v>9</v>
      </c>
      <c r="AF2207" t="s">
        <v>2904</v>
      </c>
      <c r="AG2207" t="s">
        <v>2915</v>
      </c>
      <c r="AH2207">
        <v>28</v>
      </c>
      <c r="AI2207">
        <v>2</v>
      </c>
      <c r="AJ2207">
        <v>0</v>
      </c>
      <c r="AK2207">
        <v>107.63</v>
      </c>
      <c r="AN2207" t="s">
        <v>2926</v>
      </c>
      <c r="AO2207">
        <v>18200</v>
      </c>
      <c r="AQ2207" t="s">
        <v>2977</v>
      </c>
      <c r="AR2207" t="s">
        <v>2982</v>
      </c>
      <c r="AS2207" t="s">
        <v>2992</v>
      </c>
      <c r="AT2207" t="s">
        <v>18587</v>
      </c>
      <c r="AU2207">
        <v>13.64</v>
      </c>
      <c r="AV2207" t="s">
        <v>3031</v>
      </c>
      <c r="AW2207" t="s">
        <v>3044</v>
      </c>
      <c r="AX2207" t="s">
        <v>18685</v>
      </c>
    </row>
    <row r="2208" spans="1:50">
      <c r="A2208" s="1" t="s">
        <v>57</v>
      </c>
      <c r="B2208" t="s">
        <v>163</v>
      </c>
      <c r="C2208" t="s">
        <v>5418</v>
      </c>
      <c r="D2208" t="s">
        <v>258</v>
      </c>
      <c r="F2208" t="s">
        <v>7659</v>
      </c>
      <c r="G2208" t="s">
        <v>1081</v>
      </c>
      <c r="H2208" t="s">
        <v>1112</v>
      </c>
      <c r="I2208" t="s">
        <v>1504</v>
      </c>
      <c r="J2208" t="s">
        <v>1641</v>
      </c>
      <c r="K2208">
        <v>10453</v>
      </c>
      <c r="L2208" t="s">
        <v>1670</v>
      </c>
      <c r="M2208" t="s">
        <v>1670</v>
      </c>
      <c r="N2208" t="s">
        <v>1677</v>
      </c>
      <c r="O2208" t="s">
        <v>1939</v>
      </c>
      <c r="P2208" t="s">
        <v>1960</v>
      </c>
      <c r="R2208" t="s">
        <v>50</v>
      </c>
      <c r="S2208" t="s">
        <v>1670</v>
      </c>
      <c r="U2208" t="s">
        <v>1972</v>
      </c>
      <c r="W2208" t="s">
        <v>283</v>
      </c>
      <c r="X2208">
        <v>1050</v>
      </c>
      <c r="Y2208" t="s">
        <v>2006</v>
      </c>
      <c r="Z2208" t="s">
        <v>2016</v>
      </c>
      <c r="AB2208" t="s">
        <v>14591</v>
      </c>
      <c r="AD2208" t="s">
        <v>17000</v>
      </c>
      <c r="AE2208">
        <v>170</v>
      </c>
      <c r="AF2208" t="s">
        <v>2902</v>
      </c>
      <c r="AG2208" t="s">
        <v>1754</v>
      </c>
      <c r="AH2208">
        <v>6</v>
      </c>
      <c r="AI2208">
        <v>2</v>
      </c>
      <c r="AJ2208">
        <v>0</v>
      </c>
      <c r="AK2208">
        <v>107.63</v>
      </c>
      <c r="AN2208" t="s">
        <v>2927</v>
      </c>
      <c r="AO2208">
        <v>18200</v>
      </c>
      <c r="AU2208" t="s">
        <v>13051</v>
      </c>
      <c r="AW2208" t="s">
        <v>3045</v>
      </c>
    </row>
    <row r="2209" spans="1:50">
      <c r="A2209" s="1" t="s">
        <v>52</v>
      </c>
      <c r="B2209" t="s">
        <v>163</v>
      </c>
      <c r="C2209" t="s">
        <v>5419</v>
      </c>
      <c r="D2209" t="s">
        <v>310</v>
      </c>
      <c r="F2209" t="s">
        <v>427</v>
      </c>
      <c r="G2209" t="s">
        <v>993</v>
      </c>
      <c r="H2209" t="s">
        <v>10378</v>
      </c>
      <c r="I2209" t="s">
        <v>1550</v>
      </c>
      <c r="J2209" t="s">
        <v>1641</v>
      </c>
      <c r="K2209">
        <v>10458</v>
      </c>
      <c r="L2209" t="s">
        <v>1670</v>
      </c>
      <c r="M2209" t="s">
        <v>1670</v>
      </c>
      <c r="O2209" t="s">
        <v>1942</v>
      </c>
      <c r="P2209" t="s">
        <v>1959</v>
      </c>
      <c r="R2209" t="s">
        <v>50</v>
      </c>
      <c r="S2209" t="s">
        <v>1671</v>
      </c>
      <c r="U2209" t="s">
        <v>1972</v>
      </c>
      <c r="V2209" t="s">
        <v>1984</v>
      </c>
      <c r="W2209" t="s">
        <v>310</v>
      </c>
      <c r="X2209">
        <v>1580</v>
      </c>
      <c r="Y2209" t="s">
        <v>2006</v>
      </c>
      <c r="Z2209" t="s">
        <v>2024</v>
      </c>
      <c r="AB2209" t="s">
        <v>14592</v>
      </c>
      <c r="AC2209" t="s">
        <v>15260</v>
      </c>
      <c r="AD2209" t="s">
        <v>17001</v>
      </c>
      <c r="AE2209" t="s">
        <v>13051</v>
      </c>
      <c r="AF2209" t="s">
        <v>2904</v>
      </c>
      <c r="AG2209" t="s">
        <v>2915</v>
      </c>
      <c r="AH2209">
        <v>23</v>
      </c>
      <c r="AI2209">
        <v>3</v>
      </c>
      <c r="AJ2209">
        <v>0</v>
      </c>
      <c r="AK2209">
        <v>108.02</v>
      </c>
      <c r="AN2209" t="s">
        <v>2926</v>
      </c>
      <c r="AO2209">
        <v>23040</v>
      </c>
      <c r="AU2209">
        <v>3.7</v>
      </c>
      <c r="AV2209" t="s">
        <v>1995</v>
      </c>
      <c r="AW2209" t="s">
        <v>3045</v>
      </c>
    </row>
    <row r="2210" spans="1:50">
      <c r="A2210" s="1" t="s">
        <v>3145</v>
      </c>
      <c r="B2210" t="s">
        <v>163</v>
      </c>
      <c r="C2210" t="s">
        <v>5420</v>
      </c>
      <c r="D2210" t="s">
        <v>361</v>
      </c>
      <c r="F2210" t="s">
        <v>7135</v>
      </c>
      <c r="G2210" t="s">
        <v>8866</v>
      </c>
      <c r="H2210" t="s">
        <v>10379</v>
      </c>
      <c r="I2210">
        <v>11</v>
      </c>
      <c r="J2210" t="s">
        <v>1643</v>
      </c>
      <c r="K2210">
        <v>10009</v>
      </c>
      <c r="L2210" t="s">
        <v>1670</v>
      </c>
      <c r="M2210" t="s">
        <v>1672</v>
      </c>
      <c r="N2210" t="s">
        <v>12490</v>
      </c>
      <c r="O2210" t="s">
        <v>1940</v>
      </c>
      <c r="P2210" t="s">
        <v>1963</v>
      </c>
      <c r="R2210" t="s">
        <v>50</v>
      </c>
      <c r="S2210" t="s">
        <v>1671</v>
      </c>
      <c r="U2210" t="s">
        <v>1972</v>
      </c>
      <c r="W2210" t="s">
        <v>361</v>
      </c>
      <c r="X2210">
        <v>2400</v>
      </c>
      <c r="Y2210" t="s">
        <v>2008</v>
      </c>
      <c r="Z2210" t="s">
        <v>2015</v>
      </c>
      <c r="AB2210" t="s">
        <v>14593</v>
      </c>
      <c r="AD2210" t="s">
        <v>17002</v>
      </c>
      <c r="AE2210" t="s">
        <v>13051</v>
      </c>
      <c r="AF2210" t="s">
        <v>2914</v>
      </c>
      <c r="AG2210" t="s">
        <v>1754</v>
      </c>
      <c r="AH2210">
        <v>1</v>
      </c>
      <c r="AI2210">
        <v>1</v>
      </c>
      <c r="AJ2210">
        <v>0</v>
      </c>
      <c r="AK2210">
        <v>108.09</v>
      </c>
      <c r="AN2210" t="s">
        <v>2926</v>
      </c>
      <c r="AO2210">
        <v>13500</v>
      </c>
      <c r="AU2210" t="s">
        <v>13051</v>
      </c>
      <c r="AW2210" t="s">
        <v>3061</v>
      </c>
      <c r="AX2210" t="s">
        <v>18685</v>
      </c>
    </row>
    <row r="2211" spans="1:50">
      <c r="A2211" s="1" t="s">
        <v>58</v>
      </c>
      <c r="B2211" t="s">
        <v>163</v>
      </c>
      <c r="C2211" t="s">
        <v>5421</v>
      </c>
      <c r="D2211" t="s">
        <v>171</v>
      </c>
      <c r="F2211" t="s">
        <v>427</v>
      </c>
      <c r="G2211" t="s">
        <v>8761</v>
      </c>
      <c r="H2211" t="s">
        <v>1113</v>
      </c>
      <c r="I2211" t="s">
        <v>1544</v>
      </c>
      <c r="J2211" t="s">
        <v>1641</v>
      </c>
      <c r="K2211">
        <v>10452</v>
      </c>
      <c r="L2211" t="s">
        <v>1670</v>
      </c>
      <c r="M2211" t="s">
        <v>1672</v>
      </c>
      <c r="O2211" t="s">
        <v>1938</v>
      </c>
      <c r="P2211" t="s">
        <v>1962</v>
      </c>
      <c r="R2211" t="s">
        <v>50</v>
      </c>
      <c r="S2211" t="s">
        <v>1670</v>
      </c>
      <c r="U2211" t="s">
        <v>1972</v>
      </c>
      <c r="W2211" t="s">
        <v>293</v>
      </c>
      <c r="X2211">
        <v>1481</v>
      </c>
      <c r="Y2211" t="s">
        <v>2006</v>
      </c>
      <c r="Z2211" t="s">
        <v>2016</v>
      </c>
      <c r="AB2211" t="s">
        <v>14594</v>
      </c>
      <c r="AD2211" t="s">
        <v>17003</v>
      </c>
      <c r="AE2211">
        <v>41</v>
      </c>
      <c r="AF2211" t="s">
        <v>2904</v>
      </c>
      <c r="AG2211" t="s">
        <v>1754</v>
      </c>
      <c r="AH2211">
        <v>10</v>
      </c>
      <c r="AI2211">
        <v>1</v>
      </c>
      <c r="AJ2211">
        <v>0</v>
      </c>
      <c r="AK2211">
        <v>108.18</v>
      </c>
      <c r="AN2211" t="s">
        <v>2926</v>
      </c>
      <c r="AO2211">
        <v>13512</v>
      </c>
      <c r="AU2211" t="s">
        <v>13051</v>
      </c>
      <c r="AW2211" t="s">
        <v>3046</v>
      </c>
      <c r="AX2211" t="s">
        <v>18685</v>
      </c>
    </row>
    <row r="2212" spans="1:50">
      <c r="A2212" s="1" t="s">
        <v>97</v>
      </c>
      <c r="B2212" t="s">
        <v>163</v>
      </c>
      <c r="C2212" t="s">
        <v>5422</v>
      </c>
      <c r="D2212" t="s">
        <v>332</v>
      </c>
      <c r="F2212" t="s">
        <v>7141</v>
      </c>
      <c r="G2212" t="s">
        <v>873</v>
      </c>
      <c r="H2212" t="s">
        <v>1244</v>
      </c>
      <c r="I2212">
        <v>31</v>
      </c>
      <c r="J2212" t="s">
        <v>1643</v>
      </c>
      <c r="K2212">
        <v>10034</v>
      </c>
      <c r="L2212" t="s">
        <v>1670</v>
      </c>
      <c r="M2212" t="s">
        <v>1670</v>
      </c>
      <c r="N2212" t="s">
        <v>1771</v>
      </c>
      <c r="O2212" t="s">
        <v>1939</v>
      </c>
      <c r="P2212" t="s">
        <v>1960</v>
      </c>
      <c r="R2212" t="s">
        <v>50</v>
      </c>
      <c r="S2212" t="s">
        <v>1670</v>
      </c>
      <c r="U2212" t="s">
        <v>1972</v>
      </c>
      <c r="W2212" t="s">
        <v>332</v>
      </c>
      <c r="X2212">
        <v>1013.58</v>
      </c>
      <c r="Y2212" t="s">
        <v>2008</v>
      </c>
      <c r="Z2212" t="s">
        <v>2013</v>
      </c>
      <c r="AB2212" t="s">
        <v>14595</v>
      </c>
      <c r="AD2212" t="s">
        <v>17004</v>
      </c>
      <c r="AE2212">
        <v>25</v>
      </c>
      <c r="AF2212" t="s">
        <v>2902</v>
      </c>
      <c r="AG2212" t="s">
        <v>2915</v>
      </c>
      <c r="AH2212">
        <v>50</v>
      </c>
      <c r="AI2212">
        <v>2</v>
      </c>
      <c r="AJ2212">
        <v>0</v>
      </c>
      <c r="AK2212">
        <v>108.26</v>
      </c>
      <c r="AN2212" t="s">
        <v>2927</v>
      </c>
      <c r="AO2212">
        <v>17820</v>
      </c>
      <c r="AU2212">
        <v>1.3</v>
      </c>
      <c r="AV2212" t="s">
        <v>393</v>
      </c>
      <c r="AW2212" t="s">
        <v>3042</v>
      </c>
    </row>
    <row r="2213" spans="1:50">
      <c r="A2213" s="1" t="s">
        <v>126</v>
      </c>
      <c r="B2213" t="s">
        <v>163</v>
      </c>
      <c r="C2213" t="s">
        <v>5423</v>
      </c>
      <c r="D2213" t="s">
        <v>192</v>
      </c>
      <c r="F2213" t="s">
        <v>511</v>
      </c>
      <c r="G2213" t="s">
        <v>8867</v>
      </c>
      <c r="H2213" t="s">
        <v>9627</v>
      </c>
      <c r="I2213" t="s">
        <v>11358</v>
      </c>
      <c r="J2213" t="s">
        <v>1641</v>
      </c>
      <c r="K2213">
        <v>10451</v>
      </c>
      <c r="L2213" t="s">
        <v>1670</v>
      </c>
      <c r="M2213" t="s">
        <v>1670</v>
      </c>
      <c r="N2213" t="s">
        <v>11981</v>
      </c>
      <c r="O2213" t="s">
        <v>1939</v>
      </c>
      <c r="P2213" t="s">
        <v>1960</v>
      </c>
      <c r="R2213" t="s">
        <v>50</v>
      </c>
      <c r="S2213" t="s">
        <v>1670</v>
      </c>
      <c r="U2213" t="s">
        <v>1972</v>
      </c>
      <c r="W2213" t="s">
        <v>359</v>
      </c>
      <c r="X2213">
        <v>2030</v>
      </c>
      <c r="Y2213" t="s">
        <v>2006</v>
      </c>
      <c r="Z2213" t="s">
        <v>2011</v>
      </c>
      <c r="AB2213" t="s">
        <v>14596</v>
      </c>
      <c r="AD2213" t="s">
        <v>17005</v>
      </c>
      <c r="AE2213">
        <v>100</v>
      </c>
      <c r="AF2213" t="s">
        <v>2902</v>
      </c>
      <c r="AG2213" t="s">
        <v>2915</v>
      </c>
      <c r="AH2213">
        <v>17</v>
      </c>
      <c r="AI2213">
        <v>2</v>
      </c>
      <c r="AJ2213">
        <v>0</v>
      </c>
      <c r="AK2213">
        <v>108.36</v>
      </c>
      <c r="AN2213" t="s">
        <v>2927</v>
      </c>
      <c r="AO2213">
        <v>17836</v>
      </c>
      <c r="AU2213" t="s">
        <v>13051</v>
      </c>
      <c r="AW2213" t="s">
        <v>3047</v>
      </c>
    </row>
    <row r="2214" spans="1:50">
      <c r="A2214" s="1" t="s">
        <v>101</v>
      </c>
      <c r="B2214" t="s">
        <v>164</v>
      </c>
      <c r="C2214" t="s">
        <v>5424</v>
      </c>
      <c r="D2214" t="s">
        <v>2005</v>
      </c>
      <c r="E2214" t="s">
        <v>224</v>
      </c>
      <c r="F2214" t="s">
        <v>7055</v>
      </c>
      <c r="G2214" t="s">
        <v>914</v>
      </c>
      <c r="H2214" t="s">
        <v>10380</v>
      </c>
      <c r="I2214" t="s">
        <v>1504</v>
      </c>
      <c r="J2214" t="s">
        <v>1643</v>
      </c>
      <c r="K2214">
        <v>10029</v>
      </c>
      <c r="L2214" t="s">
        <v>1670</v>
      </c>
      <c r="M2214" t="s">
        <v>1670</v>
      </c>
      <c r="O2214" t="s">
        <v>1675</v>
      </c>
      <c r="P2214" t="s">
        <v>1958</v>
      </c>
      <c r="Q2214" t="s">
        <v>1965</v>
      </c>
      <c r="R2214" t="s">
        <v>50</v>
      </c>
      <c r="S2214" t="s">
        <v>1671</v>
      </c>
      <c r="U2214" t="s">
        <v>1972</v>
      </c>
      <c r="V2214" t="s">
        <v>1984</v>
      </c>
      <c r="W2214" t="s">
        <v>331</v>
      </c>
      <c r="X2214">
        <v>1885</v>
      </c>
      <c r="Y2214" t="s">
        <v>2008</v>
      </c>
      <c r="Z2214" t="s">
        <v>2028</v>
      </c>
      <c r="AA2214" t="s">
        <v>2029</v>
      </c>
      <c r="AB2214" t="s">
        <v>13864</v>
      </c>
      <c r="AD2214" t="s">
        <v>17006</v>
      </c>
      <c r="AE2214">
        <v>24</v>
      </c>
      <c r="AF2214" t="s">
        <v>2909</v>
      </c>
      <c r="AG2214" t="s">
        <v>2915</v>
      </c>
      <c r="AH2214">
        <v>6</v>
      </c>
      <c r="AI2214">
        <v>1</v>
      </c>
      <c r="AJ2214">
        <v>0</v>
      </c>
      <c r="AK2214">
        <v>108.63</v>
      </c>
      <c r="AN2214" t="s">
        <v>2926</v>
      </c>
      <c r="AO2214">
        <v>13188</v>
      </c>
      <c r="AU2214">
        <v>1.2</v>
      </c>
      <c r="AV2214" t="s">
        <v>331</v>
      </c>
      <c r="AW2214" t="s">
        <v>18654</v>
      </c>
    </row>
    <row r="2215" spans="1:50">
      <c r="A2215" s="1" t="s">
        <v>69</v>
      </c>
      <c r="B2215" t="s">
        <v>164</v>
      </c>
      <c r="C2215" t="s">
        <v>5425</v>
      </c>
      <c r="D2215" t="s">
        <v>310</v>
      </c>
      <c r="E2215" t="s">
        <v>220</v>
      </c>
      <c r="F2215" t="s">
        <v>427</v>
      </c>
      <c r="G2215" t="s">
        <v>1039</v>
      </c>
      <c r="H2215" t="s">
        <v>10381</v>
      </c>
      <c r="I2215" t="s">
        <v>11359</v>
      </c>
      <c r="J2215" t="s">
        <v>1644</v>
      </c>
      <c r="K2215">
        <v>11206</v>
      </c>
      <c r="L2215" t="s">
        <v>1670</v>
      </c>
      <c r="M2215" t="s">
        <v>1670</v>
      </c>
      <c r="P2215" t="s">
        <v>1958</v>
      </c>
      <c r="Q2215" t="s">
        <v>1965</v>
      </c>
      <c r="R2215" t="s">
        <v>50</v>
      </c>
      <c r="U2215" t="s">
        <v>1972</v>
      </c>
      <c r="W2215" t="s">
        <v>310</v>
      </c>
      <c r="X2215">
        <v>1523</v>
      </c>
      <c r="Y2215" t="s">
        <v>2009</v>
      </c>
      <c r="AA2215" t="s">
        <v>2029</v>
      </c>
      <c r="AB2215" t="s">
        <v>14597</v>
      </c>
      <c r="AD2215" t="s">
        <v>17007</v>
      </c>
      <c r="AE2215" t="s">
        <v>13051</v>
      </c>
      <c r="AH2215">
        <v>36</v>
      </c>
      <c r="AI2215">
        <v>4</v>
      </c>
      <c r="AJ2215">
        <v>0</v>
      </c>
      <c r="AK2215">
        <v>108.74</v>
      </c>
      <c r="AN2215" t="s">
        <v>2926</v>
      </c>
      <c r="AO2215">
        <v>28000</v>
      </c>
      <c r="AU2215">
        <v>1.9</v>
      </c>
      <c r="AV2215" t="s">
        <v>179</v>
      </c>
      <c r="AW2215" t="s">
        <v>69</v>
      </c>
    </row>
    <row r="2216" spans="1:50">
      <c r="A2216" s="1" t="s">
        <v>97</v>
      </c>
      <c r="B2216" t="s">
        <v>163</v>
      </c>
      <c r="C2216" t="s">
        <v>5426</v>
      </c>
      <c r="D2216" t="s">
        <v>313</v>
      </c>
      <c r="F2216" t="s">
        <v>741</v>
      </c>
      <c r="G2216" t="s">
        <v>893</v>
      </c>
      <c r="H2216" t="s">
        <v>9431</v>
      </c>
      <c r="I2216" t="s">
        <v>11360</v>
      </c>
      <c r="J2216" t="s">
        <v>1643</v>
      </c>
      <c r="K2216">
        <v>10034</v>
      </c>
      <c r="L2216" t="s">
        <v>1670</v>
      </c>
      <c r="M2216" t="s">
        <v>1670</v>
      </c>
      <c r="O2216" t="s">
        <v>1941</v>
      </c>
      <c r="P2216" t="s">
        <v>1958</v>
      </c>
      <c r="R2216" t="s">
        <v>50</v>
      </c>
      <c r="S2216" t="s">
        <v>1671</v>
      </c>
      <c r="U2216" t="s">
        <v>1972</v>
      </c>
      <c r="W2216" t="s">
        <v>313</v>
      </c>
      <c r="X2216">
        <v>1601.08</v>
      </c>
      <c r="Y2216" t="s">
        <v>2008</v>
      </c>
      <c r="Z2216" t="s">
        <v>2020</v>
      </c>
      <c r="AB2216" t="s">
        <v>14598</v>
      </c>
      <c r="AD2216" t="s">
        <v>17008</v>
      </c>
      <c r="AE2216">
        <v>69</v>
      </c>
      <c r="AF2216" t="s">
        <v>2902</v>
      </c>
      <c r="AG2216" t="s">
        <v>2919</v>
      </c>
      <c r="AH2216">
        <v>35</v>
      </c>
      <c r="AI2216">
        <v>1</v>
      </c>
      <c r="AJ2216">
        <v>0</v>
      </c>
      <c r="AK2216">
        <v>109.05</v>
      </c>
      <c r="AN2216" t="s">
        <v>2926</v>
      </c>
      <c r="AO2216">
        <v>13620</v>
      </c>
      <c r="AU2216">
        <v>2.6</v>
      </c>
      <c r="AV2216" t="s">
        <v>277</v>
      </c>
      <c r="AW2216" t="s">
        <v>3042</v>
      </c>
      <c r="AX2216" t="s">
        <v>18685</v>
      </c>
    </row>
    <row r="2217" spans="1:50">
      <c r="A2217" s="1" t="s">
        <v>134</v>
      </c>
      <c r="B2217" t="s">
        <v>163</v>
      </c>
      <c r="C2217" t="s">
        <v>5427</v>
      </c>
      <c r="D2217" t="s">
        <v>328</v>
      </c>
      <c r="F2217" t="s">
        <v>7660</v>
      </c>
      <c r="G2217" t="s">
        <v>888</v>
      </c>
      <c r="H2217" t="s">
        <v>9457</v>
      </c>
      <c r="I2217" t="s">
        <v>1581</v>
      </c>
      <c r="J2217" t="s">
        <v>1643</v>
      </c>
      <c r="K2217">
        <v>10040</v>
      </c>
      <c r="L2217" t="s">
        <v>1670</v>
      </c>
      <c r="M2217" t="s">
        <v>1672</v>
      </c>
      <c r="O2217" t="s">
        <v>1675</v>
      </c>
      <c r="P2217" t="s">
        <v>1959</v>
      </c>
      <c r="R2217" t="s">
        <v>50</v>
      </c>
      <c r="S2217" t="s">
        <v>1671</v>
      </c>
      <c r="U2217" t="s">
        <v>1972</v>
      </c>
      <c r="W2217" t="s">
        <v>328</v>
      </c>
      <c r="X2217">
        <v>1230.2</v>
      </c>
      <c r="Y2217" t="s">
        <v>2008</v>
      </c>
      <c r="Z2217" t="s">
        <v>2020</v>
      </c>
      <c r="AB2217" t="s">
        <v>14599</v>
      </c>
      <c r="AD2217" t="s">
        <v>17009</v>
      </c>
      <c r="AE2217">
        <v>44</v>
      </c>
      <c r="AF2217" t="s">
        <v>2902</v>
      </c>
      <c r="AG2217" t="s">
        <v>2915</v>
      </c>
      <c r="AH2217">
        <v>23</v>
      </c>
      <c r="AI2217">
        <v>1</v>
      </c>
      <c r="AJ2217">
        <v>0</v>
      </c>
      <c r="AK2217">
        <v>109.14</v>
      </c>
      <c r="AN2217" t="s">
        <v>2927</v>
      </c>
      <c r="AO2217">
        <v>13632</v>
      </c>
      <c r="AU2217">
        <v>0.7</v>
      </c>
      <c r="AV2217" t="s">
        <v>3036</v>
      </c>
      <c r="AW2217" t="s">
        <v>3042</v>
      </c>
      <c r="AX2217" t="s">
        <v>18685</v>
      </c>
    </row>
    <row r="2218" spans="1:50">
      <c r="A2218" s="1" t="s">
        <v>66</v>
      </c>
      <c r="B2218" t="s">
        <v>164</v>
      </c>
      <c r="C2218" t="s">
        <v>5428</v>
      </c>
      <c r="D2218" t="s">
        <v>270</v>
      </c>
      <c r="E2218" t="s">
        <v>236</v>
      </c>
      <c r="F2218" t="s">
        <v>7661</v>
      </c>
      <c r="G2218" t="s">
        <v>8868</v>
      </c>
      <c r="H2218" t="s">
        <v>10382</v>
      </c>
      <c r="I2218" t="s">
        <v>11361</v>
      </c>
      <c r="J2218" t="s">
        <v>1644</v>
      </c>
      <c r="K2218">
        <v>11208</v>
      </c>
      <c r="L2218" t="s">
        <v>1670</v>
      </c>
      <c r="M2218" t="s">
        <v>1670</v>
      </c>
      <c r="N2218" t="s">
        <v>12491</v>
      </c>
      <c r="O2218" t="s">
        <v>1936</v>
      </c>
      <c r="P2218" t="s">
        <v>1962</v>
      </c>
      <c r="Q2218" t="s">
        <v>1968</v>
      </c>
      <c r="R2218" t="s">
        <v>50</v>
      </c>
      <c r="S2218" t="s">
        <v>1671</v>
      </c>
      <c r="U2218" t="s">
        <v>1972</v>
      </c>
      <c r="W2218" t="s">
        <v>270</v>
      </c>
      <c r="X2218">
        <v>725</v>
      </c>
      <c r="Y2218" t="s">
        <v>2009</v>
      </c>
      <c r="Z2218" t="s">
        <v>2014</v>
      </c>
      <c r="AA2218" t="s">
        <v>2029</v>
      </c>
      <c r="AB2218" t="s">
        <v>14600</v>
      </c>
      <c r="AD2218" t="s">
        <v>17010</v>
      </c>
      <c r="AE2218">
        <v>3</v>
      </c>
      <c r="AF2218" t="s">
        <v>2903</v>
      </c>
      <c r="AH2218">
        <v>1</v>
      </c>
      <c r="AI2218">
        <v>1</v>
      </c>
      <c r="AJ2218">
        <v>0</v>
      </c>
      <c r="AK2218">
        <v>109.23</v>
      </c>
      <c r="AN2218" t="s">
        <v>2926</v>
      </c>
      <c r="AO2218">
        <v>13260</v>
      </c>
      <c r="AU2218">
        <v>3.1</v>
      </c>
      <c r="AV2218" t="s">
        <v>202</v>
      </c>
      <c r="AW2218" t="s">
        <v>3069</v>
      </c>
    </row>
    <row r="2219" spans="1:50">
      <c r="A2219" s="1" t="s">
        <v>116</v>
      </c>
      <c r="B2219" t="s">
        <v>163</v>
      </c>
      <c r="C2219" t="s">
        <v>5429</v>
      </c>
      <c r="D2219" t="s">
        <v>353</v>
      </c>
      <c r="F2219" t="s">
        <v>7662</v>
      </c>
      <c r="G2219" t="s">
        <v>8869</v>
      </c>
      <c r="H2219" t="s">
        <v>10383</v>
      </c>
      <c r="I2219" t="s">
        <v>1486</v>
      </c>
      <c r="J2219" t="s">
        <v>1643</v>
      </c>
      <c r="K2219">
        <v>10035</v>
      </c>
      <c r="L2219" t="s">
        <v>1670</v>
      </c>
      <c r="M2219" t="s">
        <v>1670</v>
      </c>
      <c r="N2219" t="s">
        <v>12492</v>
      </c>
      <c r="O2219" t="s">
        <v>1936</v>
      </c>
      <c r="P2219" t="s">
        <v>1960</v>
      </c>
      <c r="R2219" t="s">
        <v>50</v>
      </c>
      <c r="S2219" t="s">
        <v>1671</v>
      </c>
      <c r="U2219" t="s">
        <v>1972</v>
      </c>
      <c r="V2219" t="s">
        <v>1984</v>
      </c>
      <c r="W2219" t="s">
        <v>294</v>
      </c>
      <c r="X2219">
        <v>3600</v>
      </c>
      <c r="Y2219" t="s">
        <v>2008</v>
      </c>
      <c r="Z2219" t="s">
        <v>2027</v>
      </c>
      <c r="AB2219" t="s">
        <v>14601</v>
      </c>
      <c r="AD2219" t="s">
        <v>17011</v>
      </c>
      <c r="AE2219">
        <v>48</v>
      </c>
      <c r="AF2219" t="s">
        <v>2910</v>
      </c>
      <c r="AG2219" t="s">
        <v>2922</v>
      </c>
      <c r="AH2219">
        <v>12</v>
      </c>
      <c r="AI2219">
        <v>4</v>
      </c>
      <c r="AJ2219">
        <v>0</v>
      </c>
      <c r="AK2219">
        <v>109.28</v>
      </c>
      <c r="AN2219" t="s">
        <v>2926</v>
      </c>
      <c r="AO2219">
        <v>28140</v>
      </c>
      <c r="AU2219">
        <v>14.7</v>
      </c>
      <c r="AV2219" t="s">
        <v>393</v>
      </c>
      <c r="AW2219" t="s">
        <v>3083</v>
      </c>
    </row>
    <row r="2220" spans="1:50">
      <c r="A2220" s="1" t="s">
        <v>97</v>
      </c>
      <c r="B2220" t="s">
        <v>163</v>
      </c>
      <c r="C2220" t="s">
        <v>5430</v>
      </c>
      <c r="D2220" t="s">
        <v>307</v>
      </c>
      <c r="F2220" t="s">
        <v>7663</v>
      </c>
      <c r="G2220" t="s">
        <v>8510</v>
      </c>
      <c r="H2220" t="s">
        <v>9507</v>
      </c>
      <c r="I2220">
        <v>5</v>
      </c>
      <c r="J2220" t="s">
        <v>1643</v>
      </c>
      <c r="K2220">
        <v>10034</v>
      </c>
      <c r="L2220" t="s">
        <v>1670</v>
      </c>
      <c r="M2220" t="s">
        <v>1670</v>
      </c>
      <c r="O2220" t="s">
        <v>1937</v>
      </c>
      <c r="P2220" t="s">
        <v>1959</v>
      </c>
      <c r="R2220" t="s">
        <v>50</v>
      </c>
      <c r="S2220" t="s">
        <v>1671</v>
      </c>
      <c r="U2220" t="s">
        <v>1972</v>
      </c>
      <c r="W2220" t="s">
        <v>307</v>
      </c>
      <c r="X2220">
        <v>694.16</v>
      </c>
      <c r="Y2220" t="s">
        <v>2008</v>
      </c>
      <c r="Z2220" t="s">
        <v>2020</v>
      </c>
      <c r="AB2220" t="s">
        <v>14602</v>
      </c>
      <c r="AD2220" t="s">
        <v>17012</v>
      </c>
      <c r="AE2220">
        <v>25</v>
      </c>
      <c r="AF2220" t="s">
        <v>2902</v>
      </c>
      <c r="AG2220" t="s">
        <v>2919</v>
      </c>
      <c r="AH2220">
        <v>46</v>
      </c>
      <c r="AI2220">
        <v>2</v>
      </c>
      <c r="AJ2220">
        <v>0</v>
      </c>
      <c r="AK2220">
        <v>109.36</v>
      </c>
      <c r="AN2220" t="s">
        <v>2926</v>
      </c>
      <c r="AO2220">
        <v>18000</v>
      </c>
      <c r="AU2220">
        <v>18.77</v>
      </c>
      <c r="AV2220" t="s">
        <v>346</v>
      </c>
      <c r="AW2220" t="s">
        <v>3042</v>
      </c>
      <c r="AX2220" t="s">
        <v>18685</v>
      </c>
    </row>
    <row r="2221" spans="1:50">
      <c r="A2221" s="1" t="s">
        <v>127</v>
      </c>
      <c r="B2221" t="s">
        <v>163</v>
      </c>
      <c r="C2221" t="s">
        <v>5431</v>
      </c>
      <c r="D2221" t="s">
        <v>6170</v>
      </c>
      <c r="F2221" t="s">
        <v>7299</v>
      </c>
      <c r="G2221" t="s">
        <v>780</v>
      </c>
      <c r="H2221" t="s">
        <v>1242</v>
      </c>
      <c r="I2221" t="s">
        <v>1484</v>
      </c>
      <c r="J2221" t="s">
        <v>1644</v>
      </c>
      <c r="K2221">
        <v>11206</v>
      </c>
      <c r="L2221" t="s">
        <v>1670</v>
      </c>
      <c r="M2221" t="s">
        <v>1670</v>
      </c>
      <c r="N2221" t="s">
        <v>12493</v>
      </c>
      <c r="O2221" t="s">
        <v>1938</v>
      </c>
      <c r="P2221" t="s">
        <v>1961</v>
      </c>
      <c r="R2221" t="s">
        <v>50</v>
      </c>
      <c r="S2221" t="s">
        <v>1670</v>
      </c>
      <c r="U2221" t="s">
        <v>1972</v>
      </c>
      <c r="W2221" t="s">
        <v>13048</v>
      </c>
      <c r="X2221">
        <v>1245</v>
      </c>
      <c r="Y2221" t="s">
        <v>2009</v>
      </c>
      <c r="Z2221" t="s">
        <v>2016</v>
      </c>
      <c r="AB2221" t="s">
        <v>13836</v>
      </c>
      <c r="AC2221" t="s">
        <v>15109</v>
      </c>
      <c r="AE2221">
        <v>8</v>
      </c>
      <c r="AF2221" t="s">
        <v>2902</v>
      </c>
      <c r="AG2221" t="s">
        <v>2920</v>
      </c>
      <c r="AH2221">
        <v>1</v>
      </c>
      <c r="AI2221">
        <v>2</v>
      </c>
      <c r="AJ2221">
        <v>0</v>
      </c>
      <c r="AK2221">
        <v>109.36</v>
      </c>
      <c r="AN2221" t="s">
        <v>2926</v>
      </c>
      <c r="AO2221">
        <v>18000</v>
      </c>
      <c r="AP2221" t="s">
        <v>18069</v>
      </c>
      <c r="AU2221">
        <v>0.1</v>
      </c>
      <c r="AV2221" t="s">
        <v>249</v>
      </c>
      <c r="AW2221" t="s">
        <v>3060</v>
      </c>
      <c r="AX2221" t="s">
        <v>18685</v>
      </c>
    </row>
    <row r="2222" spans="1:50">
      <c r="A2222" s="1" t="s">
        <v>59</v>
      </c>
      <c r="B2222" t="s">
        <v>163</v>
      </c>
      <c r="C2222" t="s">
        <v>5432</v>
      </c>
      <c r="D2222" t="s">
        <v>184</v>
      </c>
      <c r="F2222" t="s">
        <v>469</v>
      </c>
      <c r="G2222" t="s">
        <v>8870</v>
      </c>
      <c r="H2222" t="s">
        <v>1114</v>
      </c>
      <c r="I2222" t="s">
        <v>1571</v>
      </c>
      <c r="J2222" t="s">
        <v>1641</v>
      </c>
      <c r="K2222">
        <v>10456</v>
      </c>
      <c r="L2222" t="s">
        <v>1670</v>
      </c>
      <c r="M2222" t="s">
        <v>1670</v>
      </c>
      <c r="N2222" t="s">
        <v>1679</v>
      </c>
      <c r="O2222" t="s">
        <v>1938</v>
      </c>
      <c r="P2222" t="s">
        <v>1961</v>
      </c>
      <c r="R2222" t="s">
        <v>50</v>
      </c>
      <c r="S2222" t="s">
        <v>1670</v>
      </c>
      <c r="U2222" t="s">
        <v>1972</v>
      </c>
      <c r="W2222" t="s">
        <v>1992</v>
      </c>
      <c r="X2222">
        <v>947.5</v>
      </c>
      <c r="Y2222" t="s">
        <v>2006</v>
      </c>
      <c r="Z2222" t="s">
        <v>2015</v>
      </c>
      <c r="AB2222" t="s">
        <v>14603</v>
      </c>
      <c r="AD2222" t="s">
        <v>17013</v>
      </c>
      <c r="AE2222">
        <v>131</v>
      </c>
      <c r="AF2222" t="s">
        <v>2902</v>
      </c>
      <c r="AG2222" t="s">
        <v>1754</v>
      </c>
      <c r="AH2222">
        <v>25</v>
      </c>
      <c r="AI2222">
        <v>2</v>
      </c>
      <c r="AJ2222">
        <v>0</v>
      </c>
      <c r="AK2222">
        <v>109.36</v>
      </c>
      <c r="AN2222" t="s">
        <v>2926</v>
      </c>
      <c r="AO2222">
        <v>18000</v>
      </c>
      <c r="AU2222" t="s">
        <v>13051</v>
      </c>
      <c r="AW2222" t="s">
        <v>3047</v>
      </c>
    </row>
    <row r="2223" spans="1:50">
      <c r="A2223" s="1" t="s">
        <v>59</v>
      </c>
      <c r="B2223" t="s">
        <v>163</v>
      </c>
      <c r="C2223" t="s">
        <v>5433</v>
      </c>
      <c r="D2223" t="s">
        <v>174</v>
      </c>
      <c r="F2223" t="s">
        <v>469</v>
      </c>
      <c r="G2223" t="s">
        <v>8870</v>
      </c>
      <c r="H2223" t="s">
        <v>1114</v>
      </c>
      <c r="I2223" t="s">
        <v>1571</v>
      </c>
      <c r="J2223" t="s">
        <v>1641</v>
      </c>
      <c r="K2223">
        <v>10456</v>
      </c>
      <c r="L2223" t="s">
        <v>1670</v>
      </c>
      <c r="M2223" t="s">
        <v>1670</v>
      </c>
      <c r="N2223" t="s">
        <v>1680</v>
      </c>
      <c r="O2223" t="s">
        <v>1938</v>
      </c>
      <c r="P2223" t="s">
        <v>1961</v>
      </c>
      <c r="R2223" t="s">
        <v>50</v>
      </c>
      <c r="S2223" t="s">
        <v>1670</v>
      </c>
      <c r="U2223" t="s">
        <v>1972</v>
      </c>
      <c r="W2223" t="s">
        <v>359</v>
      </c>
      <c r="X2223">
        <v>947.5</v>
      </c>
      <c r="Y2223" t="s">
        <v>2006</v>
      </c>
      <c r="Z2223" t="s">
        <v>2015</v>
      </c>
      <c r="AB2223" t="s">
        <v>14603</v>
      </c>
      <c r="AD2223" t="s">
        <v>17013</v>
      </c>
      <c r="AE2223">
        <v>131</v>
      </c>
      <c r="AF2223" t="s">
        <v>2902</v>
      </c>
      <c r="AG2223" t="s">
        <v>1754</v>
      </c>
      <c r="AH2223">
        <v>25</v>
      </c>
      <c r="AI2223">
        <v>2</v>
      </c>
      <c r="AJ2223">
        <v>0</v>
      </c>
      <c r="AK2223">
        <v>109.36</v>
      </c>
      <c r="AN2223" t="s">
        <v>2926</v>
      </c>
      <c r="AO2223">
        <v>18000</v>
      </c>
      <c r="AU2223" t="s">
        <v>13051</v>
      </c>
      <c r="AW2223" t="s">
        <v>3047</v>
      </c>
    </row>
    <row r="2224" spans="1:50">
      <c r="A2224" s="1" t="s">
        <v>59</v>
      </c>
      <c r="B2224" t="s">
        <v>163</v>
      </c>
      <c r="C2224" t="s">
        <v>5434</v>
      </c>
      <c r="D2224" t="s">
        <v>184</v>
      </c>
      <c r="F2224" t="s">
        <v>469</v>
      </c>
      <c r="G2224" t="s">
        <v>8870</v>
      </c>
      <c r="H2224" t="s">
        <v>1114</v>
      </c>
      <c r="I2224" t="s">
        <v>1571</v>
      </c>
      <c r="J2224" t="s">
        <v>1641</v>
      </c>
      <c r="K2224">
        <v>10456</v>
      </c>
      <c r="L2224" t="s">
        <v>1670</v>
      </c>
      <c r="M2224" t="s">
        <v>1670</v>
      </c>
      <c r="N2224" t="s">
        <v>1681</v>
      </c>
      <c r="O2224" t="s">
        <v>1939</v>
      </c>
      <c r="P2224" t="s">
        <v>1960</v>
      </c>
      <c r="R2224" t="s">
        <v>50</v>
      </c>
      <c r="S2224" t="s">
        <v>1670</v>
      </c>
      <c r="U2224" t="s">
        <v>1972</v>
      </c>
      <c r="W2224" t="s">
        <v>372</v>
      </c>
      <c r="X2224">
        <v>947.5</v>
      </c>
      <c r="Y2224" t="s">
        <v>2006</v>
      </c>
      <c r="Z2224" t="s">
        <v>2015</v>
      </c>
      <c r="AB2224" t="s">
        <v>14603</v>
      </c>
      <c r="AD2224" t="s">
        <v>17013</v>
      </c>
      <c r="AE2224">
        <v>131</v>
      </c>
      <c r="AF2224" t="s">
        <v>2902</v>
      </c>
      <c r="AG2224" t="s">
        <v>1754</v>
      </c>
      <c r="AH2224">
        <v>25</v>
      </c>
      <c r="AI2224">
        <v>2</v>
      </c>
      <c r="AJ2224">
        <v>0</v>
      </c>
      <c r="AK2224">
        <v>109.36</v>
      </c>
      <c r="AN2224" t="s">
        <v>2926</v>
      </c>
      <c r="AO2224">
        <v>18000</v>
      </c>
      <c r="AU2224" t="s">
        <v>13051</v>
      </c>
      <c r="AW2224" t="s">
        <v>3047</v>
      </c>
    </row>
    <row r="2225" spans="1:50">
      <c r="A2225" s="1" t="s">
        <v>3158</v>
      </c>
      <c r="B2225" t="s">
        <v>164</v>
      </c>
      <c r="C2225" t="s">
        <v>5435</v>
      </c>
      <c r="D2225" t="s">
        <v>378</v>
      </c>
      <c r="E2225" t="s">
        <v>228</v>
      </c>
      <c r="F2225" t="s">
        <v>427</v>
      </c>
      <c r="G2225" t="s">
        <v>8871</v>
      </c>
      <c r="H2225" t="s">
        <v>10384</v>
      </c>
      <c r="I2225" t="s">
        <v>1575</v>
      </c>
      <c r="J2225" t="s">
        <v>1643</v>
      </c>
      <c r="K2225">
        <v>10033</v>
      </c>
      <c r="L2225" t="s">
        <v>1670</v>
      </c>
      <c r="M2225" t="s">
        <v>1670</v>
      </c>
      <c r="N2225" t="s">
        <v>12494</v>
      </c>
      <c r="O2225" t="s">
        <v>1940</v>
      </c>
      <c r="P2225" t="s">
        <v>1958</v>
      </c>
      <c r="Q2225" t="s">
        <v>1965</v>
      </c>
      <c r="R2225" t="s">
        <v>50</v>
      </c>
      <c r="S2225" t="s">
        <v>1671</v>
      </c>
      <c r="U2225" t="s">
        <v>1972</v>
      </c>
      <c r="W2225" t="s">
        <v>378</v>
      </c>
      <c r="X2225">
        <v>173</v>
      </c>
      <c r="Y2225" t="s">
        <v>2008</v>
      </c>
      <c r="Z2225" t="s">
        <v>2013</v>
      </c>
      <c r="AA2225" t="s">
        <v>2029</v>
      </c>
      <c r="AB2225" t="s">
        <v>14604</v>
      </c>
      <c r="AE2225">
        <v>35</v>
      </c>
      <c r="AF2225" t="s">
        <v>2909</v>
      </c>
      <c r="AG2225" t="s">
        <v>2915</v>
      </c>
      <c r="AH2225">
        <v>10</v>
      </c>
      <c r="AI2225">
        <v>1</v>
      </c>
      <c r="AJ2225">
        <v>0</v>
      </c>
      <c r="AK2225">
        <v>109.42</v>
      </c>
      <c r="AN2225" t="s">
        <v>2927</v>
      </c>
      <c r="AO2225">
        <v>13284</v>
      </c>
      <c r="AU2225">
        <v>2.2</v>
      </c>
      <c r="AV2225" t="s">
        <v>228</v>
      </c>
      <c r="AW2225" t="s">
        <v>3042</v>
      </c>
    </row>
    <row r="2226" spans="1:50">
      <c r="A2226" s="1" t="s">
        <v>79</v>
      </c>
      <c r="B2226" t="s">
        <v>164</v>
      </c>
      <c r="C2226" t="s">
        <v>5436</v>
      </c>
      <c r="D2226" t="s">
        <v>297</v>
      </c>
      <c r="E2226" t="s">
        <v>271</v>
      </c>
      <c r="F2226" t="s">
        <v>720</v>
      </c>
      <c r="G2226" t="s">
        <v>8872</v>
      </c>
      <c r="H2226" t="s">
        <v>10385</v>
      </c>
      <c r="I2226" t="s">
        <v>1508</v>
      </c>
      <c r="J2226" t="s">
        <v>1644</v>
      </c>
      <c r="K2226">
        <v>11213</v>
      </c>
      <c r="L2226" t="s">
        <v>1670</v>
      </c>
      <c r="M2226" t="s">
        <v>1670</v>
      </c>
      <c r="N2226" t="s">
        <v>12495</v>
      </c>
      <c r="O2226" t="s">
        <v>1939</v>
      </c>
      <c r="P2226" t="s">
        <v>1962</v>
      </c>
      <c r="Q2226" t="s">
        <v>1968</v>
      </c>
      <c r="R2226" t="s">
        <v>50</v>
      </c>
      <c r="S2226" t="s">
        <v>1671</v>
      </c>
      <c r="U2226" t="s">
        <v>1972</v>
      </c>
      <c r="W2226" t="s">
        <v>243</v>
      </c>
      <c r="X2226">
        <v>1500</v>
      </c>
      <c r="Y2226" t="s">
        <v>2009</v>
      </c>
      <c r="Z2226" t="s">
        <v>2016</v>
      </c>
      <c r="AA2226" t="s">
        <v>2029</v>
      </c>
      <c r="AB2226" t="s">
        <v>14605</v>
      </c>
      <c r="AE2226">
        <v>4</v>
      </c>
      <c r="AF2226" t="s">
        <v>2902</v>
      </c>
      <c r="AH2226" t="s">
        <v>13051</v>
      </c>
      <c r="AI2226">
        <v>1</v>
      </c>
      <c r="AJ2226">
        <v>0</v>
      </c>
      <c r="AK2226">
        <v>109.42</v>
      </c>
      <c r="AN2226" t="s">
        <v>2926</v>
      </c>
      <c r="AO2226">
        <v>13284</v>
      </c>
      <c r="AU2226">
        <v>4.2</v>
      </c>
      <c r="AV2226" t="s">
        <v>271</v>
      </c>
      <c r="AW2226" t="s">
        <v>3059</v>
      </c>
    </row>
    <row r="2227" spans="1:50">
      <c r="A2227" s="1" t="s">
        <v>54</v>
      </c>
      <c r="B2227" t="s">
        <v>163</v>
      </c>
      <c r="C2227" t="s">
        <v>5437</v>
      </c>
      <c r="D2227" t="s">
        <v>213</v>
      </c>
      <c r="F2227" t="s">
        <v>456</v>
      </c>
      <c r="G2227" t="s">
        <v>8009</v>
      </c>
      <c r="H2227" t="s">
        <v>10386</v>
      </c>
      <c r="I2227" t="s">
        <v>11362</v>
      </c>
      <c r="J2227" t="s">
        <v>1643</v>
      </c>
      <c r="K2227">
        <v>10032</v>
      </c>
      <c r="L2227" t="s">
        <v>1670</v>
      </c>
      <c r="M2227" t="s">
        <v>1670</v>
      </c>
      <c r="O2227" t="s">
        <v>1941</v>
      </c>
      <c r="P2227" t="s">
        <v>1960</v>
      </c>
      <c r="R2227" t="s">
        <v>50</v>
      </c>
      <c r="S2227" t="s">
        <v>1671</v>
      </c>
      <c r="U2227" t="s">
        <v>1972</v>
      </c>
      <c r="W2227" t="s">
        <v>213</v>
      </c>
      <c r="X2227">
        <v>370</v>
      </c>
      <c r="Y2227" t="s">
        <v>2008</v>
      </c>
      <c r="Z2227" t="s">
        <v>2013</v>
      </c>
      <c r="AB2227" t="s">
        <v>14606</v>
      </c>
      <c r="AD2227" t="s">
        <v>17014</v>
      </c>
      <c r="AE2227" t="s">
        <v>13051</v>
      </c>
      <c r="AF2227" t="s">
        <v>2908</v>
      </c>
      <c r="AG2227" t="s">
        <v>1754</v>
      </c>
      <c r="AH2227">
        <v>9</v>
      </c>
      <c r="AI2227">
        <v>3</v>
      </c>
      <c r="AJ2227">
        <v>0</v>
      </c>
      <c r="AK2227">
        <v>109.7</v>
      </c>
      <c r="AN2227" t="s">
        <v>2927</v>
      </c>
      <c r="AO2227">
        <v>23400</v>
      </c>
      <c r="AU2227">
        <v>6.9</v>
      </c>
      <c r="AV2227" t="s">
        <v>396</v>
      </c>
      <c r="AW2227" t="s">
        <v>3042</v>
      </c>
    </row>
    <row r="2228" spans="1:50">
      <c r="A2228" s="1" t="s">
        <v>61</v>
      </c>
      <c r="B2228" t="s">
        <v>163</v>
      </c>
      <c r="C2228" t="s">
        <v>5438</v>
      </c>
      <c r="D2228" t="s">
        <v>283</v>
      </c>
      <c r="F2228" t="s">
        <v>7311</v>
      </c>
      <c r="G2228" t="s">
        <v>7551</v>
      </c>
      <c r="H2228" t="s">
        <v>10387</v>
      </c>
      <c r="I2228" t="s">
        <v>11008</v>
      </c>
      <c r="J2228" t="s">
        <v>1644</v>
      </c>
      <c r="K2228">
        <v>11203</v>
      </c>
      <c r="L2228" t="s">
        <v>1670</v>
      </c>
      <c r="M2228" t="s">
        <v>1670</v>
      </c>
      <c r="N2228" t="s">
        <v>12496</v>
      </c>
      <c r="O2228" t="s">
        <v>1940</v>
      </c>
      <c r="P2228" t="s">
        <v>1960</v>
      </c>
      <c r="R2228" t="s">
        <v>50</v>
      </c>
      <c r="S2228" t="s">
        <v>1671</v>
      </c>
      <c r="U2228" t="s">
        <v>1972</v>
      </c>
      <c r="V2228" t="s">
        <v>13035</v>
      </c>
      <c r="W2228" t="s">
        <v>283</v>
      </c>
      <c r="X2228">
        <v>921</v>
      </c>
      <c r="Y2228" t="s">
        <v>2009</v>
      </c>
      <c r="AB2228" t="s">
        <v>14607</v>
      </c>
      <c r="AD2228" t="s">
        <v>17015</v>
      </c>
      <c r="AE2228">
        <v>90</v>
      </c>
      <c r="AF2228" t="s">
        <v>2902</v>
      </c>
      <c r="AH2228">
        <v>7</v>
      </c>
      <c r="AI2228">
        <v>1</v>
      </c>
      <c r="AJ2228">
        <v>0</v>
      </c>
      <c r="AK2228">
        <v>110.02</v>
      </c>
      <c r="AN2228" t="s">
        <v>2926</v>
      </c>
      <c r="AO2228">
        <v>13741</v>
      </c>
      <c r="AQ2228" t="s">
        <v>2976</v>
      </c>
      <c r="AU2228">
        <v>79.5</v>
      </c>
      <c r="AV2228" t="s">
        <v>3030</v>
      </c>
      <c r="AW2228" t="s">
        <v>69</v>
      </c>
    </row>
    <row r="2229" spans="1:50">
      <c r="A2229" s="1" t="s">
        <v>126</v>
      </c>
      <c r="B2229" t="s">
        <v>163</v>
      </c>
      <c r="C2229" t="s">
        <v>5439</v>
      </c>
      <c r="D2229" t="s">
        <v>360</v>
      </c>
      <c r="F2229" t="s">
        <v>7664</v>
      </c>
      <c r="G2229" t="s">
        <v>941</v>
      </c>
      <c r="H2229" t="s">
        <v>10388</v>
      </c>
      <c r="I2229" t="s">
        <v>1477</v>
      </c>
      <c r="J2229" t="s">
        <v>1641</v>
      </c>
      <c r="K2229">
        <v>10460</v>
      </c>
      <c r="L2229" t="s">
        <v>1670</v>
      </c>
      <c r="M2229" t="s">
        <v>1670</v>
      </c>
      <c r="N2229" t="s">
        <v>12497</v>
      </c>
      <c r="O2229" t="s">
        <v>1936</v>
      </c>
      <c r="P2229" t="s">
        <v>1960</v>
      </c>
      <c r="R2229" t="s">
        <v>50</v>
      </c>
      <c r="S2229" t="s">
        <v>1671</v>
      </c>
      <c r="U2229" t="s">
        <v>1972</v>
      </c>
      <c r="W2229" t="s">
        <v>372</v>
      </c>
      <c r="X2229">
        <v>1025</v>
      </c>
      <c r="Y2229" t="s">
        <v>2006</v>
      </c>
      <c r="AB2229" t="s">
        <v>14608</v>
      </c>
      <c r="AD2229" t="s">
        <v>17016</v>
      </c>
      <c r="AE2229">
        <v>10</v>
      </c>
      <c r="AF2229" t="s">
        <v>2902</v>
      </c>
      <c r="AG2229" t="s">
        <v>2919</v>
      </c>
      <c r="AH2229" t="s">
        <v>13051</v>
      </c>
      <c r="AI2229">
        <v>2</v>
      </c>
      <c r="AJ2229">
        <v>0</v>
      </c>
      <c r="AK2229">
        <v>110.74</v>
      </c>
      <c r="AN2229" t="s">
        <v>2926</v>
      </c>
      <c r="AO2229">
        <v>18228</v>
      </c>
      <c r="AP2229" t="s">
        <v>2944</v>
      </c>
      <c r="AU2229">
        <v>15.5</v>
      </c>
      <c r="AV2229" t="s">
        <v>333</v>
      </c>
      <c r="AW2229" t="s">
        <v>3046</v>
      </c>
    </row>
    <row r="2230" spans="1:50">
      <c r="A2230" s="1" t="s">
        <v>130</v>
      </c>
      <c r="B2230" t="s">
        <v>164</v>
      </c>
      <c r="C2230" t="s">
        <v>5440</v>
      </c>
      <c r="D2230" t="s">
        <v>6170</v>
      </c>
      <c r="E2230" t="s">
        <v>249</v>
      </c>
      <c r="F2230" t="s">
        <v>7299</v>
      </c>
      <c r="G2230" t="s">
        <v>780</v>
      </c>
      <c r="H2230" t="s">
        <v>1242</v>
      </c>
      <c r="I2230" t="s">
        <v>1484</v>
      </c>
      <c r="J2230" t="s">
        <v>1644</v>
      </c>
      <c r="K2230">
        <v>11206</v>
      </c>
      <c r="L2230" t="s">
        <v>1670</v>
      </c>
      <c r="M2230" t="s">
        <v>1670</v>
      </c>
      <c r="N2230" t="s">
        <v>12498</v>
      </c>
      <c r="O2230" t="s">
        <v>1939</v>
      </c>
      <c r="P2230" t="s">
        <v>1960</v>
      </c>
      <c r="Q2230" t="s">
        <v>1969</v>
      </c>
      <c r="R2230" t="s">
        <v>50</v>
      </c>
      <c r="S2230" t="s">
        <v>1670</v>
      </c>
      <c r="U2230" t="s">
        <v>1972</v>
      </c>
      <c r="W2230" t="s">
        <v>13048</v>
      </c>
      <c r="X2230">
        <v>1245</v>
      </c>
      <c r="Y2230" t="s">
        <v>2009</v>
      </c>
      <c r="Z2230" t="s">
        <v>2016</v>
      </c>
      <c r="AA2230" t="s">
        <v>2031</v>
      </c>
      <c r="AB2230" t="s">
        <v>13836</v>
      </c>
      <c r="AC2230" t="s">
        <v>15109</v>
      </c>
      <c r="AE2230">
        <v>8</v>
      </c>
      <c r="AF2230" t="s">
        <v>2902</v>
      </c>
      <c r="AG2230" t="s">
        <v>2920</v>
      </c>
      <c r="AH2230">
        <v>1</v>
      </c>
      <c r="AI2230">
        <v>2</v>
      </c>
      <c r="AJ2230">
        <v>0</v>
      </c>
      <c r="AK2230">
        <v>110.84</v>
      </c>
      <c r="AN2230" t="s">
        <v>2926</v>
      </c>
      <c r="AO2230">
        <v>18000</v>
      </c>
      <c r="AP2230" t="s">
        <v>18069</v>
      </c>
      <c r="AR2230" t="s">
        <v>18477</v>
      </c>
      <c r="AU2230">
        <v>3.2</v>
      </c>
      <c r="AV2230" t="s">
        <v>290</v>
      </c>
      <c r="AW2230" t="s">
        <v>3060</v>
      </c>
      <c r="AX2230" t="s">
        <v>18685</v>
      </c>
    </row>
    <row r="2231" spans="1:50">
      <c r="A2231" s="1" t="s">
        <v>58</v>
      </c>
      <c r="B2231" t="s">
        <v>163</v>
      </c>
      <c r="C2231" t="s">
        <v>5441</v>
      </c>
      <c r="D2231" t="s">
        <v>172</v>
      </c>
      <c r="F2231" t="s">
        <v>427</v>
      </c>
      <c r="G2231" t="s">
        <v>8761</v>
      </c>
      <c r="H2231" t="s">
        <v>1113</v>
      </c>
      <c r="I2231" t="s">
        <v>1544</v>
      </c>
      <c r="J2231" t="s">
        <v>1641</v>
      </c>
      <c r="K2231">
        <v>10452</v>
      </c>
      <c r="L2231" t="s">
        <v>1670</v>
      </c>
      <c r="M2231" t="s">
        <v>1670</v>
      </c>
      <c r="N2231" t="s">
        <v>1678</v>
      </c>
      <c r="O2231" t="s">
        <v>1939</v>
      </c>
      <c r="P2231" t="s">
        <v>1960</v>
      </c>
      <c r="R2231" t="s">
        <v>50</v>
      </c>
      <c r="S2231" t="s">
        <v>1670</v>
      </c>
      <c r="U2231" t="s">
        <v>1972</v>
      </c>
      <c r="W2231" t="s">
        <v>359</v>
      </c>
      <c r="X2231">
        <v>1481</v>
      </c>
      <c r="Y2231" t="s">
        <v>2006</v>
      </c>
      <c r="Z2231" t="s">
        <v>2016</v>
      </c>
      <c r="AB2231" t="s">
        <v>14594</v>
      </c>
      <c r="AD2231" t="s">
        <v>17003</v>
      </c>
      <c r="AE2231">
        <v>41</v>
      </c>
      <c r="AF2231" t="s">
        <v>2904</v>
      </c>
      <c r="AG2231" t="s">
        <v>1754</v>
      </c>
      <c r="AH2231">
        <v>10</v>
      </c>
      <c r="AI2231">
        <v>1</v>
      </c>
      <c r="AJ2231">
        <v>0</v>
      </c>
      <c r="AK2231">
        <v>111.3</v>
      </c>
      <c r="AN2231" t="s">
        <v>2926</v>
      </c>
      <c r="AO2231">
        <v>13512</v>
      </c>
      <c r="AU2231">
        <v>0.5</v>
      </c>
      <c r="AV2231" t="s">
        <v>237</v>
      </c>
      <c r="AW2231" t="s">
        <v>3046</v>
      </c>
    </row>
    <row r="2232" spans="1:50">
      <c r="A2232" s="1" t="s">
        <v>100</v>
      </c>
      <c r="B2232" t="s">
        <v>164</v>
      </c>
      <c r="C2232" t="s">
        <v>5442</v>
      </c>
      <c r="D2232" t="s">
        <v>378</v>
      </c>
      <c r="E2232" t="s">
        <v>320</v>
      </c>
      <c r="F2232" t="s">
        <v>7624</v>
      </c>
      <c r="G2232" t="s">
        <v>769</v>
      </c>
      <c r="H2232" t="s">
        <v>10389</v>
      </c>
      <c r="I2232" t="s">
        <v>1487</v>
      </c>
      <c r="J2232" t="s">
        <v>1643</v>
      </c>
      <c r="K2232">
        <v>10034</v>
      </c>
      <c r="L2232" t="s">
        <v>1670</v>
      </c>
      <c r="M2232" t="s">
        <v>1670</v>
      </c>
      <c r="P2232" t="s">
        <v>1962</v>
      </c>
      <c r="Q2232" t="s">
        <v>1968</v>
      </c>
      <c r="R2232" t="s">
        <v>50</v>
      </c>
      <c r="S2232" t="s">
        <v>1671</v>
      </c>
      <c r="U2232" t="s">
        <v>1972</v>
      </c>
      <c r="W2232" t="s">
        <v>378</v>
      </c>
      <c r="X2232">
        <v>687.12</v>
      </c>
      <c r="Y2232" t="s">
        <v>2008</v>
      </c>
      <c r="Z2232" t="s">
        <v>2013</v>
      </c>
      <c r="AA2232" t="s">
        <v>2030</v>
      </c>
      <c r="AB2232" t="s">
        <v>14609</v>
      </c>
      <c r="AD2232" t="s">
        <v>17017</v>
      </c>
      <c r="AE2232">
        <v>26</v>
      </c>
      <c r="AF2232" t="s">
        <v>2902</v>
      </c>
      <c r="AG2232" t="s">
        <v>1754</v>
      </c>
      <c r="AH2232">
        <v>53</v>
      </c>
      <c r="AI2232">
        <v>1</v>
      </c>
      <c r="AJ2232">
        <v>0</v>
      </c>
      <c r="AK2232">
        <v>111.4</v>
      </c>
      <c r="AN2232" t="s">
        <v>2927</v>
      </c>
      <c r="AO2232">
        <v>13524</v>
      </c>
      <c r="AU2232">
        <v>0.1</v>
      </c>
      <c r="AV2232" t="s">
        <v>320</v>
      </c>
      <c r="AW2232" t="s">
        <v>3042</v>
      </c>
    </row>
    <row r="2233" spans="1:50">
      <c r="A2233" s="1" t="s">
        <v>139</v>
      </c>
      <c r="B2233" t="s">
        <v>164</v>
      </c>
      <c r="C2233" t="s">
        <v>5443</v>
      </c>
      <c r="D2233" t="s">
        <v>322</v>
      </c>
      <c r="E2233" t="s">
        <v>191</v>
      </c>
      <c r="F2233" t="s">
        <v>6782</v>
      </c>
      <c r="G2233" t="s">
        <v>8873</v>
      </c>
      <c r="H2233" t="s">
        <v>10390</v>
      </c>
      <c r="I2233" t="s">
        <v>11363</v>
      </c>
      <c r="J2233" t="s">
        <v>1643</v>
      </c>
      <c r="K2233">
        <v>10035</v>
      </c>
      <c r="L2233" t="s">
        <v>1670</v>
      </c>
      <c r="M2233" t="s">
        <v>1670</v>
      </c>
      <c r="O2233" t="s">
        <v>1937</v>
      </c>
      <c r="P2233" t="s">
        <v>1958</v>
      </c>
      <c r="Q2233" t="s">
        <v>1965</v>
      </c>
      <c r="R2233" t="s">
        <v>50</v>
      </c>
      <c r="S2233" t="s">
        <v>1671</v>
      </c>
      <c r="U2233" t="s">
        <v>1972</v>
      </c>
      <c r="V2233" t="s">
        <v>1984</v>
      </c>
      <c r="W2233" t="s">
        <v>226</v>
      </c>
      <c r="X2233">
        <v>677.1</v>
      </c>
      <c r="Y2233" t="s">
        <v>2008</v>
      </c>
      <c r="Z2233" t="s">
        <v>2016</v>
      </c>
      <c r="AA2233" t="s">
        <v>2029</v>
      </c>
      <c r="AB2233" t="s">
        <v>14610</v>
      </c>
      <c r="AD2233" t="s">
        <v>17018</v>
      </c>
      <c r="AE2233">
        <v>185</v>
      </c>
      <c r="AF2233" t="s">
        <v>2902</v>
      </c>
      <c r="AG2233" t="s">
        <v>1754</v>
      </c>
      <c r="AH2233">
        <v>10</v>
      </c>
      <c r="AI2233">
        <v>1</v>
      </c>
      <c r="AJ2233">
        <v>0</v>
      </c>
      <c r="AK2233">
        <v>111.45</v>
      </c>
      <c r="AN2233" t="s">
        <v>2926</v>
      </c>
      <c r="AO2233">
        <v>13920</v>
      </c>
      <c r="AU2233">
        <v>1</v>
      </c>
      <c r="AV2233" t="s">
        <v>226</v>
      </c>
      <c r="AW2233" t="s">
        <v>3061</v>
      </c>
    </row>
    <row r="2234" spans="1:50">
      <c r="A2234" s="1" t="s">
        <v>134</v>
      </c>
      <c r="B2234" t="s">
        <v>164</v>
      </c>
      <c r="C2234" t="s">
        <v>5444</v>
      </c>
      <c r="D2234" t="s">
        <v>336</v>
      </c>
      <c r="E2234" t="s">
        <v>354</v>
      </c>
      <c r="F2234" t="s">
        <v>7301</v>
      </c>
      <c r="G2234" t="s">
        <v>889</v>
      </c>
      <c r="H2234" t="s">
        <v>10391</v>
      </c>
      <c r="I2234" t="s">
        <v>1520</v>
      </c>
      <c r="J2234" t="s">
        <v>1643</v>
      </c>
      <c r="K2234">
        <v>10034</v>
      </c>
      <c r="L2234" t="s">
        <v>1670</v>
      </c>
      <c r="M2234" t="s">
        <v>1672</v>
      </c>
      <c r="O2234" t="s">
        <v>1938</v>
      </c>
      <c r="P2234" t="s">
        <v>1962</v>
      </c>
      <c r="Q2234" t="s">
        <v>1968</v>
      </c>
      <c r="R2234" t="s">
        <v>50</v>
      </c>
      <c r="S2234" t="s">
        <v>1671</v>
      </c>
      <c r="U2234" t="s">
        <v>1980</v>
      </c>
      <c r="W2234" t="s">
        <v>336</v>
      </c>
      <c r="X2234">
        <v>1231.92</v>
      </c>
      <c r="Y2234" t="s">
        <v>2008</v>
      </c>
      <c r="Z2234" t="s">
        <v>2013</v>
      </c>
      <c r="AA2234" t="s">
        <v>2030</v>
      </c>
      <c r="AB2234" t="s">
        <v>14611</v>
      </c>
      <c r="AD2234" t="s">
        <v>17019</v>
      </c>
      <c r="AE2234">
        <v>42</v>
      </c>
      <c r="AF2234" t="s">
        <v>2902</v>
      </c>
      <c r="AG2234" t="s">
        <v>2919</v>
      </c>
      <c r="AH2234">
        <v>14</v>
      </c>
      <c r="AI2234">
        <v>1</v>
      </c>
      <c r="AJ2234">
        <v>0</v>
      </c>
      <c r="AK2234">
        <v>111.45</v>
      </c>
      <c r="AN2234" t="s">
        <v>2927</v>
      </c>
      <c r="AO2234">
        <v>13920</v>
      </c>
      <c r="AU2234">
        <v>1.6</v>
      </c>
      <c r="AV2234" t="s">
        <v>1994</v>
      </c>
      <c r="AW2234" t="s">
        <v>134</v>
      </c>
      <c r="AX2234" t="s">
        <v>18685</v>
      </c>
    </row>
    <row r="2235" spans="1:50">
      <c r="A2235" s="1" t="s">
        <v>134</v>
      </c>
      <c r="B2235" t="s">
        <v>164</v>
      </c>
      <c r="C2235" t="s">
        <v>5445</v>
      </c>
      <c r="D2235" t="s">
        <v>170</v>
      </c>
      <c r="E2235" t="s">
        <v>354</v>
      </c>
      <c r="F2235" t="s">
        <v>7301</v>
      </c>
      <c r="G2235" t="s">
        <v>889</v>
      </c>
      <c r="H2235" t="s">
        <v>10391</v>
      </c>
      <c r="I2235" t="s">
        <v>1520</v>
      </c>
      <c r="J2235" t="s">
        <v>1643</v>
      </c>
      <c r="K2235">
        <v>10034</v>
      </c>
      <c r="L2235" t="s">
        <v>1670</v>
      </c>
      <c r="M2235" t="s">
        <v>1672</v>
      </c>
      <c r="O2235" t="s">
        <v>1938</v>
      </c>
      <c r="P2235" t="s">
        <v>1962</v>
      </c>
      <c r="Q2235" t="s">
        <v>1968</v>
      </c>
      <c r="R2235" t="s">
        <v>50</v>
      </c>
      <c r="S2235" t="s">
        <v>1671</v>
      </c>
      <c r="U2235" t="s">
        <v>1972</v>
      </c>
      <c r="W2235" t="s">
        <v>170</v>
      </c>
      <c r="X2235">
        <v>1231.92</v>
      </c>
      <c r="Y2235" t="s">
        <v>2008</v>
      </c>
      <c r="Z2235" t="s">
        <v>2013</v>
      </c>
      <c r="AA2235" t="s">
        <v>2030</v>
      </c>
      <c r="AB2235" t="s">
        <v>14611</v>
      </c>
      <c r="AD2235" t="s">
        <v>17020</v>
      </c>
      <c r="AE2235">
        <v>42</v>
      </c>
      <c r="AF2235" t="s">
        <v>2902</v>
      </c>
      <c r="AG2235" t="s">
        <v>2919</v>
      </c>
      <c r="AH2235">
        <v>14</v>
      </c>
      <c r="AI2235">
        <v>1</v>
      </c>
      <c r="AJ2235">
        <v>0</v>
      </c>
      <c r="AK2235">
        <v>111.45</v>
      </c>
      <c r="AN2235" t="s">
        <v>2927</v>
      </c>
      <c r="AO2235">
        <v>13920</v>
      </c>
      <c r="AU2235">
        <v>9.1</v>
      </c>
      <c r="AV2235" t="s">
        <v>1994</v>
      </c>
      <c r="AW2235" t="s">
        <v>134</v>
      </c>
      <c r="AX2235" t="s">
        <v>18685</v>
      </c>
    </row>
    <row r="2236" spans="1:50">
      <c r="A2236" s="1" t="s">
        <v>52</v>
      </c>
      <c r="B2236" t="s">
        <v>164</v>
      </c>
      <c r="C2236" t="s">
        <v>5446</v>
      </c>
      <c r="D2236" t="s">
        <v>203</v>
      </c>
      <c r="E2236" t="s">
        <v>390</v>
      </c>
      <c r="F2236" t="s">
        <v>450</v>
      </c>
      <c r="G2236" t="s">
        <v>8874</v>
      </c>
      <c r="H2236" t="s">
        <v>10392</v>
      </c>
      <c r="I2236" t="s">
        <v>11364</v>
      </c>
      <c r="J2236" t="s">
        <v>1641</v>
      </c>
      <c r="K2236">
        <v>10452</v>
      </c>
      <c r="L2236" t="s">
        <v>1670</v>
      </c>
      <c r="M2236" t="s">
        <v>1672</v>
      </c>
      <c r="O2236" t="s">
        <v>1939</v>
      </c>
      <c r="P2236" t="s">
        <v>1958</v>
      </c>
      <c r="Q2236" t="s">
        <v>1965</v>
      </c>
      <c r="R2236" t="s">
        <v>50</v>
      </c>
      <c r="S2236" t="s">
        <v>1671</v>
      </c>
      <c r="U2236" t="s">
        <v>1972</v>
      </c>
      <c r="V2236" t="s">
        <v>1984</v>
      </c>
      <c r="W2236" t="s">
        <v>400</v>
      </c>
      <c r="X2236">
        <v>812.14</v>
      </c>
      <c r="Y2236" t="s">
        <v>2006</v>
      </c>
      <c r="Z2236" t="s">
        <v>2015</v>
      </c>
      <c r="AA2236" t="s">
        <v>2029</v>
      </c>
      <c r="AB2236" t="s">
        <v>14612</v>
      </c>
      <c r="AD2236" t="s">
        <v>17021</v>
      </c>
      <c r="AE2236" t="s">
        <v>13051</v>
      </c>
      <c r="AF2236" t="s">
        <v>2902</v>
      </c>
      <c r="AG2236" t="s">
        <v>2919</v>
      </c>
      <c r="AH2236">
        <v>28</v>
      </c>
      <c r="AI2236">
        <v>1</v>
      </c>
      <c r="AJ2236">
        <v>0</v>
      </c>
      <c r="AK2236">
        <v>111.64</v>
      </c>
      <c r="AN2236" t="s">
        <v>2926</v>
      </c>
      <c r="AO2236">
        <v>13944</v>
      </c>
      <c r="AU2236">
        <v>1</v>
      </c>
      <c r="AV2236" t="s">
        <v>390</v>
      </c>
      <c r="AW2236" t="s">
        <v>52</v>
      </c>
      <c r="AX2236" t="s">
        <v>18685</v>
      </c>
    </row>
    <row r="2237" spans="1:50">
      <c r="A2237" s="1" t="s">
        <v>95</v>
      </c>
      <c r="B2237" t="s">
        <v>164</v>
      </c>
      <c r="C2237" t="s">
        <v>5447</v>
      </c>
      <c r="D2237" t="s">
        <v>406</v>
      </c>
      <c r="E2237" t="s">
        <v>258</v>
      </c>
      <c r="F2237" t="s">
        <v>7067</v>
      </c>
      <c r="G2237" t="s">
        <v>1006</v>
      </c>
      <c r="H2237" t="s">
        <v>10393</v>
      </c>
      <c r="I2237">
        <v>9</v>
      </c>
      <c r="J2237" t="s">
        <v>1641</v>
      </c>
      <c r="K2237">
        <v>10452</v>
      </c>
      <c r="L2237" t="s">
        <v>1670</v>
      </c>
      <c r="M2237" t="s">
        <v>1670</v>
      </c>
      <c r="O2237" t="s">
        <v>1941</v>
      </c>
      <c r="P2237" t="s">
        <v>1958</v>
      </c>
      <c r="Q2237" t="s">
        <v>1965</v>
      </c>
      <c r="R2237" t="s">
        <v>50</v>
      </c>
      <c r="S2237" t="s">
        <v>1671</v>
      </c>
      <c r="U2237" t="s">
        <v>1972</v>
      </c>
      <c r="W2237" t="s">
        <v>406</v>
      </c>
      <c r="X2237">
        <v>666.2</v>
      </c>
      <c r="Y2237" t="s">
        <v>2006</v>
      </c>
      <c r="Z2237" t="s">
        <v>2015</v>
      </c>
      <c r="AA2237" t="s">
        <v>2029</v>
      </c>
      <c r="AB2237" t="s">
        <v>13473</v>
      </c>
      <c r="AE2237" t="s">
        <v>13051</v>
      </c>
      <c r="AF2237" t="s">
        <v>2902</v>
      </c>
      <c r="AG2237" t="s">
        <v>1754</v>
      </c>
      <c r="AH2237">
        <v>31</v>
      </c>
      <c r="AI2237">
        <v>1</v>
      </c>
      <c r="AJ2237">
        <v>0</v>
      </c>
      <c r="AK2237">
        <v>112.09</v>
      </c>
      <c r="AN2237" t="s">
        <v>2926</v>
      </c>
      <c r="AO2237">
        <v>14000</v>
      </c>
      <c r="AU2237">
        <v>1</v>
      </c>
      <c r="AV2237" t="s">
        <v>406</v>
      </c>
      <c r="AW2237" t="s">
        <v>95</v>
      </c>
      <c r="AX2237" t="s">
        <v>18685</v>
      </c>
    </row>
    <row r="2238" spans="1:50">
      <c r="A2238" s="1" t="s">
        <v>3204</v>
      </c>
      <c r="B2238" t="s">
        <v>163</v>
      </c>
      <c r="C2238" t="s">
        <v>5448</v>
      </c>
      <c r="D2238" t="s">
        <v>406</v>
      </c>
      <c r="F2238" t="s">
        <v>670</v>
      </c>
      <c r="G2238" t="s">
        <v>8875</v>
      </c>
      <c r="H2238" t="s">
        <v>1185</v>
      </c>
      <c r="I2238" t="s">
        <v>11365</v>
      </c>
      <c r="J2238" t="s">
        <v>1644</v>
      </c>
      <c r="K2238">
        <v>11208</v>
      </c>
      <c r="L2238" t="s">
        <v>1670</v>
      </c>
      <c r="M2238" t="s">
        <v>1670</v>
      </c>
      <c r="N2238" t="s">
        <v>12499</v>
      </c>
      <c r="O2238" t="s">
        <v>1936</v>
      </c>
      <c r="P2238" t="s">
        <v>1958</v>
      </c>
      <c r="R2238" t="s">
        <v>50</v>
      </c>
      <c r="U2238" t="s">
        <v>1972</v>
      </c>
      <c r="W2238" t="s">
        <v>266</v>
      </c>
      <c r="X2238">
        <v>1400</v>
      </c>
      <c r="Y2238" t="s">
        <v>2009</v>
      </c>
      <c r="Z2238" t="s">
        <v>2014</v>
      </c>
      <c r="AB2238" t="s">
        <v>13898</v>
      </c>
      <c r="AD2238" t="s">
        <v>17022</v>
      </c>
      <c r="AE2238">
        <v>40</v>
      </c>
      <c r="AG2238" t="s">
        <v>1754</v>
      </c>
      <c r="AH2238">
        <v>12</v>
      </c>
      <c r="AI2238">
        <v>1</v>
      </c>
      <c r="AJ2238">
        <v>0</v>
      </c>
      <c r="AK2238">
        <v>112.09</v>
      </c>
      <c r="AN2238" t="s">
        <v>2926</v>
      </c>
      <c r="AO2238">
        <v>14000</v>
      </c>
      <c r="AU2238">
        <v>0.9</v>
      </c>
      <c r="AV2238" t="s">
        <v>384</v>
      </c>
      <c r="AW2238" t="s">
        <v>3063</v>
      </c>
    </row>
    <row r="2239" spans="1:50">
      <c r="A2239" s="1" t="s">
        <v>116</v>
      </c>
      <c r="B2239" t="s">
        <v>163</v>
      </c>
      <c r="C2239" t="s">
        <v>5449</v>
      </c>
      <c r="D2239" t="s">
        <v>267</v>
      </c>
      <c r="F2239" t="s">
        <v>6991</v>
      </c>
      <c r="G2239" t="s">
        <v>883</v>
      </c>
      <c r="H2239" t="s">
        <v>10394</v>
      </c>
      <c r="I2239" t="s">
        <v>11366</v>
      </c>
      <c r="J2239" t="s">
        <v>1643</v>
      </c>
      <c r="K2239">
        <v>10023</v>
      </c>
      <c r="L2239" t="s">
        <v>1670</v>
      </c>
      <c r="M2239" t="s">
        <v>1670</v>
      </c>
      <c r="O2239" t="s">
        <v>1675</v>
      </c>
      <c r="P2239" t="s">
        <v>1958</v>
      </c>
      <c r="R2239" t="s">
        <v>50</v>
      </c>
      <c r="S2239" t="s">
        <v>1671</v>
      </c>
      <c r="U2239" t="s">
        <v>1972</v>
      </c>
      <c r="V2239" t="s">
        <v>1987</v>
      </c>
      <c r="W2239" t="s">
        <v>267</v>
      </c>
      <c r="X2239">
        <v>675</v>
      </c>
      <c r="Y2239" t="s">
        <v>2008</v>
      </c>
      <c r="Z2239" t="s">
        <v>2019</v>
      </c>
      <c r="AB2239" t="s">
        <v>14613</v>
      </c>
      <c r="AD2239" t="s">
        <v>17023</v>
      </c>
      <c r="AE2239">
        <v>20</v>
      </c>
      <c r="AF2239" t="s">
        <v>2902</v>
      </c>
      <c r="AG2239" t="s">
        <v>1754</v>
      </c>
      <c r="AH2239">
        <v>30</v>
      </c>
      <c r="AI2239">
        <v>1</v>
      </c>
      <c r="AJ2239">
        <v>0</v>
      </c>
      <c r="AK2239">
        <v>112.19</v>
      </c>
      <c r="AN2239" t="s">
        <v>2926</v>
      </c>
      <c r="AO2239">
        <v>13620</v>
      </c>
      <c r="AU2239">
        <v>6.6</v>
      </c>
      <c r="AV2239" t="s">
        <v>393</v>
      </c>
      <c r="AW2239" t="s">
        <v>3051</v>
      </c>
    </row>
    <row r="2240" spans="1:50">
      <c r="A2240" s="1" t="s">
        <v>62</v>
      </c>
      <c r="B2240" t="s">
        <v>163</v>
      </c>
      <c r="C2240" t="s">
        <v>5450</v>
      </c>
      <c r="D2240" t="s">
        <v>1995</v>
      </c>
      <c r="F2240" t="s">
        <v>7665</v>
      </c>
      <c r="G2240" t="s">
        <v>1020</v>
      </c>
      <c r="H2240" t="s">
        <v>10395</v>
      </c>
      <c r="J2240" t="s">
        <v>1644</v>
      </c>
      <c r="K2240">
        <v>11213</v>
      </c>
      <c r="L2240" t="s">
        <v>1670</v>
      </c>
      <c r="M2240" t="s">
        <v>1672</v>
      </c>
      <c r="O2240" t="s">
        <v>1940</v>
      </c>
      <c r="P2240" t="s">
        <v>1960</v>
      </c>
      <c r="R2240" t="s">
        <v>50</v>
      </c>
      <c r="S2240" t="s">
        <v>1671</v>
      </c>
      <c r="U2240" t="s">
        <v>1972</v>
      </c>
      <c r="W2240" t="s">
        <v>1995</v>
      </c>
      <c r="X2240">
        <v>999.11</v>
      </c>
      <c r="Y2240" t="s">
        <v>2009</v>
      </c>
      <c r="AB2240" t="s">
        <v>14614</v>
      </c>
      <c r="AD2240" t="s">
        <v>17024</v>
      </c>
      <c r="AE2240" t="s">
        <v>13051</v>
      </c>
      <c r="AH2240">
        <v>13</v>
      </c>
      <c r="AI2240">
        <v>2</v>
      </c>
      <c r="AJ2240">
        <v>0</v>
      </c>
      <c r="AK2240">
        <v>112.36</v>
      </c>
      <c r="AN2240" t="s">
        <v>2926</v>
      </c>
      <c r="AO2240">
        <v>19000</v>
      </c>
      <c r="AU2240" t="s">
        <v>13051</v>
      </c>
      <c r="AW2240" t="s">
        <v>158</v>
      </c>
      <c r="AX2240" t="s">
        <v>18685</v>
      </c>
    </row>
    <row r="2241" spans="1:50">
      <c r="A2241" s="1" t="s">
        <v>89</v>
      </c>
      <c r="B2241" t="s">
        <v>164</v>
      </c>
      <c r="C2241" t="s">
        <v>5451</v>
      </c>
      <c r="D2241" t="s">
        <v>1999</v>
      </c>
      <c r="E2241" t="s">
        <v>191</v>
      </c>
      <c r="F2241" t="s">
        <v>7012</v>
      </c>
      <c r="G2241" t="s">
        <v>8876</v>
      </c>
      <c r="H2241" t="s">
        <v>10396</v>
      </c>
      <c r="I2241" t="s">
        <v>1521</v>
      </c>
      <c r="J2241" t="s">
        <v>1647</v>
      </c>
      <c r="K2241">
        <v>11434</v>
      </c>
      <c r="L2241" t="s">
        <v>1670</v>
      </c>
      <c r="M2241" t="s">
        <v>1672</v>
      </c>
      <c r="N2241" t="s">
        <v>12500</v>
      </c>
      <c r="O2241" t="s">
        <v>1939</v>
      </c>
      <c r="P2241" t="s">
        <v>1958</v>
      </c>
      <c r="Q2241" t="s">
        <v>1965</v>
      </c>
      <c r="R2241" t="s">
        <v>50</v>
      </c>
      <c r="S2241" t="s">
        <v>1671</v>
      </c>
      <c r="U2241" t="s">
        <v>1972</v>
      </c>
      <c r="V2241" t="s">
        <v>1984</v>
      </c>
      <c r="W2241" t="s">
        <v>1999</v>
      </c>
      <c r="X2241">
        <v>2175</v>
      </c>
      <c r="Y2241" t="s">
        <v>2007</v>
      </c>
      <c r="Z2241" t="s">
        <v>2014</v>
      </c>
      <c r="AA2241" t="s">
        <v>2029</v>
      </c>
      <c r="AB2241" t="s">
        <v>14615</v>
      </c>
      <c r="AC2241" t="s">
        <v>15261</v>
      </c>
      <c r="AD2241" t="s">
        <v>17025</v>
      </c>
      <c r="AE2241">
        <v>2</v>
      </c>
      <c r="AF2241" t="s">
        <v>2903</v>
      </c>
      <c r="AG2241" t="s">
        <v>1754</v>
      </c>
      <c r="AH2241">
        <v>2</v>
      </c>
      <c r="AI2241">
        <v>3</v>
      </c>
      <c r="AJ2241">
        <v>0</v>
      </c>
      <c r="AK2241">
        <v>112.52</v>
      </c>
      <c r="AO2241">
        <v>24000</v>
      </c>
      <c r="AU2241">
        <v>0.5</v>
      </c>
      <c r="AV2241" t="s">
        <v>191</v>
      </c>
      <c r="AW2241" t="s">
        <v>89</v>
      </c>
      <c r="AX2241" t="s">
        <v>18685</v>
      </c>
    </row>
    <row r="2242" spans="1:50">
      <c r="A2242" s="1" t="s">
        <v>69</v>
      </c>
      <c r="B2242" t="s">
        <v>164</v>
      </c>
      <c r="C2242" t="s">
        <v>5452</v>
      </c>
      <c r="D2242" t="s">
        <v>301</v>
      </c>
      <c r="E2242" t="s">
        <v>326</v>
      </c>
      <c r="F2242" t="s">
        <v>7013</v>
      </c>
      <c r="G2242" t="s">
        <v>7551</v>
      </c>
      <c r="H2242" t="s">
        <v>10397</v>
      </c>
      <c r="I2242" t="s">
        <v>1560</v>
      </c>
      <c r="J2242" t="s">
        <v>1644</v>
      </c>
      <c r="K2242">
        <v>11210</v>
      </c>
      <c r="L2242" t="s">
        <v>1672</v>
      </c>
      <c r="M2242" t="s">
        <v>1672</v>
      </c>
      <c r="P2242" t="s">
        <v>1958</v>
      </c>
      <c r="Q2242" t="s">
        <v>1965</v>
      </c>
      <c r="R2242" t="s">
        <v>50</v>
      </c>
      <c r="U2242" t="s">
        <v>1972</v>
      </c>
      <c r="W2242" t="s">
        <v>301</v>
      </c>
      <c r="X2242" t="s">
        <v>13051</v>
      </c>
      <c r="Y2242" t="s">
        <v>2009</v>
      </c>
      <c r="AA2242" t="s">
        <v>2029</v>
      </c>
      <c r="AB2242" t="s">
        <v>14616</v>
      </c>
      <c r="AE2242" t="s">
        <v>13051</v>
      </c>
      <c r="AH2242" t="s">
        <v>13051</v>
      </c>
      <c r="AI2242">
        <v>3</v>
      </c>
      <c r="AJ2242">
        <v>0</v>
      </c>
      <c r="AK2242">
        <v>112.52</v>
      </c>
      <c r="AN2242" t="s">
        <v>2926</v>
      </c>
      <c r="AO2242">
        <v>24000</v>
      </c>
      <c r="AU2242">
        <v>3.4</v>
      </c>
      <c r="AV2242" t="s">
        <v>326</v>
      </c>
      <c r="AW2242" t="s">
        <v>69</v>
      </c>
    </row>
    <row r="2243" spans="1:50">
      <c r="A2243" s="1" t="s">
        <v>64</v>
      </c>
      <c r="B2243" t="s">
        <v>163</v>
      </c>
      <c r="C2243" t="s">
        <v>5453</v>
      </c>
      <c r="D2243" t="s">
        <v>169</v>
      </c>
      <c r="F2243" t="s">
        <v>7087</v>
      </c>
      <c r="G2243" t="s">
        <v>914</v>
      </c>
      <c r="H2243" t="s">
        <v>1243</v>
      </c>
      <c r="I2243" t="s">
        <v>1538</v>
      </c>
      <c r="J2243" t="s">
        <v>1643</v>
      </c>
      <c r="K2243">
        <v>10033</v>
      </c>
      <c r="L2243" t="s">
        <v>1670</v>
      </c>
      <c r="M2243" t="s">
        <v>1670</v>
      </c>
      <c r="O2243" t="s">
        <v>1939</v>
      </c>
      <c r="P2243" t="s">
        <v>1962</v>
      </c>
      <c r="R2243" t="s">
        <v>50</v>
      </c>
      <c r="S2243" t="s">
        <v>1670</v>
      </c>
      <c r="U2243" t="s">
        <v>1972</v>
      </c>
      <c r="W2243" t="s">
        <v>169</v>
      </c>
      <c r="X2243">
        <v>1096.72</v>
      </c>
      <c r="Y2243" t="s">
        <v>2008</v>
      </c>
      <c r="Z2243" t="s">
        <v>2016</v>
      </c>
      <c r="AB2243" t="s">
        <v>14617</v>
      </c>
      <c r="AD2243" t="s">
        <v>17026</v>
      </c>
      <c r="AE2243">
        <v>232</v>
      </c>
      <c r="AF2243" t="s">
        <v>2902</v>
      </c>
      <c r="AG2243" t="s">
        <v>1754</v>
      </c>
      <c r="AH2243">
        <v>27</v>
      </c>
      <c r="AI2243">
        <v>2</v>
      </c>
      <c r="AJ2243">
        <v>0</v>
      </c>
      <c r="AK2243">
        <v>112.73</v>
      </c>
      <c r="AN2243" t="s">
        <v>2927</v>
      </c>
      <c r="AO2243">
        <v>18556</v>
      </c>
      <c r="AU2243">
        <v>0.3</v>
      </c>
      <c r="AV2243" t="s">
        <v>369</v>
      </c>
      <c r="AW2243" t="s">
        <v>3042</v>
      </c>
    </row>
    <row r="2244" spans="1:50">
      <c r="A2244" s="1" t="s">
        <v>52</v>
      </c>
      <c r="B2244" t="s">
        <v>164</v>
      </c>
      <c r="C2244" t="s">
        <v>5454</v>
      </c>
      <c r="D2244" t="s">
        <v>337</v>
      </c>
      <c r="E2244" t="s">
        <v>337</v>
      </c>
      <c r="F2244" t="s">
        <v>6911</v>
      </c>
      <c r="G2244" t="s">
        <v>8877</v>
      </c>
      <c r="H2244" t="s">
        <v>10398</v>
      </c>
      <c r="I2244">
        <v>56</v>
      </c>
      <c r="J2244" t="s">
        <v>1641</v>
      </c>
      <c r="K2244">
        <v>10468</v>
      </c>
      <c r="L2244" t="s">
        <v>1670</v>
      </c>
      <c r="M2244" t="s">
        <v>1672</v>
      </c>
      <c r="N2244" t="s">
        <v>12501</v>
      </c>
      <c r="O2244" t="s">
        <v>1946</v>
      </c>
      <c r="P2244" t="s">
        <v>1958</v>
      </c>
      <c r="Q2244" t="s">
        <v>1965</v>
      </c>
      <c r="R2244" t="s">
        <v>50</v>
      </c>
      <c r="S2244" t="s">
        <v>1671</v>
      </c>
      <c r="U2244" t="s">
        <v>1972</v>
      </c>
      <c r="W2244" t="s">
        <v>1991</v>
      </c>
      <c r="X2244">
        <v>1104.03</v>
      </c>
      <c r="Y2244" t="s">
        <v>2006</v>
      </c>
      <c r="Z2244" t="s">
        <v>2015</v>
      </c>
      <c r="AA2244" t="s">
        <v>2029</v>
      </c>
      <c r="AD2244" t="s">
        <v>17027</v>
      </c>
      <c r="AE2244" t="s">
        <v>13051</v>
      </c>
      <c r="AF2244" t="s">
        <v>2902</v>
      </c>
      <c r="AG2244" t="s">
        <v>2017</v>
      </c>
      <c r="AH2244">
        <v>40</v>
      </c>
      <c r="AI2244">
        <v>1</v>
      </c>
      <c r="AJ2244">
        <v>0</v>
      </c>
      <c r="AK2244">
        <v>112.89</v>
      </c>
      <c r="AN2244" t="s">
        <v>2927</v>
      </c>
      <c r="AO2244">
        <v>14100</v>
      </c>
      <c r="AU2244">
        <v>1</v>
      </c>
      <c r="AV2244" t="s">
        <v>179</v>
      </c>
      <c r="AW2244" t="s">
        <v>3045</v>
      </c>
      <c r="AX2244" t="s">
        <v>18686</v>
      </c>
    </row>
    <row r="2245" spans="1:50">
      <c r="A2245" s="1" t="s">
        <v>158</v>
      </c>
      <c r="B2245" t="s">
        <v>163</v>
      </c>
      <c r="C2245" t="s">
        <v>5455</v>
      </c>
      <c r="D2245" t="s">
        <v>6126</v>
      </c>
      <c r="F2245" t="s">
        <v>720</v>
      </c>
      <c r="G2245" t="s">
        <v>8878</v>
      </c>
      <c r="H2245" t="s">
        <v>9383</v>
      </c>
      <c r="I2245" t="s">
        <v>11367</v>
      </c>
      <c r="J2245" t="s">
        <v>1644</v>
      </c>
      <c r="K2245">
        <v>11226</v>
      </c>
      <c r="L2245" t="s">
        <v>1670</v>
      </c>
      <c r="M2245" t="s">
        <v>1670</v>
      </c>
      <c r="P2245" t="s">
        <v>1962</v>
      </c>
      <c r="R2245" t="s">
        <v>50</v>
      </c>
      <c r="U2245" t="s">
        <v>1972</v>
      </c>
      <c r="W2245" t="s">
        <v>180</v>
      </c>
      <c r="X2245">
        <v>835.4299999999999</v>
      </c>
      <c r="Y2245" t="s">
        <v>2009</v>
      </c>
      <c r="AB2245" t="s">
        <v>14618</v>
      </c>
      <c r="AD2245" t="s">
        <v>17028</v>
      </c>
      <c r="AE2245" t="s">
        <v>13051</v>
      </c>
      <c r="AH2245">
        <v>38</v>
      </c>
      <c r="AI2245">
        <v>1</v>
      </c>
      <c r="AJ2245">
        <v>0</v>
      </c>
      <c r="AK2245">
        <v>112.89</v>
      </c>
      <c r="AO2245">
        <v>14100</v>
      </c>
      <c r="AU2245" t="s">
        <v>13051</v>
      </c>
      <c r="AW2245" t="s">
        <v>158</v>
      </c>
    </row>
    <row r="2246" spans="1:50">
      <c r="A2246" s="1" t="s">
        <v>74</v>
      </c>
      <c r="B2246" t="s">
        <v>163</v>
      </c>
      <c r="C2246" t="s">
        <v>5456</v>
      </c>
      <c r="D2246" t="s">
        <v>230</v>
      </c>
      <c r="F2246" t="s">
        <v>724</v>
      </c>
      <c r="G2246" t="s">
        <v>8009</v>
      </c>
      <c r="H2246" t="s">
        <v>1131</v>
      </c>
      <c r="I2246" t="s">
        <v>11368</v>
      </c>
      <c r="J2246" t="s">
        <v>1641</v>
      </c>
      <c r="K2246">
        <v>10460</v>
      </c>
      <c r="L2246" t="s">
        <v>1670</v>
      </c>
      <c r="M2246" t="s">
        <v>1672</v>
      </c>
      <c r="O2246" t="s">
        <v>1675</v>
      </c>
      <c r="P2246" t="s">
        <v>1959</v>
      </c>
      <c r="R2246" t="s">
        <v>50</v>
      </c>
      <c r="S2246" t="s">
        <v>1670</v>
      </c>
      <c r="U2246" t="s">
        <v>1972</v>
      </c>
      <c r="W2246" t="s">
        <v>1991</v>
      </c>
      <c r="X2246">
        <v>343</v>
      </c>
      <c r="Y2246" t="s">
        <v>2006</v>
      </c>
      <c r="Z2246" t="s">
        <v>2015</v>
      </c>
      <c r="AB2246" t="s">
        <v>14619</v>
      </c>
      <c r="AD2246" t="s">
        <v>17029</v>
      </c>
      <c r="AE2246">
        <v>168</v>
      </c>
      <c r="AF2246" t="s">
        <v>2902</v>
      </c>
      <c r="AG2246" t="s">
        <v>2915</v>
      </c>
      <c r="AH2246">
        <v>1</v>
      </c>
      <c r="AI2246">
        <v>1</v>
      </c>
      <c r="AJ2246">
        <v>0</v>
      </c>
      <c r="AK2246">
        <v>112.89</v>
      </c>
      <c r="AN2246" t="s">
        <v>2927</v>
      </c>
      <c r="AO2246">
        <v>14100</v>
      </c>
      <c r="AU2246" t="s">
        <v>13051</v>
      </c>
      <c r="AW2246" t="s">
        <v>3045</v>
      </c>
      <c r="AX2246" t="s">
        <v>18685</v>
      </c>
    </row>
    <row r="2247" spans="1:50">
      <c r="A2247" s="1" t="s">
        <v>57</v>
      </c>
      <c r="B2247" t="s">
        <v>163</v>
      </c>
      <c r="C2247" t="s">
        <v>5457</v>
      </c>
      <c r="D2247" t="s">
        <v>1993</v>
      </c>
      <c r="F2247" t="s">
        <v>7648</v>
      </c>
      <c r="G2247" t="s">
        <v>8145</v>
      </c>
      <c r="H2247" t="s">
        <v>1112</v>
      </c>
      <c r="I2247" t="s">
        <v>10939</v>
      </c>
      <c r="J2247" t="s">
        <v>1641</v>
      </c>
      <c r="K2247">
        <v>10453</v>
      </c>
      <c r="L2247" t="s">
        <v>1670</v>
      </c>
      <c r="M2247" t="s">
        <v>1670</v>
      </c>
      <c r="O2247" t="s">
        <v>1938</v>
      </c>
      <c r="P2247" t="s">
        <v>1961</v>
      </c>
      <c r="R2247" t="s">
        <v>50</v>
      </c>
      <c r="S2247" t="s">
        <v>1670</v>
      </c>
      <c r="U2247" t="s">
        <v>1972</v>
      </c>
      <c r="W2247" t="s">
        <v>283</v>
      </c>
      <c r="X2247">
        <v>1152.67</v>
      </c>
      <c r="Y2247" t="s">
        <v>2006</v>
      </c>
      <c r="Z2247" t="s">
        <v>2020</v>
      </c>
      <c r="AB2247" t="s">
        <v>14565</v>
      </c>
      <c r="AD2247" t="s">
        <v>16972</v>
      </c>
      <c r="AE2247">
        <v>170</v>
      </c>
      <c r="AF2247" t="s">
        <v>2902</v>
      </c>
      <c r="AG2247" t="s">
        <v>2919</v>
      </c>
      <c r="AH2247">
        <v>14</v>
      </c>
      <c r="AI2247">
        <v>1</v>
      </c>
      <c r="AJ2247">
        <v>0</v>
      </c>
      <c r="AK2247">
        <v>113.18</v>
      </c>
      <c r="AN2247" t="s">
        <v>2926</v>
      </c>
      <c r="AO2247">
        <v>13740</v>
      </c>
      <c r="AU2247">
        <v>9.199999999999999</v>
      </c>
      <c r="AV2247" t="s">
        <v>290</v>
      </c>
      <c r="AW2247" t="s">
        <v>115</v>
      </c>
    </row>
    <row r="2248" spans="1:50">
      <c r="A2248" s="1" t="s">
        <v>74</v>
      </c>
      <c r="B2248" t="s">
        <v>164</v>
      </c>
      <c r="C2248" t="s">
        <v>5458</v>
      </c>
      <c r="D2248" t="s">
        <v>339</v>
      </c>
      <c r="E2248" t="s">
        <v>401</v>
      </c>
      <c r="F2248" t="s">
        <v>502</v>
      </c>
      <c r="G2248" t="s">
        <v>8879</v>
      </c>
      <c r="J2248" t="s">
        <v>1641</v>
      </c>
      <c r="K2248">
        <v>10473</v>
      </c>
      <c r="L2248" t="s">
        <v>1670</v>
      </c>
      <c r="M2248" t="s">
        <v>1670</v>
      </c>
      <c r="O2248" t="s">
        <v>1937</v>
      </c>
      <c r="P2248" t="s">
        <v>1958</v>
      </c>
      <c r="Q2248" t="s">
        <v>1965</v>
      </c>
      <c r="R2248" t="s">
        <v>50</v>
      </c>
      <c r="S2248" t="s">
        <v>1671</v>
      </c>
      <c r="U2248" t="s">
        <v>1972</v>
      </c>
      <c r="W2248" t="s">
        <v>339</v>
      </c>
      <c r="X2248">
        <v>556</v>
      </c>
      <c r="Y2248" t="s">
        <v>2006</v>
      </c>
      <c r="Z2248" t="s">
        <v>2016</v>
      </c>
      <c r="AA2248" t="s">
        <v>13063</v>
      </c>
      <c r="AB2248" t="s">
        <v>14620</v>
      </c>
      <c r="AD2248" t="s">
        <v>17030</v>
      </c>
      <c r="AE2248">
        <v>226</v>
      </c>
      <c r="AF2248" t="s">
        <v>2902</v>
      </c>
      <c r="AG2248" t="s">
        <v>2919</v>
      </c>
      <c r="AH2248">
        <v>25</v>
      </c>
      <c r="AI2248">
        <v>1</v>
      </c>
      <c r="AJ2248">
        <v>0</v>
      </c>
      <c r="AK2248">
        <v>113.37</v>
      </c>
      <c r="AO2248">
        <v>14160</v>
      </c>
      <c r="AT2248" t="s">
        <v>3021</v>
      </c>
      <c r="AU2248">
        <v>0.3</v>
      </c>
      <c r="AV2248" t="s">
        <v>401</v>
      </c>
      <c r="AW2248" t="s">
        <v>74</v>
      </c>
      <c r="AX2248" t="s">
        <v>18685</v>
      </c>
    </row>
    <row r="2249" spans="1:50">
      <c r="A2249" s="1" t="s">
        <v>62</v>
      </c>
      <c r="B2249" t="s">
        <v>163</v>
      </c>
      <c r="C2249" t="s">
        <v>5459</v>
      </c>
      <c r="D2249" t="s">
        <v>208</v>
      </c>
      <c r="F2249" t="s">
        <v>7666</v>
      </c>
      <c r="G2249" t="s">
        <v>8509</v>
      </c>
      <c r="H2249" t="s">
        <v>10399</v>
      </c>
      <c r="I2249" t="s">
        <v>11261</v>
      </c>
      <c r="J2249" t="s">
        <v>1644</v>
      </c>
      <c r="K2249">
        <v>11235</v>
      </c>
      <c r="L2249" t="s">
        <v>1670</v>
      </c>
      <c r="M2249" t="s">
        <v>1670</v>
      </c>
      <c r="P2249" t="s">
        <v>1959</v>
      </c>
      <c r="R2249" t="s">
        <v>50</v>
      </c>
      <c r="S2249" t="s">
        <v>1671</v>
      </c>
      <c r="U2249" t="s">
        <v>1972</v>
      </c>
      <c r="W2249" t="s">
        <v>199</v>
      </c>
      <c r="X2249">
        <v>930</v>
      </c>
      <c r="Y2249" t="s">
        <v>2009</v>
      </c>
      <c r="AB2249" t="s">
        <v>14621</v>
      </c>
      <c r="AD2249" t="s">
        <v>17031</v>
      </c>
      <c r="AE2249" t="s">
        <v>13051</v>
      </c>
      <c r="AH2249" t="s">
        <v>13051</v>
      </c>
      <c r="AI2249">
        <v>2</v>
      </c>
      <c r="AJ2249">
        <v>0</v>
      </c>
      <c r="AK2249">
        <v>113.54</v>
      </c>
      <c r="AN2249" t="s">
        <v>2926</v>
      </c>
      <c r="AO2249">
        <v>19200</v>
      </c>
      <c r="AU2249">
        <v>4.5</v>
      </c>
      <c r="AV2249" t="s">
        <v>401</v>
      </c>
      <c r="AW2249" t="s">
        <v>158</v>
      </c>
    </row>
    <row r="2250" spans="1:50">
      <c r="A2250" s="1" t="s">
        <v>62</v>
      </c>
      <c r="B2250" t="s">
        <v>163</v>
      </c>
      <c r="C2250" t="s">
        <v>5460</v>
      </c>
      <c r="D2250" t="s">
        <v>208</v>
      </c>
      <c r="F2250" t="s">
        <v>7666</v>
      </c>
      <c r="G2250" t="s">
        <v>8509</v>
      </c>
      <c r="H2250" t="s">
        <v>10399</v>
      </c>
      <c r="I2250" t="s">
        <v>11261</v>
      </c>
      <c r="J2250" t="s">
        <v>1644</v>
      </c>
      <c r="K2250">
        <v>11235</v>
      </c>
      <c r="L2250" t="s">
        <v>1670</v>
      </c>
      <c r="M2250" t="s">
        <v>1670</v>
      </c>
      <c r="O2250" t="s">
        <v>1938</v>
      </c>
      <c r="P2250" t="s">
        <v>1961</v>
      </c>
      <c r="R2250" t="s">
        <v>50</v>
      </c>
      <c r="S2250" t="s">
        <v>1671</v>
      </c>
      <c r="U2250" t="s">
        <v>1972</v>
      </c>
      <c r="W2250" t="s">
        <v>277</v>
      </c>
      <c r="X2250">
        <v>93</v>
      </c>
      <c r="Y2250" t="s">
        <v>2009</v>
      </c>
      <c r="AB2250" t="s">
        <v>14621</v>
      </c>
      <c r="AD2250" t="s">
        <v>17031</v>
      </c>
      <c r="AE2250" t="s">
        <v>13051</v>
      </c>
      <c r="AH2250" t="s">
        <v>13051</v>
      </c>
      <c r="AI2250">
        <v>2</v>
      </c>
      <c r="AJ2250">
        <v>0</v>
      </c>
      <c r="AK2250">
        <v>113.54</v>
      </c>
      <c r="AN2250" t="s">
        <v>2926</v>
      </c>
      <c r="AO2250">
        <v>19200</v>
      </c>
      <c r="AU2250">
        <v>11</v>
      </c>
      <c r="AV2250" t="s">
        <v>186</v>
      </c>
      <c r="AW2250" t="s">
        <v>158</v>
      </c>
    </row>
    <row r="2251" spans="1:50">
      <c r="A2251" s="1" t="s">
        <v>62</v>
      </c>
      <c r="B2251" t="s">
        <v>163</v>
      </c>
      <c r="C2251" t="s">
        <v>5461</v>
      </c>
      <c r="D2251" t="s">
        <v>208</v>
      </c>
      <c r="F2251" t="s">
        <v>7666</v>
      </c>
      <c r="G2251" t="s">
        <v>8509</v>
      </c>
      <c r="H2251" t="s">
        <v>10399</v>
      </c>
      <c r="I2251" t="s">
        <v>11261</v>
      </c>
      <c r="J2251" t="s">
        <v>1644</v>
      </c>
      <c r="K2251">
        <v>11235</v>
      </c>
      <c r="L2251" t="s">
        <v>1670</v>
      </c>
      <c r="M2251" t="s">
        <v>1670</v>
      </c>
      <c r="O2251" t="s">
        <v>1938</v>
      </c>
      <c r="P2251" t="s">
        <v>1961</v>
      </c>
      <c r="R2251" t="s">
        <v>50</v>
      </c>
      <c r="S2251" t="s">
        <v>1671</v>
      </c>
      <c r="U2251" t="s">
        <v>1972</v>
      </c>
      <c r="W2251" t="s">
        <v>199</v>
      </c>
      <c r="X2251">
        <v>930</v>
      </c>
      <c r="Y2251" t="s">
        <v>2009</v>
      </c>
      <c r="AB2251" t="s">
        <v>14621</v>
      </c>
      <c r="AD2251" t="s">
        <v>17031</v>
      </c>
      <c r="AE2251" t="s">
        <v>13051</v>
      </c>
      <c r="AH2251" t="s">
        <v>13051</v>
      </c>
      <c r="AI2251">
        <v>2</v>
      </c>
      <c r="AJ2251">
        <v>0</v>
      </c>
      <c r="AK2251">
        <v>113.54</v>
      </c>
      <c r="AN2251" t="s">
        <v>2926</v>
      </c>
      <c r="AO2251">
        <v>19200</v>
      </c>
      <c r="AU2251">
        <v>3.25</v>
      </c>
      <c r="AV2251" t="s">
        <v>268</v>
      </c>
      <c r="AW2251" t="s">
        <v>158</v>
      </c>
    </row>
    <row r="2252" spans="1:50">
      <c r="A2252" s="1" t="s">
        <v>62</v>
      </c>
      <c r="B2252" t="s">
        <v>163</v>
      </c>
      <c r="C2252" t="s">
        <v>5462</v>
      </c>
      <c r="D2252" t="s">
        <v>6203</v>
      </c>
      <c r="F2252" t="s">
        <v>7666</v>
      </c>
      <c r="G2252" t="s">
        <v>8509</v>
      </c>
      <c r="H2252" t="s">
        <v>10399</v>
      </c>
      <c r="I2252" t="s">
        <v>11261</v>
      </c>
      <c r="J2252" t="s">
        <v>1644</v>
      </c>
      <c r="K2252">
        <v>11235</v>
      </c>
      <c r="L2252" t="s">
        <v>1670</v>
      </c>
      <c r="M2252" t="s">
        <v>1670</v>
      </c>
      <c r="O2252" t="s">
        <v>12748</v>
      </c>
      <c r="P2252" t="s">
        <v>1964</v>
      </c>
      <c r="R2252" t="s">
        <v>50</v>
      </c>
      <c r="U2252" t="s">
        <v>1972</v>
      </c>
      <c r="W2252" t="s">
        <v>320</v>
      </c>
      <c r="X2252" t="s">
        <v>13051</v>
      </c>
      <c r="Y2252" t="s">
        <v>2009</v>
      </c>
      <c r="AB2252" t="s">
        <v>14621</v>
      </c>
      <c r="AD2252" t="s">
        <v>17031</v>
      </c>
      <c r="AE2252" t="s">
        <v>13051</v>
      </c>
      <c r="AF2252" t="s">
        <v>2908</v>
      </c>
      <c r="AH2252" t="s">
        <v>13051</v>
      </c>
      <c r="AI2252">
        <v>2</v>
      </c>
      <c r="AJ2252">
        <v>0</v>
      </c>
      <c r="AK2252">
        <v>113.54</v>
      </c>
      <c r="AN2252" t="s">
        <v>2926</v>
      </c>
      <c r="AO2252">
        <v>19200</v>
      </c>
      <c r="AU2252">
        <v>12.05</v>
      </c>
      <c r="AV2252" t="s">
        <v>253</v>
      </c>
      <c r="AW2252" t="s">
        <v>158</v>
      </c>
    </row>
    <row r="2253" spans="1:50">
      <c r="A2253" s="1" t="s">
        <v>82</v>
      </c>
      <c r="B2253" t="s">
        <v>163</v>
      </c>
      <c r="C2253" t="s">
        <v>5463</v>
      </c>
      <c r="D2253" t="s">
        <v>165</v>
      </c>
      <c r="F2253" t="s">
        <v>701</v>
      </c>
      <c r="G2253" t="s">
        <v>8880</v>
      </c>
      <c r="H2253" t="s">
        <v>9482</v>
      </c>
      <c r="I2253" t="s">
        <v>11045</v>
      </c>
      <c r="J2253" t="s">
        <v>1644</v>
      </c>
      <c r="K2253">
        <v>11233</v>
      </c>
      <c r="L2253" t="s">
        <v>1670</v>
      </c>
      <c r="M2253" t="s">
        <v>1671</v>
      </c>
      <c r="O2253" t="s">
        <v>1937</v>
      </c>
      <c r="P2253" t="s">
        <v>1962</v>
      </c>
      <c r="R2253" t="s">
        <v>50</v>
      </c>
      <c r="S2253" t="s">
        <v>1670</v>
      </c>
      <c r="U2253" t="s">
        <v>1972</v>
      </c>
      <c r="V2253" t="s">
        <v>1984</v>
      </c>
      <c r="W2253" t="s">
        <v>221</v>
      </c>
      <c r="X2253">
        <v>1150</v>
      </c>
      <c r="Y2253" t="s">
        <v>2009</v>
      </c>
      <c r="Z2253" t="s">
        <v>2017</v>
      </c>
      <c r="AB2253" t="s">
        <v>14622</v>
      </c>
      <c r="AE2253">
        <v>359</v>
      </c>
      <c r="AF2253" t="s">
        <v>2902</v>
      </c>
      <c r="AH2253">
        <v>45</v>
      </c>
      <c r="AI2253">
        <v>1</v>
      </c>
      <c r="AJ2253">
        <v>0</v>
      </c>
      <c r="AK2253">
        <v>113.66</v>
      </c>
      <c r="AN2253" t="s">
        <v>2926</v>
      </c>
      <c r="AO2253">
        <v>14196</v>
      </c>
      <c r="AP2253" t="s">
        <v>18338</v>
      </c>
      <c r="AU2253" t="s">
        <v>13051</v>
      </c>
      <c r="AW2253" t="s">
        <v>3059</v>
      </c>
    </row>
    <row r="2254" spans="1:50">
      <c r="A2254" s="1" t="s">
        <v>82</v>
      </c>
      <c r="B2254" t="s">
        <v>163</v>
      </c>
      <c r="C2254" t="s">
        <v>5464</v>
      </c>
      <c r="D2254" t="s">
        <v>165</v>
      </c>
      <c r="F2254" t="s">
        <v>701</v>
      </c>
      <c r="G2254" t="s">
        <v>8880</v>
      </c>
      <c r="H2254" t="s">
        <v>9482</v>
      </c>
      <c r="I2254" t="s">
        <v>11045</v>
      </c>
      <c r="J2254" t="s">
        <v>1644</v>
      </c>
      <c r="K2254">
        <v>11233</v>
      </c>
      <c r="L2254" t="s">
        <v>1670</v>
      </c>
      <c r="M2254" t="s">
        <v>1671</v>
      </c>
      <c r="O2254" t="s">
        <v>1938</v>
      </c>
      <c r="P2254" t="s">
        <v>1961</v>
      </c>
      <c r="R2254" t="s">
        <v>50</v>
      </c>
      <c r="S2254" t="s">
        <v>1670</v>
      </c>
      <c r="U2254" t="s">
        <v>1972</v>
      </c>
      <c r="V2254" t="s">
        <v>1984</v>
      </c>
      <c r="W2254" t="s">
        <v>248</v>
      </c>
      <c r="X2254">
        <v>1150</v>
      </c>
      <c r="Y2254" t="s">
        <v>2009</v>
      </c>
      <c r="Z2254" t="s">
        <v>2017</v>
      </c>
      <c r="AB2254" t="s">
        <v>14622</v>
      </c>
      <c r="AE2254">
        <v>359</v>
      </c>
      <c r="AF2254" t="s">
        <v>2902</v>
      </c>
      <c r="AH2254">
        <v>45</v>
      </c>
      <c r="AI2254">
        <v>1</v>
      </c>
      <c r="AJ2254">
        <v>0</v>
      </c>
      <c r="AK2254">
        <v>113.66</v>
      </c>
      <c r="AN2254" t="s">
        <v>2926</v>
      </c>
      <c r="AO2254">
        <v>14196</v>
      </c>
      <c r="AP2254" t="s">
        <v>18068</v>
      </c>
      <c r="AU2254" t="s">
        <v>13051</v>
      </c>
      <c r="AW2254" t="s">
        <v>3059</v>
      </c>
    </row>
    <row r="2255" spans="1:50">
      <c r="A2255" s="1" t="s">
        <v>3171</v>
      </c>
      <c r="B2255" t="s">
        <v>164</v>
      </c>
      <c r="C2255" t="s">
        <v>5465</v>
      </c>
      <c r="D2255" t="s">
        <v>166</v>
      </c>
      <c r="E2255" t="s">
        <v>341</v>
      </c>
      <c r="F2255" t="s">
        <v>6851</v>
      </c>
      <c r="G2255" t="s">
        <v>8881</v>
      </c>
      <c r="H2255" t="s">
        <v>10400</v>
      </c>
      <c r="I2255" t="s">
        <v>1493</v>
      </c>
      <c r="J2255" t="s">
        <v>1643</v>
      </c>
      <c r="K2255">
        <v>10011</v>
      </c>
      <c r="L2255" t="s">
        <v>1670</v>
      </c>
      <c r="M2255" t="s">
        <v>1670</v>
      </c>
      <c r="N2255" t="s">
        <v>12502</v>
      </c>
      <c r="O2255" t="s">
        <v>1940</v>
      </c>
      <c r="P2255" t="s">
        <v>1958</v>
      </c>
      <c r="Q2255" t="s">
        <v>1965</v>
      </c>
      <c r="R2255" t="s">
        <v>50</v>
      </c>
      <c r="S2255" t="s">
        <v>1671</v>
      </c>
      <c r="U2255" t="s">
        <v>1972</v>
      </c>
      <c r="W2255" t="s">
        <v>166</v>
      </c>
      <c r="X2255">
        <v>329</v>
      </c>
      <c r="Y2255" t="s">
        <v>2008</v>
      </c>
      <c r="Z2255" t="s">
        <v>2014</v>
      </c>
      <c r="AA2255" t="s">
        <v>2029</v>
      </c>
      <c r="AB2255" t="s">
        <v>14623</v>
      </c>
      <c r="AD2255" t="s">
        <v>17032</v>
      </c>
      <c r="AE2255">
        <v>11</v>
      </c>
      <c r="AF2255" t="s">
        <v>2913</v>
      </c>
      <c r="AG2255" t="s">
        <v>1754</v>
      </c>
      <c r="AH2255">
        <v>25</v>
      </c>
      <c r="AI2255">
        <v>1</v>
      </c>
      <c r="AJ2255">
        <v>0</v>
      </c>
      <c r="AK2255">
        <v>113.67</v>
      </c>
      <c r="AN2255" t="s">
        <v>2926</v>
      </c>
      <c r="AO2255">
        <v>13800</v>
      </c>
      <c r="AU2255">
        <v>3.65</v>
      </c>
      <c r="AV2255" t="s">
        <v>297</v>
      </c>
      <c r="AW2255" t="s">
        <v>3042</v>
      </c>
    </row>
    <row r="2256" spans="1:50">
      <c r="A2256" s="1" t="s">
        <v>111</v>
      </c>
      <c r="B2256" t="s">
        <v>163</v>
      </c>
      <c r="C2256" t="s">
        <v>5466</v>
      </c>
      <c r="D2256" t="s">
        <v>202</v>
      </c>
      <c r="F2256" t="s">
        <v>526</v>
      </c>
      <c r="G2256" t="s">
        <v>946</v>
      </c>
      <c r="H2256" t="s">
        <v>1260</v>
      </c>
      <c r="I2256" t="s">
        <v>1538</v>
      </c>
      <c r="J2256" t="s">
        <v>1641</v>
      </c>
      <c r="K2256">
        <v>10453</v>
      </c>
      <c r="L2256" t="s">
        <v>1670</v>
      </c>
      <c r="M2256" t="s">
        <v>1670</v>
      </c>
      <c r="O2256" t="s">
        <v>1675</v>
      </c>
      <c r="P2256" t="s">
        <v>1959</v>
      </c>
      <c r="R2256" t="s">
        <v>50</v>
      </c>
      <c r="S2256" t="s">
        <v>1670</v>
      </c>
      <c r="U2256" t="s">
        <v>1972</v>
      </c>
      <c r="W2256" t="s">
        <v>283</v>
      </c>
      <c r="X2256">
        <v>1585</v>
      </c>
      <c r="Y2256" t="s">
        <v>2006</v>
      </c>
      <c r="Z2256" t="s">
        <v>2015</v>
      </c>
      <c r="AB2256" t="s">
        <v>14624</v>
      </c>
      <c r="AD2256" t="s">
        <v>17033</v>
      </c>
      <c r="AE2256">
        <v>49</v>
      </c>
      <c r="AF2256" t="s">
        <v>2902</v>
      </c>
      <c r="AG2256" t="s">
        <v>2915</v>
      </c>
      <c r="AH2256">
        <v>9</v>
      </c>
      <c r="AI2256">
        <v>2</v>
      </c>
      <c r="AJ2256">
        <v>0</v>
      </c>
      <c r="AK2256">
        <v>113.73</v>
      </c>
      <c r="AN2256" t="s">
        <v>2926</v>
      </c>
      <c r="AO2256">
        <v>18720</v>
      </c>
      <c r="AU2256" t="s">
        <v>13051</v>
      </c>
      <c r="AW2256" t="s">
        <v>3046</v>
      </c>
    </row>
    <row r="2257" spans="1:50">
      <c r="A2257" s="1" t="s">
        <v>111</v>
      </c>
      <c r="B2257" t="s">
        <v>163</v>
      </c>
      <c r="C2257" t="s">
        <v>5467</v>
      </c>
      <c r="D2257" t="s">
        <v>202</v>
      </c>
      <c r="F2257" t="s">
        <v>526</v>
      </c>
      <c r="G2257" t="s">
        <v>946</v>
      </c>
      <c r="H2257" t="s">
        <v>1260</v>
      </c>
      <c r="I2257" t="s">
        <v>1538</v>
      </c>
      <c r="J2257" t="s">
        <v>1641</v>
      </c>
      <c r="K2257">
        <v>10453</v>
      </c>
      <c r="L2257" t="s">
        <v>1670</v>
      </c>
      <c r="M2257" t="s">
        <v>1670</v>
      </c>
      <c r="O2257" t="s">
        <v>1938</v>
      </c>
      <c r="P2257" t="s">
        <v>1961</v>
      </c>
      <c r="R2257" t="s">
        <v>50</v>
      </c>
      <c r="S2257" t="s">
        <v>1670</v>
      </c>
      <c r="U2257" t="s">
        <v>1972</v>
      </c>
      <c r="W2257" t="s">
        <v>283</v>
      </c>
      <c r="X2257">
        <v>1585</v>
      </c>
      <c r="Y2257" t="s">
        <v>2006</v>
      </c>
      <c r="Z2257" t="s">
        <v>2015</v>
      </c>
      <c r="AB2257" t="s">
        <v>14624</v>
      </c>
      <c r="AD2257" t="s">
        <v>17033</v>
      </c>
      <c r="AE2257">
        <v>49</v>
      </c>
      <c r="AF2257" t="s">
        <v>2902</v>
      </c>
      <c r="AG2257" t="s">
        <v>2915</v>
      </c>
      <c r="AH2257">
        <v>9</v>
      </c>
      <c r="AI2257">
        <v>2</v>
      </c>
      <c r="AJ2257">
        <v>0</v>
      </c>
      <c r="AK2257">
        <v>113.73</v>
      </c>
      <c r="AN2257" t="s">
        <v>2926</v>
      </c>
      <c r="AO2257">
        <v>18720</v>
      </c>
      <c r="AU2257" t="s">
        <v>13051</v>
      </c>
      <c r="AW2257" t="s">
        <v>3046</v>
      </c>
    </row>
    <row r="2258" spans="1:50">
      <c r="A2258" s="1" t="s">
        <v>111</v>
      </c>
      <c r="B2258" t="s">
        <v>163</v>
      </c>
      <c r="C2258" t="s">
        <v>5468</v>
      </c>
      <c r="D2258" t="s">
        <v>202</v>
      </c>
      <c r="F2258" t="s">
        <v>526</v>
      </c>
      <c r="G2258" t="s">
        <v>946</v>
      </c>
      <c r="H2258" t="s">
        <v>1260</v>
      </c>
      <c r="I2258" t="s">
        <v>1538</v>
      </c>
      <c r="J2258" t="s">
        <v>1641</v>
      </c>
      <c r="K2258">
        <v>10453</v>
      </c>
      <c r="L2258" t="s">
        <v>1670</v>
      </c>
      <c r="M2258" t="s">
        <v>1670</v>
      </c>
      <c r="N2258" t="s">
        <v>1778</v>
      </c>
      <c r="O2258" t="s">
        <v>1939</v>
      </c>
      <c r="P2258" t="s">
        <v>1960</v>
      </c>
      <c r="R2258" t="s">
        <v>50</v>
      </c>
      <c r="S2258" t="s">
        <v>1670</v>
      </c>
      <c r="U2258" t="s">
        <v>1972</v>
      </c>
      <c r="W2258" t="s">
        <v>283</v>
      </c>
      <c r="X2258">
        <v>1585</v>
      </c>
      <c r="Y2258" t="s">
        <v>2006</v>
      </c>
      <c r="Z2258" t="s">
        <v>2015</v>
      </c>
      <c r="AB2258" t="s">
        <v>14624</v>
      </c>
      <c r="AD2258" t="s">
        <v>17033</v>
      </c>
      <c r="AE2258">
        <v>49</v>
      </c>
      <c r="AF2258" t="s">
        <v>2902</v>
      </c>
      <c r="AG2258" t="s">
        <v>2915</v>
      </c>
      <c r="AH2258">
        <v>9</v>
      </c>
      <c r="AI2258">
        <v>2</v>
      </c>
      <c r="AJ2258">
        <v>0</v>
      </c>
      <c r="AK2258">
        <v>113.73</v>
      </c>
      <c r="AN2258" t="s">
        <v>2926</v>
      </c>
      <c r="AO2258">
        <v>18720</v>
      </c>
      <c r="AU2258" t="s">
        <v>13051</v>
      </c>
      <c r="AW2258" t="s">
        <v>3046</v>
      </c>
    </row>
    <row r="2259" spans="1:50">
      <c r="A2259" s="1" t="s">
        <v>115</v>
      </c>
      <c r="B2259" t="s">
        <v>163</v>
      </c>
      <c r="C2259" t="s">
        <v>5469</v>
      </c>
      <c r="D2259" t="s">
        <v>274</v>
      </c>
      <c r="F2259" t="s">
        <v>6986</v>
      </c>
      <c r="G2259" t="s">
        <v>8882</v>
      </c>
      <c r="H2259" t="s">
        <v>10129</v>
      </c>
      <c r="I2259" t="s">
        <v>1497</v>
      </c>
      <c r="J2259" t="s">
        <v>1641</v>
      </c>
      <c r="K2259">
        <v>10457</v>
      </c>
      <c r="L2259" t="s">
        <v>1670</v>
      </c>
      <c r="M2259" t="s">
        <v>1670</v>
      </c>
      <c r="O2259" t="s">
        <v>1675</v>
      </c>
      <c r="P2259" t="s">
        <v>1958</v>
      </c>
      <c r="R2259" t="s">
        <v>50</v>
      </c>
      <c r="S2259" t="s">
        <v>1671</v>
      </c>
      <c r="U2259" t="s">
        <v>1972</v>
      </c>
      <c r="W2259" t="s">
        <v>274</v>
      </c>
      <c r="X2259">
        <v>796.51</v>
      </c>
      <c r="Y2259" t="s">
        <v>2006</v>
      </c>
      <c r="Z2259" t="s">
        <v>2015</v>
      </c>
      <c r="AB2259" t="s">
        <v>14625</v>
      </c>
      <c r="AE2259">
        <v>55</v>
      </c>
      <c r="AF2259" t="s">
        <v>2902</v>
      </c>
      <c r="AG2259" t="s">
        <v>1754</v>
      </c>
      <c r="AH2259">
        <v>30</v>
      </c>
      <c r="AI2259">
        <v>2</v>
      </c>
      <c r="AJ2259">
        <v>0</v>
      </c>
      <c r="AK2259">
        <v>113.78</v>
      </c>
      <c r="AN2259" t="s">
        <v>2926</v>
      </c>
      <c r="AO2259">
        <v>19240</v>
      </c>
      <c r="AU2259">
        <v>1.2</v>
      </c>
      <c r="AV2259" t="s">
        <v>195</v>
      </c>
      <c r="AW2259" t="s">
        <v>115</v>
      </c>
    </row>
    <row r="2260" spans="1:50">
      <c r="A2260" s="1" t="s">
        <v>104</v>
      </c>
      <c r="B2260" t="s">
        <v>164</v>
      </c>
      <c r="C2260" t="s">
        <v>5470</v>
      </c>
      <c r="D2260" t="s">
        <v>239</v>
      </c>
      <c r="E2260" t="s">
        <v>354</v>
      </c>
      <c r="F2260" t="s">
        <v>7244</v>
      </c>
      <c r="G2260" t="s">
        <v>8353</v>
      </c>
      <c r="H2260" t="s">
        <v>10401</v>
      </c>
      <c r="J2260" t="s">
        <v>1641</v>
      </c>
      <c r="K2260">
        <v>10454</v>
      </c>
      <c r="L2260" t="s">
        <v>1670</v>
      </c>
      <c r="M2260" t="s">
        <v>1670</v>
      </c>
      <c r="N2260" t="s">
        <v>12503</v>
      </c>
      <c r="O2260" t="s">
        <v>1946</v>
      </c>
      <c r="P2260" t="s">
        <v>1960</v>
      </c>
      <c r="Q2260" t="s">
        <v>1966</v>
      </c>
      <c r="R2260" t="s">
        <v>51</v>
      </c>
      <c r="S2260" t="s">
        <v>1671</v>
      </c>
      <c r="U2260" t="s">
        <v>1972</v>
      </c>
      <c r="V2260" t="s">
        <v>1984</v>
      </c>
      <c r="W2260" t="s">
        <v>239</v>
      </c>
      <c r="X2260">
        <v>1200</v>
      </c>
      <c r="Y2260" t="s">
        <v>2010</v>
      </c>
      <c r="Z2260" t="s">
        <v>2012</v>
      </c>
      <c r="AA2260" t="s">
        <v>2042</v>
      </c>
      <c r="AB2260" t="s">
        <v>13744</v>
      </c>
      <c r="AD2260" t="s">
        <v>16208</v>
      </c>
      <c r="AE2260">
        <v>2</v>
      </c>
      <c r="AF2260" t="s">
        <v>2903</v>
      </c>
      <c r="AG2260" t="s">
        <v>1754</v>
      </c>
      <c r="AH2260">
        <v>-1</v>
      </c>
      <c r="AI2260">
        <v>2</v>
      </c>
      <c r="AJ2260">
        <v>0</v>
      </c>
      <c r="AK2260">
        <v>113.78</v>
      </c>
      <c r="AL2260" t="s">
        <v>2923</v>
      </c>
      <c r="AM2260" t="s">
        <v>2924</v>
      </c>
      <c r="AN2260" t="s">
        <v>2926</v>
      </c>
      <c r="AO2260">
        <v>19240</v>
      </c>
      <c r="AR2260" t="s">
        <v>18458</v>
      </c>
      <c r="AT2260" t="s">
        <v>3016</v>
      </c>
      <c r="AU2260">
        <v>10.9</v>
      </c>
      <c r="AV2260" t="s">
        <v>354</v>
      </c>
      <c r="AW2260" t="s">
        <v>3050</v>
      </c>
    </row>
    <row r="2261" spans="1:50">
      <c r="A2261" s="1" t="s">
        <v>131</v>
      </c>
      <c r="B2261" t="s">
        <v>164</v>
      </c>
      <c r="C2261" t="s">
        <v>5471</v>
      </c>
      <c r="D2261" t="s">
        <v>309</v>
      </c>
      <c r="E2261" t="s">
        <v>193</v>
      </c>
      <c r="F2261" t="s">
        <v>7540</v>
      </c>
      <c r="G2261" t="s">
        <v>870</v>
      </c>
      <c r="H2261" t="s">
        <v>1199</v>
      </c>
      <c r="I2261">
        <v>314</v>
      </c>
      <c r="J2261" t="s">
        <v>1643</v>
      </c>
      <c r="K2261">
        <v>10029</v>
      </c>
      <c r="L2261" t="s">
        <v>1670</v>
      </c>
      <c r="M2261" t="s">
        <v>1670</v>
      </c>
      <c r="O2261" t="s">
        <v>1675</v>
      </c>
      <c r="P2261" t="s">
        <v>1962</v>
      </c>
      <c r="Q2261" t="s">
        <v>1968</v>
      </c>
      <c r="R2261" t="s">
        <v>50</v>
      </c>
      <c r="S2261" t="s">
        <v>1671</v>
      </c>
      <c r="U2261" t="s">
        <v>1972</v>
      </c>
      <c r="V2261" t="s">
        <v>1984</v>
      </c>
      <c r="W2261" t="s">
        <v>309</v>
      </c>
      <c r="X2261">
        <v>356</v>
      </c>
      <c r="Y2261" t="s">
        <v>2008</v>
      </c>
      <c r="Z2261" t="s">
        <v>2020</v>
      </c>
      <c r="AA2261" t="s">
        <v>2030</v>
      </c>
      <c r="AB2261" t="s">
        <v>14626</v>
      </c>
      <c r="AD2261" t="s">
        <v>17034</v>
      </c>
      <c r="AE2261">
        <v>108</v>
      </c>
      <c r="AF2261" t="s">
        <v>2902</v>
      </c>
      <c r="AG2261" t="s">
        <v>1754</v>
      </c>
      <c r="AH2261">
        <v>3</v>
      </c>
      <c r="AI2261">
        <v>2</v>
      </c>
      <c r="AJ2261">
        <v>0</v>
      </c>
      <c r="AK2261">
        <v>114.17</v>
      </c>
      <c r="AN2261" t="s">
        <v>2927</v>
      </c>
      <c r="AO2261">
        <v>18792</v>
      </c>
      <c r="AU2261">
        <v>5.4</v>
      </c>
      <c r="AV2261" t="s">
        <v>302</v>
      </c>
      <c r="AW2261" t="s">
        <v>3051</v>
      </c>
    </row>
    <row r="2262" spans="1:50">
      <c r="A2262" s="1" t="s">
        <v>62</v>
      </c>
      <c r="B2262" t="s">
        <v>163</v>
      </c>
      <c r="C2262" t="s">
        <v>5472</v>
      </c>
      <c r="D2262" t="s">
        <v>208</v>
      </c>
      <c r="F2262" t="s">
        <v>7666</v>
      </c>
      <c r="G2262" t="s">
        <v>8509</v>
      </c>
      <c r="H2262" t="s">
        <v>10399</v>
      </c>
      <c r="I2262" t="s">
        <v>11261</v>
      </c>
      <c r="J2262" t="s">
        <v>1644</v>
      </c>
      <c r="K2262">
        <v>11235</v>
      </c>
      <c r="L2262" t="s">
        <v>1670</v>
      </c>
      <c r="M2262" t="s">
        <v>1670</v>
      </c>
      <c r="O2262" t="s">
        <v>1938</v>
      </c>
      <c r="P2262" t="s">
        <v>1959</v>
      </c>
      <c r="R2262" t="s">
        <v>50</v>
      </c>
      <c r="S2262" t="s">
        <v>1671</v>
      </c>
      <c r="U2262" t="s">
        <v>1972</v>
      </c>
      <c r="W2262" t="s">
        <v>199</v>
      </c>
      <c r="X2262" t="s">
        <v>13051</v>
      </c>
      <c r="Y2262" t="s">
        <v>2009</v>
      </c>
      <c r="AB2262" t="s">
        <v>14621</v>
      </c>
      <c r="AD2262" t="s">
        <v>17031</v>
      </c>
      <c r="AE2262" t="s">
        <v>13051</v>
      </c>
      <c r="AH2262" t="s">
        <v>13051</v>
      </c>
      <c r="AI2262">
        <v>2</v>
      </c>
      <c r="AJ2262">
        <v>0</v>
      </c>
      <c r="AK2262">
        <v>114.25</v>
      </c>
      <c r="AN2262" t="s">
        <v>2926</v>
      </c>
      <c r="AO2262">
        <v>19320</v>
      </c>
      <c r="AU2262">
        <v>0.5</v>
      </c>
      <c r="AV2262" t="s">
        <v>294</v>
      </c>
      <c r="AW2262" t="s">
        <v>158</v>
      </c>
    </row>
    <row r="2263" spans="1:50">
      <c r="A2263" s="1" t="s">
        <v>129</v>
      </c>
      <c r="B2263" t="s">
        <v>164</v>
      </c>
      <c r="C2263" t="s">
        <v>5473</v>
      </c>
      <c r="D2263" t="s">
        <v>327</v>
      </c>
      <c r="E2263" t="s">
        <v>361</v>
      </c>
      <c r="F2263" t="s">
        <v>7667</v>
      </c>
      <c r="G2263" t="s">
        <v>8883</v>
      </c>
      <c r="H2263" t="s">
        <v>10402</v>
      </c>
      <c r="J2263" t="s">
        <v>1644</v>
      </c>
      <c r="K2263">
        <v>11208</v>
      </c>
      <c r="L2263" t="s">
        <v>1671</v>
      </c>
      <c r="M2263" t="s">
        <v>1671</v>
      </c>
      <c r="N2263" t="s">
        <v>1687</v>
      </c>
      <c r="O2263" t="s">
        <v>1675</v>
      </c>
      <c r="P2263" t="s">
        <v>1958</v>
      </c>
      <c r="Q2263" t="s">
        <v>1965</v>
      </c>
      <c r="R2263" t="s">
        <v>50</v>
      </c>
      <c r="S2263" t="s">
        <v>1671</v>
      </c>
      <c r="U2263" t="s">
        <v>1972</v>
      </c>
      <c r="V2263" t="s">
        <v>1984</v>
      </c>
      <c r="W2263" t="s">
        <v>327</v>
      </c>
      <c r="X2263">
        <v>700</v>
      </c>
      <c r="Y2263" t="s">
        <v>2009</v>
      </c>
      <c r="Z2263" t="s">
        <v>2020</v>
      </c>
      <c r="AA2263" t="s">
        <v>2029</v>
      </c>
      <c r="AB2263" t="s">
        <v>14627</v>
      </c>
      <c r="AD2263" t="s">
        <v>17035</v>
      </c>
      <c r="AE2263">
        <v>4</v>
      </c>
      <c r="AF2263" t="s">
        <v>2903</v>
      </c>
      <c r="AG2263" t="s">
        <v>1754</v>
      </c>
      <c r="AH2263">
        <v>1</v>
      </c>
      <c r="AI2263">
        <v>1</v>
      </c>
      <c r="AJ2263">
        <v>0</v>
      </c>
      <c r="AK2263">
        <v>114.43</v>
      </c>
      <c r="AN2263" t="s">
        <v>2926</v>
      </c>
      <c r="AO2263">
        <v>14292</v>
      </c>
      <c r="AU2263">
        <v>0.6</v>
      </c>
      <c r="AV2263" t="s">
        <v>327</v>
      </c>
      <c r="AW2263" t="s">
        <v>129</v>
      </c>
    </row>
    <row r="2264" spans="1:50">
      <c r="A2264" s="1" t="s">
        <v>82</v>
      </c>
      <c r="B2264" t="s">
        <v>163</v>
      </c>
      <c r="C2264" t="s">
        <v>5474</v>
      </c>
      <c r="D2264" t="s">
        <v>179</v>
      </c>
      <c r="F2264" t="s">
        <v>687</v>
      </c>
      <c r="G2264" t="s">
        <v>8884</v>
      </c>
      <c r="H2264" t="s">
        <v>1144</v>
      </c>
      <c r="I2264" t="s">
        <v>11369</v>
      </c>
      <c r="J2264" t="s">
        <v>1644</v>
      </c>
      <c r="K2264">
        <v>11233</v>
      </c>
      <c r="L2264" t="s">
        <v>1670</v>
      </c>
      <c r="M2264" t="s">
        <v>1672</v>
      </c>
      <c r="N2264" t="s">
        <v>1675</v>
      </c>
      <c r="O2264" t="s">
        <v>1937</v>
      </c>
      <c r="P2264" t="s">
        <v>1962</v>
      </c>
      <c r="R2264" t="s">
        <v>50</v>
      </c>
      <c r="S2264" t="s">
        <v>1670</v>
      </c>
      <c r="U2264" t="s">
        <v>1972</v>
      </c>
      <c r="V2264" t="s">
        <v>1984</v>
      </c>
      <c r="W2264" t="s">
        <v>221</v>
      </c>
      <c r="X2264">
        <v>626.89</v>
      </c>
      <c r="Y2264" t="s">
        <v>2009</v>
      </c>
      <c r="Z2264" t="s">
        <v>2017</v>
      </c>
      <c r="AB2264" t="s">
        <v>14628</v>
      </c>
      <c r="AE2264">
        <v>359</v>
      </c>
      <c r="AF2264" t="s">
        <v>2902</v>
      </c>
      <c r="AH2264" t="s">
        <v>13051</v>
      </c>
      <c r="AI2264">
        <v>1</v>
      </c>
      <c r="AJ2264">
        <v>0</v>
      </c>
      <c r="AK2264">
        <v>114.62</v>
      </c>
      <c r="AN2264" t="s">
        <v>2926</v>
      </c>
      <c r="AO2264">
        <v>14316</v>
      </c>
      <c r="AP2264" t="s">
        <v>18339</v>
      </c>
      <c r="AU2264" t="s">
        <v>13051</v>
      </c>
      <c r="AW2264" t="s">
        <v>3059</v>
      </c>
      <c r="AX2264" t="s">
        <v>1754</v>
      </c>
    </row>
    <row r="2265" spans="1:50">
      <c r="A2265" s="1" t="s">
        <v>82</v>
      </c>
      <c r="B2265" t="s">
        <v>163</v>
      </c>
      <c r="C2265" t="s">
        <v>5475</v>
      </c>
      <c r="D2265" t="s">
        <v>179</v>
      </c>
      <c r="F2265" t="s">
        <v>687</v>
      </c>
      <c r="G2265" t="s">
        <v>8884</v>
      </c>
      <c r="H2265" t="s">
        <v>1144</v>
      </c>
      <c r="I2265" t="s">
        <v>11369</v>
      </c>
      <c r="J2265" t="s">
        <v>1644</v>
      </c>
      <c r="K2265">
        <v>11233</v>
      </c>
      <c r="L2265" t="s">
        <v>1670</v>
      </c>
      <c r="M2265" t="s">
        <v>1672</v>
      </c>
      <c r="N2265" t="s">
        <v>1754</v>
      </c>
      <c r="O2265" t="s">
        <v>1938</v>
      </c>
      <c r="P2265" t="s">
        <v>1961</v>
      </c>
      <c r="R2265" t="s">
        <v>50</v>
      </c>
      <c r="S2265" t="s">
        <v>1670</v>
      </c>
      <c r="U2265" t="s">
        <v>1972</v>
      </c>
      <c r="W2265" t="s">
        <v>248</v>
      </c>
      <c r="X2265">
        <v>656.89</v>
      </c>
      <c r="Y2265" t="s">
        <v>2009</v>
      </c>
      <c r="Z2265" t="s">
        <v>2017</v>
      </c>
      <c r="AB2265" t="s">
        <v>14628</v>
      </c>
      <c r="AE2265">
        <v>359</v>
      </c>
      <c r="AF2265" t="s">
        <v>2902</v>
      </c>
      <c r="AH2265" t="s">
        <v>13051</v>
      </c>
      <c r="AI2265">
        <v>1</v>
      </c>
      <c r="AJ2265">
        <v>0</v>
      </c>
      <c r="AK2265">
        <v>114.62</v>
      </c>
      <c r="AN2265" t="s">
        <v>2926</v>
      </c>
      <c r="AO2265">
        <v>14316</v>
      </c>
      <c r="AP2265" t="s">
        <v>18071</v>
      </c>
      <c r="AU2265" t="s">
        <v>13051</v>
      </c>
      <c r="AW2265" t="s">
        <v>3059</v>
      </c>
      <c r="AX2265" t="s">
        <v>1754</v>
      </c>
    </row>
    <row r="2266" spans="1:50">
      <c r="A2266" s="1" t="s">
        <v>91</v>
      </c>
      <c r="B2266" t="s">
        <v>163</v>
      </c>
      <c r="C2266" t="s">
        <v>5476</v>
      </c>
      <c r="D2266" t="s">
        <v>176</v>
      </c>
      <c r="F2266" t="s">
        <v>7301</v>
      </c>
      <c r="G2266" t="s">
        <v>889</v>
      </c>
      <c r="H2266" t="s">
        <v>10403</v>
      </c>
      <c r="I2266" t="s">
        <v>1520</v>
      </c>
      <c r="J2266" t="s">
        <v>1643</v>
      </c>
      <c r="K2266">
        <v>10034</v>
      </c>
      <c r="L2266" t="s">
        <v>1670</v>
      </c>
      <c r="M2266" t="s">
        <v>1670</v>
      </c>
      <c r="P2266" t="s">
        <v>1959</v>
      </c>
      <c r="R2266" t="s">
        <v>50</v>
      </c>
      <c r="S2266" t="s">
        <v>1671</v>
      </c>
      <c r="U2266" t="s">
        <v>1972</v>
      </c>
      <c r="W2266" t="s">
        <v>176</v>
      </c>
      <c r="X2266">
        <v>1231.91</v>
      </c>
      <c r="Y2266" t="s">
        <v>2008</v>
      </c>
      <c r="Z2266" t="s">
        <v>2013</v>
      </c>
      <c r="AB2266" t="s">
        <v>14611</v>
      </c>
      <c r="AD2266" t="s">
        <v>17019</v>
      </c>
      <c r="AE2266" t="s">
        <v>13051</v>
      </c>
      <c r="AF2266" t="s">
        <v>2902</v>
      </c>
      <c r="AG2266" t="s">
        <v>1754</v>
      </c>
      <c r="AH2266">
        <v>14</v>
      </c>
      <c r="AI2266">
        <v>1</v>
      </c>
      <c r="AJ2266">
        <v>0</v>
      </c>
      <c r="AK2266">
        <v>114.66</v>
      </c>
      <c r="AN2266" t="s">
        <v>2927</v>
      </c>
      <c r="AO2266">
        <v>13920</v>
      </c>
      <c r="AU2266">
        <v>19.9</v>
      </c>
      <c r="AV2266" t="s">
        <v>171</v>
      </c>
      <c r="AW2266" t="s">
        <v>3042</v>
      </c>
    </row>
    <row r="2267" spans="1:50">
      <c r="A2267" s="1" t="s">
        <v>64</v>
      </c>
      <c r="B2267" t="s">
        <v>163</v>
      </c>
      <c r="C2267" t="s">
        <v>5477</v>
      </c>
      <c r="D2267" t="s">
        <v>6204</v>
      </c>
      <c r="F2267" t="s">
        <v>438</v>
      </c>
      <c r="G2267" t="s">
        <v>8885</v>
      </c>
      <c r="H2267" t="s">
        <v>9636</v>
      </c>
      <c r="I2267" t="s">
        <v>1488</v>
      </c>
      <c r="J2267" t="s">
        <v>1643</v>
      </c>
      <c r="K2267">
        <v>10040</v>
      </c>
      <c r="L2267" t="s">
        <v>1670</v>
      </c>
      <c r="M2267" t="s">
        <v>1672</v>
      </c>
      <c r="O2267" t="s">
        <v>1675</v>
      </c>
      <c r="P2267" t="s">
        <v>1958</v>
      </c>
      <c r="R2267" t="s">
        <v>50</v>
      </c>
      <c r="S2267" t="s">
        <v>1671</v>
      </c>
      <c r="U2267" t="s">
        <v>1972</v>
      </c>
      <c r="W2267" t="s">
        <v>1989</v>
      </c>
      <c r="X2267">
        <v>862</v>
      </c>
      <c r="Y2267" t="s">
        <v>2008</v>
      </c>
      <c r="Z2267" t="s">
        <v>2013</v>
      </c>
      <c r="AB2267" t="s">
        <v>14629</v>
      </c>
      <c r="AD2267" t="s">
        <v>17036</v>
      </c>
      <c r="AE2267">
        <v>60</v>
      </c>
      <c r="AF2267" t="s">
        <v>2902</v>
      </c>
      <c r="AG2267" t="s">
        <v>2915</v>
      </c>
      <c r="AH2267">
        <v>40</v>
      </c>
      <c r="AI2267">
        <v>2</v>
      </c>
      <c r="AJ2267">
        <v>0</v>
      </c>
      <c r="AK2267">
        <v>114.68</v>
      </c>
      <c r="AN2267" t="s">
        <v>2927</v>
      </c>
      <c r="AO2267">
        <v>18876</v>
      </c>
      <c r="AU2267">
        <v>9.199999999999999</v>
      </c>
      <c r="AV2267" t="s">
        <v>325</v>
      </c>
      <c r="AW2267" t="s">
        <v>18678</v>
      </c>
    </row>
    <row r="2268" spans="1:50">
      <c r="A2268" s="1" t="s">
        <v>101</v>
      </c>
      <c r="B2268" t="s">
        <v>163</v>
      </c>
      <c r="C2268" t="s">
        <v>5478</v>
      </c>
      <c r="D2268" t="s">
        <v>335</v>
      </c>
      <c r="F2268" t="s">
        <v>427</v>
      </c>
      <c r="G2268" t="s">
        <v>770</v>
      </c>
      <c r="H2268" t="s">
        <v>10175</v>
      </c>
      <c r="I2268" t="s">
        <v>1517</v>
      </c>
      <c r="J2268" t="s">
        <v>1643</v>
      </c>
      <c r="K2268">
        <v>10031</v>
      </c>
      <c r="L2268" t="s">
        <v>1670</v>
      </c>
      <c r="M2268" t="s">
        <v>1670</v>
      </c>
      <c r="N2268" t="s">
        <v>12504</v>
      </c>
      <c r="O2268" t="s">
        <v>1939</v>
      </c>
      <c r="P2268" t="s">
        <v>1960</v>
      </c>
      <c r="R2268" t="s">
        <v>50</v>
      </c>
      <c r="S2268" t="s">
        <v>1670</v>
      </c>
      <c r="U2268" t="s">
        <v>1972</v>
      </c>
      <c r="V2268" t="s">
        <v>1984</v>
      </c>
      <c r="W2268" t="s">
        <v>311</v>
      </c>
      <c r="X2268">
        <v>2126</v>
      </c>
      <c r="Y2268" t="s">
        <v>2008</v>
      </c>
      <c r="Z2268" t="s">
        <v>2016</v>
      </c>
      <c r="AB2268" t="s">
        <v>14630</v>
      </c>
      <c r="AD2268" t="s">
        <v>17037</v>
      </c>
      <c r="AE2268">
        <v>42</v>
      </c>
      <c r="AF2268" t="s">
        <v>2902</v>
      </c>
      <c r="AG2268" t="s">
        <v>2915</v>
      </c>
      <c r="AH2268">
        <v>20</v>
      </c>
      <c r="AI2268">
        <v>2</v>
      </c>
      <c r="AJ2268">
        <v>0</v>
      </c>
      <c r="AK2268">
        <v>114.68</v>
      </c>
      <c r="AN2268" t="s">
        <v>2927</v>
      </c>
      <c r="AO2268">
        <v>18876</v>
      </c>
      <c r="AU2268">
        <v>2.2</v>
      </c>
      <c r="AV2268" t="s">
        <v>179</v>
      </c>
      <c r="AW2268" t="s">
        <v>3051</v>
      </c>
    </row>
    <row r="2269" spans="1:50">
      <c r="A2269" s="1" t="s">
        <v>95</v>
      </c>
      <c r="B2269" t="s">
        <v>164</v>
      </c>
      <c r="C2269" t="s">
        <v>5479</v>
      </c>
      <c r="D2269" t="s">
        <v>271</v>
      </c>
      <c r="E2269" t="s">
        <v>258</v>
      </c>
      <c r="F2269" t="s">
        <v>689</v>
      </c>
      <c r="G2269" t="s">
        <v>8886</v>
      </c>
      <c r="H2269" t="s">
        <v>10404</v>
      </c>
      <c r="I2269" t="s">
        <v>11370</v>
      </c>
      <c r="J2269" t="s">
        <v>1641</v>
      </c>
      <c r="K2269">
        <v>10452</v>
      </c>
      <c r="L2269" t="s">
        <v>1670</v>
      </c>
      <c r="M2269" t="s">
        <v>1670</v>
      </c>
      <c r="O2269" t="s">
        <v>1675</v>
      </c>
      <c r="P2269" t="s">
        <v>1958</v>
      </c>
      <c r="Q2269" t="s">
        <v>1965</v>
      </c>
      <c r="R2269" t="s">
        <v>50</v>
      </c>
      <c r="S2269" t="s">
        <v>1671</v>
      </c>
      <c r="U2269" t="s">
        <v>1972</v>
      </c>
      <c r="W2269" t="s">
        <v>1993</v>
      </c>
      <c r="X2269">
        <v>1016</v>
      </c>
      <c r="Y2269" t="s">
        <v>2006</v>
      </c>
      <c r="Z2269" t="s">
        <v>2015</v>
      </c>
      <c r="AA2269" t="s">
        <v>2029</v>
      </c>
      <c r="AB2269" t="s">
        <v>14631</v>
      </c>
      <c r="AD2269" t="s">
        <v>17038</v>
      </c>
      <c r="AE2269" t="s">
        <v>13051</v>
      </c>
      <c r="AF2269" t="s">
        <v>2902</v>
      </c>
      <c r="AG2269" t="s">
        <v>1754</v>
      </c>
      <c r="AH2269">
        <v>15</v>
      </c>
      <c r="AI2269">
        <v>2</v>
      </c>
      <c r="AJ2269">
        <v>0</v>
      </c>
      <c r="AK2269">
        <v>115.01</v>
      </c>
      <c r="AN2269" t="s">
        <v>2927</v>
      </c>
      <c r="AO2269">
        <v>18930</v>
      </c>
      <c r="AU2269">
        <v>1</v>
      </c>
      <c r="AV2269" t="s">
        <v>271</v>
      </c>
      <c r="AW2269" t="s">
        <v>95</v>
      </c>
    </row>
    <row r="2270" spans="1:50">
      <c r="A2270" s="1" t="s">
        <v>89</v>
      </c>
      <c r="B2270" t="s">
        <v>164</v>
      </c>
      <c r="C2270" t="s">
        <v>5480</v>
      </c>
      <c r="D2270" t="s">
        <v>3031</v>
      </c>
      <c r="E2270" t="s">
        <v>3031</v>
      </c>
      <c r="F2270" t="s">
        <v>7668</v>
      </c>
      <c r="G2270" t="s">
        <v>8887</v>
      </c>
      <c r="H2270" t="s">
        <v>10405</v>
      </c>
      <c r="I2270" t="s">
        <v>11371</v>
      </c>
      <c r="J2270" t="s">
        <v>1668</v>
      </c>
      <c r="K2270">
        <v>11367</v>
      </c>
      <c r="L2270" t="s">
        <v>1670</v>
      </c>
      <c r="M2270" t="s">
        <v>1672</v>
      </c>
      <c r="N2270" t="s">
        <v>12505</v>
      </c>
      <c r="O2270" t="s">
        <v>1939</v>
      </c>
      <c r="P2270" t="s">
        <v>1958</v>
      </c>
      <c r="Q2270" t="s">
        <v>1965</v>
      </c>
      <c r="R2270" t="s">
        <v>50</v>
      </c>
      <c r="U2270" t="s">
        <v>1972</v>
      </c>
      <c r="V2270" t="s">
        <v>1984</v>
      </c>
      <c r="W2270" t="s">
        <v>3031</v>
      </c>
      <c r="X2270">
        <v>362</v>
      </c>
      <c r="Y2270" t="s">
        <v>2007</v>
      </c>
      <c r="Z2270" t="s">
        <v>2014</v>
      </c>
      <c r="AA2270" t="s">
        <v>2029</v>
      </c>
      <c r="AB2270" t="s">
        <v>14632</v>
      </c>
      <c r="AC2270" t="s">
        <v>15262</v>
      </c>
      <c r="AD2270" t="s">
        <v>17039</v>
      </c>
      <c r="AE2270">
        <v>28</v>
      </c>
      <c r="AF2270" t="s">
        <v>2905</v>
      </c>
      <c r="AG2270" t="s">
        <v>1754</v>
      </c>
      <c r="AH2270">
        <v>30</v>
      </c>
      <c r="AI2270">
        <v>1</v>
      </c>
      <c r="AJ2270">
        <v>0</v>
      </c>
      <c r="AK2270">
        <v>115.08</v>
      </c>
      <c r="AN2270" t="s">
        <v>2926</v>
      </c>
      <c r="AO2270">
        <v>14373</v>
      </c>
      <c r="AU2270">
        <v>1</v>
      </c>
      <c r="AV2270" t="s">
        <v>3031</v>
      </c>
      <c r="AW2270" t="s">
        <v>89</v>
      </c>
      <c r="AX2270" t="s">
        <v>18685</v>
      </c>
    </row>
    <row r="2271" spans="1:50">
      <c r="A2271" s="1" t="s">
        <v>146</v>
      </c>
      <c r="B2271" t="s">
        <v>164</v>
      </c>
      <c r="C2271" t="s">
        <v>5481</v>
      </c>
      <c r="D2271" t="s">
        <v>184</v>
      </c>
      <c r="E2271" t="s">
        <v>407</v>
      </c>
      <c r="F2271" t="s">
        <v>7669</v>
      </c>
      <c r="G2271" t="s">
        <v>8888</v>
      </c>
      <c r="H2271" t="s">
        <v>10406</v>
      </c>
      <c r="I2271" t="s">
        <v>1534</v>
      </c>
      <c r="J2271" t="s">
        <v>1641</v>
      </c>
      <c r="K2271">
        <v>10451</v>
      </c>
      <c r="L2271" t="s">
        <v>1670</v>
      </c>
      <c r="M2271" t="s">
        <v>1670</v>
      </c>
      <c r="N2271" t="s">
        <v>12506</v>
      </c>
      <c r="O2271" t="s">
        <v>1936</v>
      </c>
      <c r="P2271" t="s">
        <v>1960</v>
      </c>
      <c r="Q2271" t="s">
        <v>1969</v>
      </c>
      <c r="R2271" t="s">
        <v>50</v>
      </c>
      <c r="S2271" t="s">
        <v>1671</v>
      </c>
      <c r="U2271" t="s">
        <v>1972</v>
      </c>
      <c r="V2271" t="s">
        <v>1983</v>
      </c>
      <c r="W2271" t="s">
        <v>216</v>
      </c>
      <c r="X2271">
        <v>927.1799999999999</v>
      </c>
      <c r="Y2271" t="s">
        <v>2006</v>
      </c>
      <c r="Z2271" t="s">
        <v>2024</v>
      </c>
      <c r="AA2271" t="s">
        <v>2032</v>
      </c>
      <c r="AB2271" t="s">
        <v>14633</v>
      </c>
      <c r="AD2271" t="s">
        <v>17040</v>
      </c>
      <c r="AE2271">
        <v>30</v>
      </c>
      <c r="AF2271" t="s">
        <v>2902</v>
      </c>
      <c r="AG2271" t="s">
        <v>1754</v>
      </c>
      <c r="AH2271">
        <v>4</v>
      </c>
      <c r="AI2271">
        <v>2</v>
      </c>
      <c r="AJ2271">
        <v>0</v>
      </c>
      <c r="AK2271">
        <v>115.14</v>
      </c>
      <c r="AN2271" t="s">
        <v>2927</v>
      </c>
      <c r="AO2271">
        <v>18952</v>
      </c>
      <c r="AQ2271" t="s">
        <v>2978</v>
      </c>
      <c r="AR2271" t="s">
        <v>2982</v>
      </c>
      <c r="AS2271" t="s">
        <v>2992</v>
      </c>
      <c r="AT2271" t="s">
        <v>18588</v>
      </c>
      <c r="AU2271">
        <v>27.65</v>
      </c>
      <c r="AV2271" t="s">
        <v>342</v>
      </c>
      <c r="AW2271" t="s">
        <v>3078</v>
      </c>
    </row>
    <row r="2272" spans="1:50">
      <c r="A2272" s="1" t="s">
        <v>63</v>
      </c>
      <c r="B2272" t="s">
        <v>164</v>
      </c>
      <c r="C2272" t="s">
        <v>5482</v>
      </c>
      <c r="D2272" t="s">
        <v>378</v>
      </c>
      <c r="E2272" t="s">
        <v>6769</v>
      </c>
      <c r="F2272" t="s">
        <v>7670</v>
      </c>
      <c r="G2272" t="s">
        <v>6804</v>
      </c>
      <c r="H2272" t="s">
        <v>10407</v>
      </c>
      <c r="I2272" t="s">
        <v>1622</v>
      </c>
      <c r="J2272" t="s">
        <v>1641</v>
      </c>
      <c r="K2272">
        <v>10452</v>
      </c>
      <c r="L2272" t="s">
        <v>1670</v>
      </c>
      <c r="M2272" t="s">
        <v>1670</v>
      </c>
      <c r="O2272" t="s">
        <v>1941</v>
      </c>
      <c r="P2272" t="s">
        <v>1958</v>
      </c>
      <c r="Q2272" t="s">
        <v>1965</v>
      </c>
      <c r="R2272" t="s">
        <v>50</v>
      </c>
      <c r="S2272" t="s">
        <v>1671</v>
      </c>
      <c r="U2272" t="s">
        <v>1972</v>
      </c>
      <c r="W2272" t="s">
        <v>216</v>
      </c>
      <c r="X2272">
        <v>600</v>
      </c>
      <c r="Y2272" t="s">
        <v>2006</v>
      </c>
      <c r="Z2272" t="s">
        <v>2015</v>
      </c>
      <c r="AA2272" t="s">
        <v>2029</v>
      </c>
      <c r="AB2272" t="s">
        <v>14634</v>
      </c>
      <c r="AD2272" t="s">
        <v>17041</v>
      </c>
      <c r="AE2272">
        <v>70</v>
      </c>
      <c r="AF2272" t="s">
        <v>2903</v>
      </c>
      <c r="AG2272" t="s">
        <v>1754</v>
      </c>
      <c r="AH2272">
        <v>26</v>
      </c>
      <c r="AI2272">
        <v>1</v>
      </c>
      <c r="AJ2272">
        <v>0</v>
      </c>
      <c r="AK2272">
        <v>115.32</v>
      </c>
      <c r="AN2272" t="s">
        <v>2926</v>
      </c>
      <c r="AO2272">
        <v>14000</v>
      </c>
      <c r="AU2272">
        <v>1.5</v>
      </c>
      <c r="AV2272" t="s">
        <v>169</v>
      </c>
      <c r="AW2272" t="s">
        <v>3046</v>
      </c>
    </row>
    <row r="2273" spans="1:50">
      <c r="A2273" s="1" t="s">
        <v>60</v>
      </c>
      <c r="B2273" t="s">
        <v>163</v>
      </c>
      <c r="C2273" t="s">
        <v>5483</v>
      </c>
      <c r="D2273" t="s">
        <v>323</v>
      </c>
      <c r="F2273" t="s">
        <v>7671</v>
      </c>
      <c r="G2273" t="s">
        <v>8889</v>
      </c>
      <c r="H2273" t="s">
        <v>10408</v>
      </c>
      <c r="I2273" t="s">
        <v>1575</v>
      </c>
      <c r="J2273" t="s">
        <v>1645</v>
      </c>
      <c r="K2273">
        <v>11691</v>
      </c>
      <c r="L2273" t="s">
        <v>1670</v>
      </c>
      <c r="M2273" t="s">
        <v>1670</v>
      </c>
      <c r="N2273" t="s">
        <v>12507</v>
      </c>
      <c r="O2273" t="s">
        <v>1940</v>
      </c>
      <c r="P2273" t="s">
        <v>1958</v>
      </c>
      <c r="R2273" t="s">
        <v>50</v>
      </c>
      <c r="S2273" t="s">
        <v>1671</v>
      </c>
      <c r="U2273" t="s">
        <v>1972</v>
      </c>
      <c r="V2273" t="s">
        <v>1984</v>
      </c>
      <c r="W2273" t="s">
        <v>323</v>
      </c>
      <c r="X2273">
        <v>940</v>
      </c>
      <c r="Y2273" t="s">
        <v>2007</v>
      </c>
      <c r="Z2273" t="s">
        <v>2014</v>
      </c>
      <c r="AB2273" t="s">
        <v>14635</v>
      </c>
      <c r="AC2273" t="s">
        <v>1754</v>
      </c>
      <c r="AD2273" t="s">
        <v>17042</v>
      </c>
      <c r="AE2273">
        <v>68</v>
      </c>
      <c r="AF2273" t="s">
        <v>2902</v>
      </c>
      <c r="AG2273" t="s">
        <v>1754</v>
      </c>
      <c r="AH2273">
        <v>6</v>
      </c>
      <c r="AI2273">
        <v>1</v>
      </c>
      <c r="AJ2273">
        <v>0</v>
      </c>
      <c r="AK2273">
        <v>115.32</v>
      </c>
      <c r="AN2273" t="s">
        <v>2926</v>
      </c>
      <c r="AO2273">
        <v>14000</v>
      </c>
      <c r="AU2273">
        <v>2.25</v>
      </c>
      <c r="AV2273" t="s">
        <v>395</v>
      </c>
      <c r="AW2273" t="s">
        <v>85</v>
      </c>
    </row>
    <row r="2274" spans="1:50">
      <c r="A2274" s="1" t="s">
        <v>96</v>
      </c>
      <c r="B2274" t="s">
        <v>164</v>
      </c>
      <c r="C2274" t="s">
        <v>5484</v>
      </c>
      <c r="D2274" t="s">
        <v>6193</v>
      </c>
      <c r="E2274" t="s">
        <v>356</v>
      </c>
      <c r="F2274" t="s">
        <v>588</v>
      </c>
      <c r="G2274" t="s">
        <v>807</v>
      </c>
      <c r="H2274" t="s">
        <v>9800</v>
      </c>
      <c r="I2274" t="s">
        <v>11372</v>
      </c>
      <c r="J2274" t="s">
        <v>1644</v>
      </c>
      <c r="K2274">
        <v>11238</v>
      </c>
      <c r="L2274" t="s">
        <v>1670</v>
      </c>
      <c r="M2274" t="s">
        <v>1672</v>
      </c>
      <c r="O2274" t="s">
        <v>1940</v>
      </c>
      <c r="P2274" t="s">
        <v>1962</v>
      </c>
      <c r="Q2274" t="s">
        <v>1965</v>
      </c>
      <c r="R2274" t="s">
        <v>50</v>
      </c>
      <c r="S2274" t="s">
        <v>1671</v>
      </c>
      <c r="U2274" t="s">
        <v>1972</v>
      </c>
      <c r="W2274" t="s">
        <v>356</v>
      </c>
      <c r="X2274">
        <v>935.79</v>
      </c>
      <c r="Y2274" t="s">
        <v>2009</v>
      </c>
      <c r="Z2274" t="s">
        <v>2021</v>
      </c>
      <c r="AA2274" t="s">
        <v>2029</v>
      </c>
      <c r="AB2274" t="s">
        <v>14636</v>
      </c>
      <c r="AD2274" t="s">
        <v>17043</v>
      </c>
      <c r="AE2274">
        <v>39</v>
      </c>
      <c r="AF2274" t="s">
        <v>2902</v>
      </c>
      <c r="AG2274" t="s">
        <v>1754</v>
      </c>
      <c r="AH2274">
        <v>8</v>
      </c>
      <c r="AI2274">
        <v>1</v>
      </c>
      <c r="AJ2274">
        <v>0</v>
      </c>
      <c r="AK2274">
        <v>115.32</v>
      </c>
      <c r="AN2274" t="s">
        <v>2926</v>
      </c>
      <c r="AO2274">
        <v>14000</v>
      </c>
      <c r="AU2274">
        <v>11.5</v>
      </c>
      <c r="AV2274" t="s">
        <v>323</v>
      </c>
      <c r="AW2274" t="s">
        <v>3079</v>
      </c>
      <c r="AX2274" t="s">
        <v>18685</v>
      </c>
    </row>
    <row r="2275" spans="1:50">
      <c r="A2275" s="1" t="s">
        <v>84</v>
      </c>
      <c r="B2275" t="s">
        <v>163</v>
      </c>
      <c r="C2275" t="s">
        <v>5485</v>
      </c>
      <c r="D2275" t="s">
        <v>261</v>
      </c>
      <c r="F2275" t="s">
        <v>7301</v>
      </c>
      <c r="G2275" t="s">
        <v>8890</v>
      </c>
      <c r="H2275" t="s">
        <v>10409</v>
      </c>
      <c r="I2275">
        <v>10</v>
      </c>
      <c r="J2275" t="s">
        <v>1644</v>
      </c>
      <c r="K2275">
        <v>11215</v>
      </c>
      <c r="L2275" t="s">
        <v>1670</v>
      </c>
      <c r="M2275" t="s">
        <v>1672</v>
      </c>
      <c r="N2275" t="s">
        <v>12508</v>
      </c>
      <c r="O2275" t="s">
        <v>1940</v>
      </c>
      <c r="P2275" t="s">
        <v>1960</v>
      </c>
      <c r="R2275" t="s">
        <v>50</v>
      </c>
      <c r="U2275" t="s">
        <v>1972</v>
      </c>
      <c r="W2275" t="s">
        <v>2005</v>
      </c>
      <c r="X2275">
        <v>552</v>
      </c>
      <c r="Y2275" t="s">
        <v>2009</v>
      </c>
      <c r="Z2275" t="s">
        <v>2014</v>
      </c>
      <c r="AB2275" t="s">
        <v>14637</v>
      </c>
      <c r="AE2275">
        <v>16</v>
      </c>
      <c r="AG2275" t="s">
        <v>1754</v>
      </c>
      <c r="AH2275">
        <v>30</v>
      </c>
      <c r="AI2275">
        <v>1</v>
      </c>
      <c r="AJ2275">
        <v>0</v>
      </c>
      <c r="AK2275">
        <v>115.32</v>
      </c>
      <c r="AN2275" t="s">
        <v>2926</v>
      </c>
      <c r="AO2275">
        <v>14000</v>
      </c>
      <c r="AU2275">
        <v>56.7</v>
      </c>
      <c r="AV2275" t="s">
        <v>346</v>
      </c>
      <c r="AW2275" t="s">
        <v>3074</v>
      </c>
      <c r="AX2275" t="s">
        <v>18685</v>
      </c>
    </row>
    <row r="2276" spans="1:50">
      <c r="A2276" s="1" t="s">
        <v>115</v>
      </c>
      <c r="B2276" t="s">
        <v>164</v>
      </c>
      <c r="C2276" t="s">
        <v>5486</v>
      </c>
      <c r="D2276" t="s">
        <v>204</v>
      </c>
      <c r="E2276" t="s">
        <v>376</v>
      </c>
      <c r="F2276" t="s">
        <v>7672</v>
      </c>
      <c r="G2276" t="s">
        <v>8891</v>
      </c>
      <c r="H2276" t="s">
        <v>10410</v>
      </c>
      <c r="I2276" t="s">
        <v>1510</v>
      </c>
      <c r="J2276" t="s">
        <v>1641</v>
      </c>
      <c r="K2276">
        <v>10453</v>
      </c>
      <c r="L2276" t="s">
        <v>1670</v>
      </c>
      <c r="M2276" t="s">
        <v>1670</v>
      </c>
      <c r="O2276" t="s">
        <v>1675</v>
      </c>
      <c r="P2276" t="s">
        <v>1958</v>
      </c>
      <c r="Q2276" t="s">
        <v>1965</v>
      </c>
      <c r="R2276" t="s">
        <v>50</v>
      </c>
      <c r="S2276" t="s">
        <v>1671</v>
      </c>
      <c r="U2276" t="s">
        <v>1972</v>
      </c>
      <c r="W2276" t="s">
        <v>372</v>
      </c>
      <c r="X2276">
        <v>743.67</v>
      </c>
      <c r="Y2276" t="s">
        <v>2006</v>
      </c>
      <c r="Z2276" t="s">
        <v>2015</v>
      </c>
      <c r="AA2276" t="s">
        <v>2029</v>
      </c>
      <c r="AB2276" t="s">
        <v>14638</v>
      </c>
      <c r="AD2276" t="s">
        <v>17044</v>
      </c>
      <c r="AE2276">
        <v>54</v>
      </c>
      <c r="AF2276" t="s">
        <v>2902</v>
      </c>
      <c r="AG2276" t="s">
        <v>1754</v>
      </c>
      <c r="AH2276">
        <v>12</v>
      </c>
      <c r="AI2276">
        <v>1</v>
      </c>
      <c r="AJ2276">
        <v>0</v>
      </c>
      <c r="AK2276">
        <v>115.35</v>
      </c>
      <c r="AN2276" t="s">
        <v>2926</v>
      </c>
      <c r="AO2276">
        <v>14004</v>
      </c>
      <c r="AU2276">
        <v>1.4</v>
      </c>
      <c r="AV2276" t="s">
        <v>376</v>
      </c>
      <c r="AW2276" t="s">
        <v>115</v>
      </c>
    </row>
    <row r="2277" spans="1:50">
      <c r="A2277" s="1" t="s">
        <v>54</v>
      </c>
      <c r="B2277" t="s">
        <v>164</v>
      </c>
      <c r="C2277" t="s">
        <v>5487</v>
      </c>
      <c r="D2277" t="s">
        <v>304</v>
      </c>
      <c r="E2277" t="s">
        <v>320</v>
      </c>
      <c r="F2277" t="s">
        <v>7673</v>
      </c>
      <c r="G2277" t="s">
        <v>8892</v>
      </c>
      <c r="H2277" t="s">
        <v>10411</v>
      </c>
      <c r="I2277" t="s">
        <v>1484</v>
      </c>
      <c r="J2277" t="s">
        <v>1643</v>
      </c>
      <c r="K2277">
        <v>10035</v>
      </c>
      <c r="L2277" t="s">
        <v>1670</v>
      </c>
      <c r="M2277" t="s">
        <v>1670</v>
      </c>
      <c r="O2277" t="s">
        <v>1936</v>
      </c>
      <c r="P2277" t="s">
        <v>1960</v>
      </c>
      <c r="Q2277" t="s">
        <v>1969</v>
      </c>
      <c r="R2277" t="s">
        <v>50</v>
      </c>
      <c r="S2277" t="s">
        <v>1671</v>
      </c>
      <c r="U2277" t="s">
        <v>1972</v>
      </c>
      <c r="W2277" t="s">
        <v>304</v>
      </c>
      <c r="X2277">
        <v>1657</v>
      </c>
      <c r="Y2277" t="s">
        <v>2008</v>
      </c>
      <c r="Z2277" t="s">
        <v>2020</v>
      </c>
      <c r="AA2277" t="s">
        <v>2032</v>
      </c>
      <c r="AB2277" t="s">
        <v>14639</v>
      </c>
      <c r="AD2277" t="s">
        <v>17045</v>
      </c>
      <c r="AE2277" t="s">
        <v>13051</v>
      </c>
      <c r="AG2277" t="s">
        <v>1754</v>
      </c>
      <c r="AH2277">
        <v>2</v>
      </c>
      <c r="AI2277">
        <v>3</v>
      </c>
      <c r="AJ2277">
        <v>0</v>
      </c>
      <c r="AK2277">
        <v>115.5</v>
      </c>
      <c r="AN2277" t="s">
        <v>2926</v>
      </c>
      <c r="AO2277">
        <v>24000</v>
      </c>
      <c r="AU2277">
        <v>1.8</v>
      </c>
      <c r="AV2277" t="s">
        <v>1993</v>
      </c>
      <c r="AW2277" t="s">
        <v>3042</v>
      </c>
    </row>
    <row r="2278" spans="1:50">
      <c r="A2278" s="1" t="s">
        <v>126</v>
      </c>
      <c r="B2278" t="s">
        <v>163</v>
      </c>
      <c r="C2278" t="s">
        <v>5488</v>
      </c>
      <c r="D2278" t="s">
        <v>344</v>
      </c>
      <c r="F2278" t="s">
        <v>7674</v>
      </c>
      <c r="G2278" t="s">
        <v>8321</v>
      </c>
      <c r="H2278" t="s">
        <v>9627</v>
      </c>
      <c r="I2278" t="s">
        <v>11373</v>
      </c>
      <c r="J2278" t="s">
        <v>1641</v>
      </c>
      <c r="K2278">
        <v>10451</v>
      </c>
      <c r="L2278" t="s">
        <v>1670</v>
      </c>
      <c r="M2278" t="s">
        <v>1670</v>
      </c>
      <c r="N2278" t="s">
        <v>11981</v>
      </c>
      <c r="O2278" t="s">
        <v>1939</v>
      </c>
      <c r="P2278" t="s">
        <v>1960</v>
      </c>
      <c r="R2278" t="s">
        <v>50</v>
      </c>
      <c r="S2278" t="s">
        <v>1670</v>
      </c>
      <c r="U2278" t="s">
        <v>1972</v>
      </c>
      <c r="W2278" t="s">
        <v>359</v>
      </c>
      <c r="X2278">
        <v>997</v>
      </c>
      <c r="Y2278" t="s">
        <v>2006</v>
      </c>
      <c r="Z2278" t="s">
        <v>2015</v>
      </c>
      <c r="AB2278" t="s">
        <v>14640</v>
      </c>
      <c r="AE2278">
        <v>100</v>
      </c>
      <c r="AF2278" t="s">
        <v>2902</v>
      </c>
      <c r="AG2278" t="s">
        <v>1754</v>
      </c>
      <c r="AH2278">
        <v>4</v>
      </c>
      <c r="AI2278">
        <v>3</v>
      </c>
      <c r="AJ2278">
        <v>0</v>
      </c>
      <c r="AK2278">
        <v>115.5</v>
      </c>
      <c r="AN2278" t="s">
        <v>2926</v>
      </c>
      <c r="AO2278">
        <v>24000</v>
      </c>
      <c r="AP2278" t="s">
        <v>18146</v>
      </c>
      <c r="AU2278" t="s">
        <v>13051</v>
      </c>
      <c r="AW2278" t="s">
        <v>3047</v>
      </c>
    </row>
    <row r="2279" spans="1:50">
      <c r="A2279" s="1" t="s">
        <v>3158</v>
      </c>
      <c r="B2279" t="s">
        <v>164</v>
      </c>
      <c r="C2279" t="s">
        <v>5489</v>
      </c>
      <c r="D2279" t="s">
        <v>387</v>
      </c>
      <c r="E2279" t="s">
        <v>378</v>
      </c>
      <c r="F2279" t="s">
        <v>7577</v>
      </c>
      <c r="G2279" t="s">
        <v>8893</v>
      </c>
      <c r="H2279" t="s">
        <v>10412</v>
      </c>
      <c r="I2279" t="s">
        <v>1622</v>
      </c>
      <c r="J2279" t="s">
        <v>1643</v>
      </c>
      <c r="K2279">
        <v>10033</v>
      </c>
      <c r="L2279" t="s">
        <v>1670</v>
      </c>
      <c r="M2279" t="s">
        <v>1670</v>
      </c>
      <c r="N2279" t="s">
        <v>12509</v>
      </c>
      <c r="O2279" t="s">
        <v>1940</v>
      </c>
      <c r="P2279" t="s">
        <v>1958</v>
      </c>
      <c r="Q2279" t="s">
        <v>1965</v>
      </c>
      <c r="R2279" t="s">
        <v>50</v>
      </c>
      <c r="S2279" t="s">
        <v>1671</v>
      </c>
      <c r="U2279" t="s">
        <v>1972</v>
      </c>
      <c r="W2279" t="s">
        <v>387</v>
      </c>
      <c r="X2279">
        <v>859</v>
      </c>
      <c r="Y2279" t="s">
        <v>2008</v>
      </c>
      <c r="Z2279" t="s">
        <v>2014</v>
      </c>
      <c r="AA2279" t="s">
        <v>2029</v>
      </c>
      <c r="AB2279" t="s">
        <v>14641</v>
      </c>
      <c r="AD2279" t="s">
        <v>17046</v>
      </c>
      <c r="AE2279">
        <v>184</v>
      </c>
      <c r="AF2279" t="s">
        <v>2902</v>
      </c>
      <c r="AG2279" t="s">
        <v>1754</v>
      </c>
      <c r="AH2279">
        <v>41</v>
      </c>
      <c r="AI2279">
        <v>1</v>
      </c>
      <c r="AJ2279">
        <v>0</v>
      </c>
      <c r="AK2279">
        <v>115.65</v>
      </c>
      <c r="AN2279" t="s">
        <v>2926</v>
      </c>
      <c r="AO2279">
        <v>14040</v>
      </c>
      <c r="AU2279">
        <v>1.2</v>
      </c>
      <c r="AV2279" t="s">
        <v>378</v>
      </c>
      <c r="AW2279" t="s">
        <v>18676</v>
      </c>
    </row>
    <row r="2280" spans="1:50">
      <c r="A2280" s="1" t="s">
        <v>65</v>
      </c>
      <c r="B2280" t="s">
        <v>163</v>
      </c>
      <c r="C2280" t="s">
        <v>5490</v>
      </c>
      <c r="D2280" t="s">
        <v>196</v>
      </c>
      <c r="F2280" t="s">
        <v>7549</v>
      </c>
      <c r="G2280" t="s">
        <v>8894</v>
      </c>
      <c r="H2280" t="s">
        <v>10413</v>
      </c>
      <c r="I2280">
        <v>1</v>
      </c>
      <c r="J2280" t="s">
        <v>1644</v>
      </c>
      <c r="K2280">
        <v>11215</v>
      </c>
      <c r="L2280" t="s">
        <v>1670</v>
      </c>
      <c r="M2280" t="s">
        <v>1672</v>
      </c>
      <c r="O2280" t="s">
        <v>1675</v>
      </c>
      <c r="P2280" t="s">
        <v>1962</v>
      </c>
      <c r="R2280" t="s">
        <v>50</v>
      </c>
      <c r="U2280" t="s">
        <v>1972</v>
      </c>
      <c r="W2280" t="s">
        <v>196</v>
      </c>
      <c r="X2280">
        <v>153.7</v>
      </c>
      <c r="Y2280" t="s">
        <v>2009</v>
      </c>
      <c r="Z2280" t="s">
        <v>2020</v>
      </c>
      <c r="AB2280" t="s">
        <v>14642</v>
      </c>
      <c r="AD2280" t="s">
        <v>17047</v>
      </c>
      <c r="AE2280">
        <v>3</v>
      </c>
      <c r="AH2280" t="s">
        <v>13051</v>
      </c>
      <c r="AI2280">
        <v>1</v>
      </c>
      <c r="AJ2280">
        <v>0</v>
      </c>
      <c r="AK2280">
        <v>115.65</v>
      </c>
      <c r="AN2280" t="s">
        <v>2926</v>
      </c>
      <c r="AO2280">
        <v>14040</v>
      </c>
      <c r="AU2280">
        <v>6.4</v>
      </c>
      <c r="AV2280" t="s">
        <v>1994</v>
      </c>
      <c r="AW2280" t="s">
        <v>3049</v>
      </c>
      <c r="AX2280" t="s">
        <v>18685</v>
      </c>
    </row>
    <row r="2281" spans="1:50">
      <c r="A2281" s="1" t="s">
        <v>70</v>
      </c>
      <c r="B2281" t="s">
        <v>164</v>
      </c>
      <c r="C2281" t="s">
        <v>5491</v>
      </c>
      <c r="D2281" t="s">
        <v>201</v>
      </c>
      <c r="E2281" t="s">
        <v>373</v>
      </c>
      <c r="F2281" t="s">
        <v>7675</v>
      </c>
      <c r="G2281" t="s">
        <v>8808</v>
      </c>
      <c r="H2281" t="s">
        <v>10414</v>
      </c>
      <c r="I2281" t="s">
        <v>1500</v>
      </c>
      <c r="J2281" t="s">
        <v>1641</v>
      </c>
      <c r="K2281">
        <v>10452</v>
      </c>
      <c r="L2281" t="s">
        <v>1670</v>
      </c>
      <c r="M2281" t="s">
        <v>1670</v>
      </c>
      <c r="N2281" t="s">
        <v>12510</v>
      </c>
      <c r="O2281" t="s">
        <v>1940</v>
      </c>
      <c r="P2281" t="s">
        <v>1962</v>
      </c>
      <c r="Q2281" t="s">
        <v>1968</v>
      </c>
      <c r="R2281" t="s">
        <v>50</v>
      </c>
      <c r="U2281" t="s">
        <v>1972</v>
      </c>
      <c r="W2281" t="s">
        <v>360</v>
      </c>
      <c r="X2281">
        <v>900</v>
      </c>
      <c r="Y2281" t="s">
        <v>2006</v>
      </c>
      <c r="Z2281" t="s">
        <v>2023</v>
      </c>
      <c r="AA2281" t="s">
        <v>2030</v>
      </c>
      <c r="AB2281" t="s">
        <v>14643</v>
      </c>
      <c r="AC2281" t="s">
        <v>15263</v>
      </c>
      <c r="AD2281" t="s">
        <v>17048</v>
      </c>
      <c r="AE2281">
        <v>3</v>
      </c>
      <c r="AF2281" t="s">
        <v>2903</v>
      </c>
      <c r="AG2281" t="s">
        <v>1754</v>
      </c>
      <c r="AH2281">
        <v>60</v>
      </c>
      <c r="AI2281">
        <v>1</v>
      </c>
      <c r="AJ2281">
        <v>0</v>
      </c>
      <c r="AK2281">
        <v>115.75</v>
      </c>
      <c r="AN2281" t="s">
        <v>2926</v>
      </c>
      <c r="AO2281">
        <v>14052</v>
      </c>
      <c r="AP2281" t="s">
        <v>18340</v>
      </c>
      <c r="AU2281">
        <v>11.15</v>
      </c>
      <c r="AV2281" t="s">
        <v>373</v>
      </c>
      <c r="AW2281" t="s">
        <v>3052</v>
      </c>
    </row>
    <row r="2282" spans="1:50">
      <c r="A2282" s="1" t="s">
        <v>59</v>
      </c>
      <c r="B2282" t="s">
        <v>163</v>
      </c>
      <c r="C2282" t="s">
        <v>5492</v>
      </c>
      <c r="D2282" t="s">
        <v>202</v>
      </c>
      <c r="F2282" t="s">
        <v>7676</v>
      </c>
      <c r="G2282" t="s">
        <v>7317</v>
      </c>
      <c r="H2282" t="s">
        <v>10415</v>
      </c>
      <c r="I2282" t="s">
        <v>1541</v>
      </c>
      <c r="J2282" t="s">
        <v>1641</v>
      </c>
      <c r="K2282">
        <v>10458</v>
      </c>
      <c r="L2282" t="s">
        <v>1670</v>
      </c>
      <c r="M2282" t="s">
        <v>1670</v>
      </c>
      <c r="N2282" t="s">
        <v>12511</v>
      </c>
      <c r="O2282" t="s">
        <v>1936</v>
      </c>
      <c r="P2282" t="s">
        <v>1958</v>
      </c>
      <c r="R2282" t="s">
        <v>50</v>
      </c>
      <c r="S2282" t="s">
        <v>1671</v>
      </c>
      <c r="U2282" t="s">
        <v>1972</v>
      </c>
      <c r="W2282" t="s">
        <v>202</v>
      </c>
      <c r="X2282">
        <v>984</v>
      </c>
      <c r="Y2282" t="s">
        <v>2006</v>
      </c>
      <c r="Z2282" t="s">
        <v>2028</v>
      </c>
      <c r="AB2282" t="s">
        <v>14644</v>
      </c>
      <c r="AD2282" t="s">
        <v>17049</v>
      </c>
      <c r="AE2282">
        <v>48</v>
      </c>
      <c r="AF2282" t="s">
        <v>2902</v>
      </c>
      <c r="AG2282" t="s">
        <v>1754</v>
      </c>
      <c r="AH2282">
        <v>10</v>
      </c>
      <c r="AI2282">
        <v>1</v>
      </c>
      <c r="AJ2282">
        <v>0</v>
      </c>
      <c r="AK2282">
        <v>116.08</v>
      </c>
      <c r="AN2282" t="s">
        <v>2926</v>
      </c>
      <c r="AO2282">
        <v>14092</v>
      </c>
      <c r="AU2282">
        <v>3.4</v>
      </c>
      <c r="AV2282" t="s">
        <v>299</v>
      </c>
      <c r="AW2282" t="s">
        <v>3047</v>
      </c>
    </row>
    <row r="2283" spans="1:50">
      <c r="A2283" s="1" t="s">
        <v>74</v>
      </c>
      <c r="B2283" t="s">
        <v>163</v>
      </c>
      <c r="C2283" t="s">
        <v>5493</v>
      </c>
      <c r="D2283" t="s">
        <v>281</v>
      </c>
      <c r="F2283" t="s">
        <v>724</v>
      </c>
      <c r="G2283" t="s">
        <v>8009</v>
      </c>
      <c r="H2283" t="s">
        <v>1131</v>
      </c>
      <c r="I2283" t="s">
        <v>11368</v>
      </c>
      <c r="J2283" t="s">
        <v>1641</v>
      </c>
      <c r="K2283">
        <v>10460</v>
      </c>
      <c r="L2283" t="s">
        <v>1670</v>
      </c>
      <c r="M2283" t="s">
        <v>1670</v>
      </c>
      <c r="N2283" t="s">
        <v>1692</v>
      </c>
      <c r="O2283" t="s">
        <v>1939</v>
      </c>
      <c r="P2283" t="s">
        <v>1960</v>
      </c>
      <c r="R2283" t="s">
        <v>50</v>
      </c>
      <c r="S2283" t="s">
        <v>1670</v>
      </c>
      <c r="U2283" t="s">
        <v>1972</v>
      </c>
      <c r="W2283" t="s">
        <v>283</v>
      </c>
      <c r="X2283">
        <v>343</v>
      </c>
      <c r="Y2283" t="s">
        <v>2006</v>
      </c>
      <c r="Z2283" t="s">
        <v>2015</v>
      </c>
      <c r="AB2283" t="s">
        <v>14619</v>
      </c>
      <c r="AD2283" t="s">
        <v>17029</v>
      </c>
      <c r="AE2283">
        <v>169</v>
      </c>
      <c r="AF2283" t="s">
        <v>2904</v>
      </c>
      <c r="AG2283" t="s">
        <v>2915</v>
      </c>
      <c r="AH2283">
        <v>1</v>
      </c>
      <c r="AI2283">
        <v>1</v>
      </c>
      <c r="AJ2283">
        <v>0</v>
      </c>
      <c r="AK2283">
        <v>116.14</v>
      </c>
      <c r="AN2283" t="s">
        <v>2927</v>
      </c>
      <c r="AO2283">
        <v>14100</v>
      </c>
      <c r="AU2283">
        <v>0.5</v>
      </c>
      <c r="AV2283" t="s">
        <v>293</v>
      </c>
      <c r="AW2283" t="s">
        <v>76</v>
      </c>
    </row>
    <row r="2284" spans="1:50">
      <c r="A2284" s="1" t="s">
        <v>125</v>
      </c>
      <c r="B2284" t="s">
        <v>163</v>
      </c>
      <c r="C2284" t="s">
        <v>5494</v>
      </c>
      <c r="D2284" t="s">
        <v>183</v>
      </c>
      <c r="F2284" t="s">
        <v>6802</v>
      </c>
      <c r="G2284" t="s">
        <v>855</v>
      </c>
      <c r="H2284" t="s">
        <v>10416</v>
      </c>
      <c r="J2284" t="s">
        <v>1644</v>
      </c>
      <c r="K2284">
        <v>11208</v>
      </c>
      <c r="L2284" t="s">
        <v>1670</v>
      </c>
      <c r="M2284" t="s">
        <v>1670</v>
      </c>
      <c r="N2284" t="s">
        <v>12512</v>
      </c>
      <c r="O2284" t="s">
        <v>1940</v>
      </c>
      <c r="P2284" t="s">
        <v>1960</v>
      </c>
      <c r="R2284" t="s">
        <v>50</v>
      </c>
      <c r="S2284" t="s">
        <v>1671</v>
      </c>
      <c r="U2284" t="s">
        <v>1972</v>
      </c>
      <c r="W2284" t="s">
        <v>274</v>
      </c>
      <c r="X2284">
        <v>810</v>
      </c>
      <c r="Y2284" t="s">
        <v>2009</v>
      </c>
      <c r="AB2284" t="s">
        <v>14645</v>
      </c>
      <c r="AD2284" t="s">
        <v>17050</v>
      </c>
      <c r="AE2284" t="s">
        <v>13051</v>
      </c>
      <c r="AH2284">
        <v>20</v>
      </c>
      <c r="AI2284">
        <v>1</v>
      </c>
      <c r="AJ2284">
        <v>0</v>
      </c>
      <c r="AK2284">
        <v>116.54</v>
      </c>
      <c r="AN2284" t="s">
        <v>2927</v>
      </c>
      <c r="AO2284">
        <v>14556</v>
      </c>
      <c r="AU2284">
        <v>3</v>
      </c>
      <c r="AV2284" t="s">
        <v>293</v>
      </c>
      <c r="AW2284" t="s">
        <v>158</v>
      </c>
    </row>
    <row r="2285" spans="1:50">
      <c r="A2285" s="1" t="s">
        <v>3151</v>
      </c>
      <c r="B2285" t="s">
        <v>164</v>
      </c>
      <c r="C2285" t="s">
        <v>5495</v>
      </c>
      <c r="D2285" t="s">
        <v>194</v>
      </c>
      <c r="E2285" t="s">
        <v>359</v>
      </c>
      <c r="F2285" t="s">
        <v>7677</v>
      </c>
      <c r="G2285" t="s">
        <v>8155</v>
      </c>
      <c r="H2285" t="s">
        <v>1270</v>
      </c>
      <c r="I2285" t="s">
        <v>1635</v>
      </c>
      <c r="J2285" t="s">
        <v>1644</v>
      </c>
      <c r="K2285">
        <v>11208</v>
      </c>
      <c r="L2285" t="s">
        <v>1670</v>
      </c>
      <c r="M2285" t="s">
        <v>1670</v>
      </c>
      <c r="N2285" t="s">
        <v>12513</v>
      </c>
      <c r="O2285" t="s">
        <v>1936</v>
      </c>
      <c r="P2285" t="s">
        <v>1958</v>
      </c>
      <c r="Q2285" t="s">
        <v>1965</v>
      </c>
      <c r="R2285" t="s">
        <v>50</v>
      </c>
      <c r="S2285" t="s">
        <v>1671</v>
      </c>
      <c r="U2285" t="s">
        <v>1972</v>
      </c>
      <c r="W2285" t="s">
        <v>194</v>
      </c>
      <c r="X2285">
        <v>1418</v>
      </c>
      <c r="Y2285" t="s">
        <v>2009</v>
      </c>
      <c r="Z2285" t="s">
        <v>2020</v>
      </c>
      <c r="AA2285" t="s">
        <v>2029</v>
      </c>
      <c r="AB2285" t="s">
        <v>14646</v>
      </c>
      <c r="AD2285" t="s">
        <v>17051</v>
      </c>
      <c r="AE2285">
        <v>294</v>
      </c>
      <c r="AF2285" t="s">
        <v>2909</v>
      </c>
      <c r="AG2285" t="s">
        <v>2915</v>
      </c>
      <c r="AH2285">
        <v>8</v>
      </c>
      <c r="AI2285">
        <v>2</v>
      </c>
      <c r="AJ2285">
        <v>0</v>
      </c>
      <c r="AK2285">
        <v>116.65</v>
      </c>
      <c r="AN2285" t="s">
        <v>2926</v>
      </c>
      <c r="AO2285">
        <v>19200</v>
      </c>
      <c r="AP2285" t="s">
        <v>18069</v>
      </c>
      <c r="AU2285">
        <v>3.7</v>
      </c>
      <c r="AV2285" t="s">
        <v>223</v>
      </c>
      <c r="AW2285" t="s">
        <v>3071</v>
      </c>
    </row>
    <row r="2286" spans="1:50">
      <c r="A2286" s="1" t="s">
        <v>60</v>
      </c>
      <c r="B2286" t="s">
        <v>163</v>
      </c>
      <c r="C2286" t="s">
        <v>5496</v>
      </c>
      <c r="D2286" t="s">
        <v>343</v>
      </c>
      <c r="F2286" t="s">
        <v>7229</v>
      </c>
      <c r="G2286" t="s">
        <v>8895</v>
      </c>
      <c r="H2286" t="s">
        <v>1200</v>
      </c>
      <c r="I2286">
        <v>405</v>
      </c>
      <c r="J2286" t="s">
        <v>1649</v>
      </c>
      <c r="K2286">
        <v>11692</v>
      </c>
      <c r="L2286" t="s">
        <v>1670</v>
      </c>
      <c r="M2286" t="s">
        <v>1670</v>
      </c>
      <c r="N2286" t="s">
        <v>12514</v>
      </c>
      <c r="O2286" t="s">
        <v>1936</v>
      </c>
      <c r="P2286" t="s">
        <v>1958</v>
      </c>
      <c r="R2286" t="s">
        <v>50</v>
      </c>
      <c r="S2286" t="s">
        <v>1671</v>
      </c>
      <c r="U2286" t="s">
        <v>1972</v>
      </c>
      <c r="V2286" t="s">
        <v>1984</v>
      </c>
      <c r="W2286" t="s">
        <v>343</v>
      </c>
      <c r="X2286">
        <v>1500</v>
      </c>
      <c r="Y2286" t="s">
        <v>2007</v>
      </c>
      <c r="Z2286" t="s">
        <v>2014</v>
      </c>
      <c r="AB2286" t="s">
        <v>14647</v>
      </c>
      <c r="AC2286" t="s">
        <v>15264</v>
      </c>
      <c r="AD2286" t="s">
        <v>17052</v>
      </c>
      <c r="AE2286">
        <v>103</v>
      </c>
      <c r="AF2286" t="s">
        <v>2907</v>
      </c>
      <c r="AG2286" t="s">
        <v>2915</v>
      </c>
      <c r="AH2286">
        <v>32</v>
      </c>
      <c r="AI2286">
        <v>2</v>
      </c>
      <c r="AJ2286">
        <v>0</v>
      </c>
      <c r="AK2286">
        <v>116.65</v>
      </c>
      <c r="AN2286" t="s">
        <v>2926</v>
      </c>
      <c r="AO2286">
        <v>19200</v>
      </c>
      <c r="AU2286">
        <v>1.25</v>
      </c>
      <c r="AV2286" t="s">
        <v>395</v>
      </c>
      <c r="AW2286" t="s">
        <v>85</v>
      </c>
    </row>
    <row r="2287" spans="1:50">
      <c r="A2287" s="1" t="s">
        <v>3150</v>
      </c>
      <c r="B2287" t="s">
        <v>163</v>
      </c>
      <c r="C2287" t="s">
        <v>5497</v>
      </c>
      <c r="D2287" t="s">
        <v>206</v>
      </c>
      <c r="F2287" t="s">
        <v>7298</v>
      </c>
      <c r="G2287" t="s">
        <v>8896</v>
      </c>
      <c r="H2287" t="s">
        <v>10417</v>
      </c>
      <c r="I2287" t="s">
        <v>1600</v>
      </c>
      <c r="J2287" t="s">
        <v>1643</v>
      </c>
      <c r="K2287">
        <v>10039</v>
      </c>
      <c r="L2287" t="s">
        <v>1670</v>
      </c>
      <c r="M2287" t="s">
        <v>1672</v>
      </c>
      <c r="N2287" t="s">
        <v>12515</v>
      </c>
      <c r="O2287" t="s">
        <v>1936</v>
      </c>
      <c r="P2287" t="s">
        <v>1963</v>
      </c>
      <c r="R2287" t="s">
        <v>50</v>
      </c>
      <c r="S2287" t="s">
        <v>1671</v>
      </c>
      <c r="U2287" t="s">
        <v>1972</v>
      </c>
      <c r="W2287" t="s">
        <v>206</v>
      </c>
      <c r="X2287">
        <v>798</v>
      </c>
      <c r="Y2287" t="s">
        <v>2008</v>
      </c>
      <c r="Z2287" t="s">
        <v>2014</v>
      </c>
      <c r="AB2287" t="s">
        <v>14648</v>
      </c>
      <c r="AC2287" t="s">
        <v>15265</v>
      </c>
      <c r="AD2287" t="s">
        <v>17053</v>
      </c>
      <c r="AE2287" t="s">
        <v>13051</v>
      </c>
      <c r="AF2287" t="s">
        <v>2902</v>
      </c>
      <c r="AG2287" t="s">
        <v>2919</v>
      </c>
      <c r="AH2287">
        <v>25</v>
      </c>
      <c r="AI2287">
        <v>1</v>
      </c>
      <c r="AJ2287">
        <v>0</v>
      </c>
      <c r="AK2287">
        <v>116.83</v>
      </c>
      <c r="AN2287" t="s">
        <v>2926</v>
      </c>
      <c r="AO2287">
        <v>14592</v>
      </c>
      <c r="AU2287">
        <v>0.5</v>
      </c>
      <c r="AV2287" t="s">
        <v>206</v>
      </c>
      <c r="AW2287" t="s">
        <v>3061</v>
      </c>
      <c r="AX2287" t="s">
        <v>18686</v>
      </c>
    </row>
    <row r="2288" spans="1:50">
      <c r="A2288" s="1" t="s">
        <v>53</v>
      </c>
      <c r="B2288" t="s">
        <v>164</v>
      </c>
      <c r="C2288" t="s">
        <v>5498</v>
      </c>
      <c r="D2288" t="s">
        <v>169</v>
      </c>
      <c r="E2288" t="s">
        <v>323</v>
      </c>
      <c r="F2288" t="s">
        <v>6892</v>
      </c>
      <c r="G2288" t="s">
        <v>8897</v>
      </c>
      <c r="H2288" t="s">
        <v>10418</v>
      </c>
      <c r="J2288" t="s">
        <v>1645</v>
      </c>
      <c r="K2288">
        <v>11694</v>
      </c>
      <c r="L2288" t="s">
        <v>1670</v>
      </c>
      <c r="M2288" t="s">
        <v>1670</v>
      </c>
      <c r="N2288" t="s">
        <v>12516</v>
      </c>
      <c r="O2288" t="s">
        <v>1936</v>
      </c>
      <c r="P2288" t="s">
        <v>1958</v>
      </c>
      <c r="Q2288" t="s">
        <v>1965</v>
      </c>
      <c r="R2288" t="s">
        <v>50</v>
      </c>
      <c r="S2288" t="s">
        <v>1671</v>
      </c>
      <c r="U2288" t="s">
        <v>1972</v>
      </c>
      <c r="V2288" t="s">
        <v>1983</v>
      </c>
      <c r="W2288" t="s">
        <v>169</v>
      </c>
      <c r="X2288">
        <v>950</v>
      </c>
      <c r="Y2288" t="s">
        <v>2007</v>
      </c>
      <c r="Z2288" t="s">
        <v>2014</v>
      </c>
      <c r="AA2288" t="s">
        <v>2029</v>
      </c>
      <c r="AB2288" t="s">
        <v>14649</v>
      </c>
      <c r="AC2288" t="s">
        <v>1754</v>
      </c>
      <c r="AD2288" t="s">
        <v>17054</v>
      </c>
      <c r="AE2288">
        <v>1</v>
      </c>
      <c r="AF2288" t="s">
        <v>2903</v>
      </c>
      <c r="AG2288" t="s">
        <v>1754</v>
      </c>
      <c r="AH2288">
        <v>6</v>
      </c>
      <c r="AI2288">
        <v>1</v>
      </c>
      <c r="AJ2288">
        <v>0</v>
      </c>
      <c r="AK2288">
        <v>116.94</v>
      </c>
      <c r="AN2288" t="s">
        <v>2926</v>
      </c>
      <c r="AO2288">
        <v>14196</v>
      </c>
      <c r="AU2288">
        <v>1</v>
      </c>
      <c r="AV2288" t="s">
        <v>323</v>
      </c>
      <c r="AW2288" t="s">
        <v>3044</v>
      </c>
    </row>
    <row r="2289" spans="1:50">
      <c r="A2289" s="1" t="s">
        <v>83</v>
      </c>
      <c r="B2289" t="s">
        <v>164</v>
      </c>
      <c r="C2289" t="s">
        <v>5499</v>
      </c>
      <c r="D2289" t="s">
        <v>6185</v>
      </c>
      <c r="E2289" t="s">
        <v>231</v>
      </c>
      <c r="F2289" t="s">
        <v>7607</v>
      </c>
      <c r="G2289" t="s">
        <v>8898</v>
      </c>
      <c r="H2289" t="s">
        <v>10419</v>
      </c>
      <c r="I2289">
        <v>1</v>
      </c>
      <c r="J2289" t="s">
        <v>1643</v>
      </c>
      <c r="K2289">
        <v>10011</v>
      </c>
      <c r="L2289" t="s">
        <v>1670</v>
      </c>
      <c r="M2289" t="s">
        <v>1670</v>
      </c>
      <c r="N2289" t="s">
        <v>12517</v>
      </c>
      <c r="O2289" t="s">
        <v>1936</v>
      </c>
      <c r="P2289" t="s">
        <v>1958</v>
      </c>
      <c r="Q2289" t="s">
        <v>1965</v>
      </c>
      <c r="R2289" t="s">
        <v>50</v>
      </c>
      <c r="S2289" t="s">
        <v>1671</v>
      </c>
      <c r="T2289" t="s">
        <v>13029</v>
      </c>
      <c r="U2289" t="s">
        <v>1972</v>
      </c>
      <c r="W2289" t="s">
        <v>252</v>
      </c>
      <c r="X2289">
        <v>4000</v>
      </c>
      <c r="Y2289" t="s">
        <v>2008</v>
      </c>
      <c r="Z2289" t="s">
        <v>2014</v>
      </c>
      <c r="AA2289" t="s">
        <v>2029</v>
      </c>
      <c r="AB2289" t="s">
        <v>14650</v>
      </c>
      <c r="AD2289" t="s">
        <v>17055</v>
      </c>
      <c r="AE2289" t="s">
        <v>13051</v>
      </c>
      <c r="AF2289" t="s">
        <v>2904</v>
      </c>
      <c r="AG2289" t="s">
        <v>1754</v>
      </c>
      <c r="AH2289">
        <v>9</v>
      </c>
      <c r="AI2289">
        <v>1</v>
      </c>
      <c r="AJ2289">
        <v>0</v>
      </c>
      <c r="AK2289">
        <v>116.97</v>
      </c>
      <c r="AN2289" t="s">
        <v>2926</v>
      </c>
      <c r="AO2289">
        <v>14200</v>
      </c>
      <c r="AU2289">
        <v>0.2</v>
      </c>
      <c r="AV2289" t="s">
        <v>178</v>
      </c>
      <c r="AW2289" t="s">
        <v>18676</v>
      </c>
    </row>
    <row r="2290" spans="1:50">
      <c r="A2290" s="1" t="s">
        <v>54</v>
      </c>
      <c r="B2290" t="s">
        <v>164</v>
      </c>
      <c r="C2290" t="s">
        <v>5500</v>
      </c>
      <c r="D2290" t="s">
        <v>201</v>
      </c>
      <c r="E2290" t="s">
        <v>273</v>
      </c>
      <c r="F2290" t="s">
        <v>7678</v>
      </c>
      <c r="G2290" t="s">
        <v>1024</v>
      </c>
      <c r="H2290" t="s">
        <v>10420</v>
      </c>
      <c r="I2290">
        <v>4</v>
      </c>
      <c r="J2290" t="s">
        <v>1643</v>
      </c>
      <c r="K2290">
        <v>10032</v>
      </c>
      <c r="L2290" t="s">
        <v>1670</v>
      </c>
      <c r="M2290" t="s">
        <v>1670</v>
      </c>
      <c r="O2290" t="s">
        <v>1940</v>
      </c>
      <c r="P2290" t="s">
        <v>1960</v>
      </c>
      <c r="Q2290" t="s">
        <v>1969</v>
      </c>
      <c r="R2290" t="s">
        <v>50</v>
      </c>
      <c r="S2290" t="s">
        <v>1671</v>
      </c>
      <c r="U2290" t="s">
        <v>1972</v>
      </c>
      <c r="W2290" t="s">
        <v>201</v>
      </c>
      <c r="X2290">
        <v>1106.71</v>
      </c>
      <c r="Y2290" t="s">
        <v>2008</v>
      </c>
      <c r="Z2290" t="s">
        <v>2028</v>
      </c>
      <c r="AA2290" t="s">
        <v>2032</v>
      </c>
      <c r="AB2290" t="s">
        <v>14651</v>
      </c>
      <c r="AD2290" t="s">
        <v>17056</v>
      </c>
      <c r="AE2290">
        <v>39</v>
      </c>
      <c r="AF2290" t="s">
        <v>2902</v>
      </c>
      <c r="AG2290" t="s">
        <v>1754</v>
      </c>
      <c r="AH2290">
        <v>38</v>
      </c>
      <c r="AI2290">
        <v>2</v>
      </c>
      <c r="AJ2290">
        <v>0</v>
      </c>
      <c r="AK2290">
        <v>117.08</v>
      </c>
      <c r="AN2290" t="s">
        <v>2927</v>
      </c>
      <c r="AO2290">
        <v>19272</v>
      </c>
      <c r="AU2290">
        <v>40.35</v>
      </c>
      <c r="AV2290" t="s">
        <v>273</v>
      </c>
      <c r="AW2290" t="s">
        <v>3042</v>
      </c>
    </row>
    <row r="2291" spans="1:50">
      <c r="A2291" s="1" t="s">
        <v>101</v>
      </c>
      <c r="B2291" t="s">
        <v>164</v>
      </c>
      <c r="C2291" t="s">
        <v>5501</v>
      </c>
      <c r="D2291" t="s">
        <v>6191</v>
      </c>
      <c r="E2291" t="s">
        <v>222</v>
      </c>
      <c r="F2291" t="s">
        <v>7590</v>
      </c>
      <c r="G2291" t="s">
        <v>8899</v>
      </c>
      <c r="H2291" t="s">
        <v>1174</v>
      </c>
      <c r="I2291" t="s">
        <v>11374</v>
      </c>
      <c r="J2291" t="s">
        <v>1643</v>
      </c>
      <c r="K2291">
        <v>10029</v>
      </c>
      <c r="L2291" t="s">
        <v>1670</v>
      </c>
      <c r="M2291" t="s">
        <v>1670</v>
      </c>
      <c r="N2291" t="s">
        <v>12518</v>
      </c>
      <c r="O2291" t="s">
        <v>1940</v>
      </c>
      <c r="P2291" t="s">
        <v>1958</v>
      </c>
      <c r="Q2291" t="s">
        <v>1965</v>
      </c>
      <c r="R2291" t="s">
        <v>50</v>
      </c>
      <c r="S2291" t="s">
        <v>1671</v>
      </c>
      <c r="U2291" t="s">
        <v>1972</v>
      </c>
      <c r="V2291" t="s">
        <v>1984</v>
      </c>
      <c r="W2291" t="s">
        <v>203</v>
      </c>
      <c r="X2291">
        <v>2210</v>
      </c>
      <c r="Y2291" t="s">
        <v>2008</v>
      </c>
      <c r="Z2291" t="s">
        <v>13055</v>
      </c>
      <c r="AA2291" t="s">
        <v>2029</v>
      </c>
      <c r="AB2291" t="s">
        <v>13407</v>
      </c>
      <c r="AC2291" t="s">
        <v>15266</v>
      </c>
      <c r="AD2291" t="s">
        <v>17057</v>
      </c>
      <c r="AE2291">
        <v>130</v>
      </c>
      <c r="AF2291" t="s">
        <v>2903</v>
      </c>
      <c r="AG2291" t="s">
        <v>2915</v>
      </c>
      <c r="AH2291">
        <v>30</v>
      </c>
      <c r="AI2291">
        <v>2</v>
      </c>
      <c r="AJ2291">
        <v>0</v>
      </c>
      <c r="AK2291">
        <v>117.16</v>
      </c>
      <c r="AN2291" t="s">
        <v>2926</v>
      </c>
      <c r="AO2291">
        <v>19812</v>
      </c>
      <c r="AU2291">
        <v>6.3</v>
      </c>
      <c r="AV2291" t="s">
        <v>337</v>
      </c>
      <c r="AW2291" t="s">
        <v>3078</v>
      </c>
      <c r="AX2291" t="s">
        <v>18685</v>
      </c>
    </row>
    <row r="2292" spans="1:50">
      <c r="A2292" s="1" t="s">
        <v>78</v>
      </c>
      <c r="B2292" t="s">
        <v>163</v>
      </c>
      <c r="C2292" t="s">
        <v>5502</v>
      </c>
      <c r="D2292" t="s">
        <v>363</v>
      </c>
      <c r="F2292" t="s">
        <v>7679</v>
      </c>
      <c r="G2292" t="s">
        <v>909</v>
      </c>
      <c r="H2292" t="s">
        <v>9552</v>
      </c>
      <c r="I2292" t="s">
        <v>1486</v>
      </c>
      <c r="J2292" t="s">
        <v>1646</v>
      </c>
      <c r="K2292">
        <v>10304</v>
      </c>
      <c r="L2292" t="s">
        <v>1670</v>
      </c>
      <c r="M2292" t="s">
        <v>1670</v>
      </c>
      <c r="N2292" t="s">
        <v>12519</v>
      </c>
      <c r="O2292" t="s">
        <v>1936</v>
      </c>
      <c r="P2292" t="s">
        <v>1960</v>
      </c>
      <c r="R2292" t="s">
        <v>50</v>
      </c>
      <c r="S2292" t="s">
        <v>1671</v>
      </c>
      <c r="U2292" t="s">
        <v>1972</v>
      </c>
      <c r="V2292" t="s">
        <v>1984</v>
      </c>
      <c r="W2292" t="s">
        <v>320</v>
      </c>
      <c r="X2292">
        <v>772</v>
      </c>
      <c r="Y2292" t="s">
        <v>2010</v>
      </c>
      <c r="Z2292" t="s">
        <v>2011</v>
      </c>
      <c r="AB2292" t="s">
        <v>14652</v>
      </c>
      <c r="AD2292" t="s">
        <v>17058</v>
      </c>
      <c r="AE2292" t="s">
        <v>13051</v>
      </c>
      <c r="AF2292" t="s">
        <v>2909</v>
      </c>
      <c r="AG2292" t="s">
        <v>2915</v>
      </c>
      <c r="AH2292" t="s">
        <v>13051</v>
      </c>
      <c r="AI2292">
        <v>1</v>
      </c>
      <c r="AJ2292">
        <v>0</v>
      </c>
      <c r="AK2292">
        <v>117.79</v>
      </c>
      <c r="AN2292" t="s">
        <v>2926</v>
      </c>
      <c r="AO2292">
        <v>14300</v>
      </c>
      <c r="AQ2292" t="s">
        <v>2979</v>
      </c>
      <c r="AR2292" t="s">
        <v>2982</v>
      </c>
      <c r="AS2292" t="s">
        <v>2992</v>
      </c>
      <c r="AT2292" t="s">
        <v>18589</v>
      </c>
      <c r="AU2292">
        <v>6.75</v>
      </c>
      <c r="AV2292" t="s">
        <v>18650</v>
      </c>
      <c r="AW2292" t="s">
        <v>3072</v>
      </c>
    </row>
    <row r="2293" spans="1:50">
      <c r="A2293" s="1" t="s">
        <v>115</v>
      </c>
      <c r="B2293" t="s">
        <v>164</v>
      </c>
      <c r="C2293" t="s">
        <v>5503</v>
      </c>
      <c r="D2293" t="s">
        <v>296</v>
      </c>
      <c r="E2293" t="s">
        <v>297</v>
      </c>
      <c r="F2293" t="s">
        <v>7680</v>
      </c>
      <c r="G2293" t="s">
        <v>8900</v>
      </c>
      <c r="H2293" t="s">
        <v>10421</v>
      </c>
      <c r="I2293" t="s">
        <v>1534</v>
      </c>
      <c r="J2293" t="s">
        <v>1641</v>
      </c>
      <c r="K2293">
        <v>10452</v>
      </c>
      <c r="L2293" t="s">
        <v>1670</v>
      </c>
      <c r="M2293" t="s">
        <v>1670</v>
      </c>
      <c r="O2293" t="s">
        <v>1675</v>
      </c>
      <c r="P2293" t="s">
        <v>1962</v>
      </c>
      <c r="Q2293" t="s">
        <v>1968</v>
      </c>
      <c r="R2293" t="s">
        <v>50</v>
      </c>
      <c r="S2293" t="s">
        <v>1671</v>
      </c>
      <c r="U2293" t="s">
        <v>1972</v>
      </c>
      <c r="W2293" t="s">
        <v>296</v>
      </c>
      <c r="X2293">
        <v>887.1900000000001</v>
      </c>
      <c r="Y2293" t="s">
        <v>2006</v>
      </c>
      <c r="Z2293" t="s">
        <v>2015</v>
      </c>
      <c r="AA2293" t="s">
        <v>2030</v>
      </c>
      <c r="AB2293" t="s">
        <v>14653</v>
      </c>
      <c r="AD2293" t="s">
        <v>17059</v>
      </c>
      <c r="AE2293">
        <v>57</v>
      </c>
      <c r="AF2293" t="s">
        <v>2902</v>
      </c>
      <c r="AG2293" t="s">
        <v>2919</v>
      </c>
      <c r="AH2293">
        <v>40</v>
      </c>
      <c r="AI2293">
        <v>1</v>
      </c>
      <c r="AJ2293">
        <v>0</v>
      </c>
      <c r="AK2293">
        <v>118.02</v>
      </c>
      <c r="AN2293" t="s">
        <v>2927</v>
      </c>
      <c r="AO2293">
        <v>14328</v>
      </c>
      <c r="AU2293">
        <v>0.7</v>
      </c>
      <c r="AV2293" t="s">
        <v>297</v>
      </c>
      <c r="AW2293" t="s">
        <v>115</v>
      </c>
    </row>
    <row r="2294" spans="1:50">
      <c r="A2294" s="1" t="s">
        <v>52</v>
      </c>
      <c r="B2294" t="s">
        <v>164</v>
      </c>
      <c r="C2294" t="s">
        <v>5504</v>
      </c>
      <c r="D2294" t="s">
        <v>382</v>
      </c>
      <c r="E2294" t="s">
        <v>383</v>
      </c>
      <c r="F2294" t="s">
        <v>733</v>
      </c>
      <c r="G2294" t="s">
        <v>8798</v>
      </c>
      <c r="H2294" t="s">
        <v>10422</v>
      </c>
      <c r="I2294">
        <v>27</v>
      </c>
      <c r="J2294" t="s">
        <v>1641</v>
      </c>
      <c r="K2294">
        <v>10463</v>
      </c>
      <c r="L2294" t="s">
        <v>1670</v>
      </c>
      <c r="M2294" t="s">
        <v>1670</v>
      </c>
      <c r="O2294" t="s">
        <v>1938</v>
      </c>
      <c r="P2294" t="s">
        <v>1958</v>
      </c>
      <c r="Q2294" t="s">
        <v>1965</v>
      </c>
      <c r="R2294" t="s">
        <v>50</v>
      </c>
      <c r="U2294" t="s">
        <v>1972</v>
      </c>
      <c r="W2294" t="s">
        <v>252</v>
      </c>
      <c r="X2294">
        <v>1400</v>
      </c>
      <c r="Y2294" t="s">
        <v>2006</v>
      </c>
      <c r="Z2294" t="s">
        <v>2028</v>
      </c>
      <c r="AA2294" t="s">
        <v>2029</v>
      </c>
      <c r="AB2294" t="s">
        <v>14654</v>
      </c>
      <c r="AD2294" t="s">
        <v>17060</v>
      </c>
      <c r="AE2294">
        <v>28</v>
      </c>
      <c r="AF2294" t="s">
        <v>2902</v>
      </c>
      <c r="AG2294" t="s">
        <v>2919</v>
      </c>
      <c r="AH2294">
        <v>35</v>
      </c>
      <c r="AI2294">
        <v>2</v>
      </c>
      <c r="AJ2294">
        <v>0</v>
      </c>
      <c r="AK2294">
        <v>118.18</v>
      </c>
      <c r="AN2294" t="s">
        <v>2926</v>
      </c>
      <c r="AO2294">
        <v>19452</v>
      </c>
      <c r="AP2294" t="s">
        <v>18341</v>
      </c>
      <c r="AU2294">
        <v>1.3</v>
      </c>
      <c r="AV2294" t="s">
        <v>252</v>
      </c>
      <c r="AW2294" t="s">
        <v>3084</v>
      </c>
    </row>
    <row r="2295" spans="1:50">
      <c r="A2295" s="1" t="s">
        <v>120</v>
      </c>
      <c r="B2295" t="s">
        <v>163</v>
      </c>
      <c r="C2295" t="s">
        <v>5505</v>
      </c>
      <c r="D2295" t="s">
        <v>235</v>
      </c>
      <c r="F2295" t="s">
        <v>573</v>
      </c>
      <c r="G2295" t="s">
        <v>8901</v>
      </c>
      <c r="H2295" t="s">
        <v>10423</v>
      </c>
      <c r="I2295" t="s">
        <v>1490</v>
      </c>
      <c r="J2295" t="s">
        <v>1644</v>
      </c>
      <c r="K2295">
        <v>11207</v>
      </c>
      <c r="L2295" t="s">
        <v>1670</v>
      </c>
      <c r="M2295" t="s">
        <v>1670</v>
      </c>
      <c r="O2295" t="s">
        <v>1950</v>
      </c>
      <c r="P2295" t="s">
        <v>1961</v>
      </c>
      <c r="R2295" t="s">
        <v>50</v>
      </c>
      <c r="U2295" t="s">
        <v>1974</v>
      </c>
      <c r="W2295" t="s">
        <v>3031</v>
      </c>
      <c r="X2295" t="s">
        <v>13051</v>
      </c>
      <c r="Y2295" t="s">
        <v>2009</v>
      </c>
      <c r="AB2295" t="s">
        <v>14655</v>
      </c>
      <c r="AC2295" t="s">
        <v>15267</v>
      </c>
      <c r="AD2295" t="s">
        <v>17061</v>
      </c>
      <c r="AE2295" t="s">
        <v>13051</v>
      </c>
      <c r="AH2295" t="s">
        <v>13051</v>
      </c>
      <c r="AI2295">
        <v>2</v>
      </c>
      <c r="AJ2295">
        <v>0</v>
      </c>
      <c r="AK2295">
        <v>118.27</v>
      </c>
      <c r="AN2295" t="s">
        <v>2926</v>
      </c>
      <c r="AO2295">
        <v>20000</v>
      </c>
      <c r="AP2295" t="s">
        <v>18342</v>
      </c>
      <c r="AU2295">
        <v>17.25</v>
      </c>
      <c r="AV2295" t="s">
        <v>399</v>
      </c>
      <c r="AW2295" t="s">
        <v>3059</v>
      </c>
      <c r="AX2295" t="s">
        <v>18685</v>
      </c>
    </row>
    <row r="2296" spans="1:50">
      <c r="A2296" s="1" t="s">
        <v>57</v>
      </c>
      <c r="B2296" t="s">
        <v>163</v>
      </c>
      <c r="C2296" t="s">
        <v>5506</v>
      </c>
      <c r="D2296" t="s">
        <v>182</v>
      </c>
      <c r="F2296" t="s">
        <v>7308</v>
      </c>
      <c r="G2296" t="s">
        <v>8425</v>
      </c>
      <c r="H2296" t="s">
        <v>1112</v>
      </c>
      <c r="I2296" t="s">
        <v>11177</v>
      </c>
      <c r="J2296" t="s">
        <v>1641</v>
      </c>
      <c r="K2296">
        <v>10453</v>
      </c>
      <c r="L2296" t="s">
        <v>1670</v>
      </c>
      <c r="M2296" t="s">
        <v>1670</v>
      </c>
      <c r="N2296" t="s">
        <v>1677</v>
      </c>
      <c r="O2296" t="s">
        <v>1939</v>
      </c>
      <c r="P2296" t="s">
        <v>1960</v>
      </c>
      <c r="R2296" t="s">
        <v>50</v>
      </c>
      <c r="S2296" t="s">
        <v>1670</v>
      </c>
      <c r="U2296" t="s">
        <v>1972</v>
      </c>
      <c r="W2296" t="s">
        <v>283</v>
      </c>
      <c r="X2296">
        <v>1400</v>
      </c>
      <c r="Y2296" t="s">
        <v>2006</v>
      </c>
      <c r="Z2296" t="s">
        <v>2015</v>
      </c>
      <c r="AB2296" t="s">
        <v>13849</v>
      </c>
      <c r="AD2296" t="s">
        <v>16281</v>
      </c>
      <c r="AE2296">
        <v>170</v>
      </c>
      <c r="AF2296" t="s">
        <v>2902</v>
      </c>
      <c r="AH2296">
        <v>8</v>
      </c>
      <c r="AI2296">
        <v>2</v>
      </c>
      <c r="AJ2296">
        <v>0</v>
      </c>
      <c r="AK2296">
        <v>118.27</v>
      </c>
      <c r="AN2296" t="s">
        <v>2927</v>
      </c>
      <c r="AO2296">
        <v>20000</v>
      </c>
      <c r="AU2296" t="s">
        <v>13051</v>
      </c>
      <c r="AW2296" t="s">
        <v>76</v>
      </c>
    </row>
    <row r="2297" spans="1:50">
      <c r="A2297" s="1" t="s">
        <v>142</v>
      </c>
      <c r="B2297" t="s">
        <v>163</v>
      </c>
      <c r="C2297" t="s">
        <v>5507</v>
      </c>
      <c r="D2297" t="s">
        <v>254</v>
      </c>
      <c r="F2297" t="s">
        <v>7681</v>
      </c>
      <c r="G2297" t="s">
        <v>780</v>
      </c>
      <c r="H2297" t="s">
        <v>1260</v>
      </c>
      <c r="I2297" t="s">
        <v>1569</v>
      </c>
      <c r="J2297" t="s">
        <v>1641</v>
      </c>
      <c r="K2297">
        <v>10453</v>
      </c>
      <c r="L2297" t="s">
        <v>1670</v>
      </c>
      <c r="M2297" t="s">
        <v>1670</v>
      </c>
      <c r="N2297" t="s">
        <v>1778</v>
      </c>
      <c r="O2297" t="s">
        <v>1939</v>
      </c>
      <c r="P2297" t="s">
        <v>1960</v>
      </c>
      <c r="R2297" t="s">
        <v>50</v>
      </c>
      <c r="S2297" t="s">
        <v>1670</v>
      </c>
      <c r="U2297" t="s">
        <v>1972</v>
      </c>
      <c r="W2297" t="s">
        <v>283</v>
      </c>
      <c r="X2297">
        <v>692.88</v>
      </c>
      <c r="Y2297" t="s">
        <v>2006</v>
      </c>
      <c r="Z2297" t="s">
        <v>2015</v>
      </c>
      <c r="AB2297" t="s">
        <v>14656</v>
      </c>
      <c r="AE2297">
        <v>49</v>
      </c>
      <c r="AF2297" t="s">
        <v>2902</v>
      </c>
      <c r="AG2297" t="s">
        <v>1754</v>
      </c>
      <c r="AH2297">
        <v>21</v>
      </c>
      <c r="AI2297">
        <v>2</v>
      </c>
      <c r="AJ2297">
        <v>0</v>
      </c>
      <c r="AK2297">
        <v>118.27</v>
      </c>
      <c r="AN2297" t="s">
        <v>2926</v>
      </c>
      <c r="AO2297">
        <v>20000</v>
      </c>
      <c r="AU2297" t="s">
        <v>13051</v>
      </c>
      <c r="AW2297" t="s">
        <v>3054</v>
      </c>
    </row>
    <row r="2298" spans="1:50">
      <c r="A2298" s="1" t="s">
        <v>104</v>
      </c>
      <c r="B2298" t="s">
        <v>164</v>
      </c>
      <c r="C2298" t="s">
        <v>5508</v>
      </c>
      <c r="D2298" t="s">
        <v>182</v>
      </c>
      <c r="E2298" t="s">
        <v>396</v>
      </c>
      <c r="F2298" t="s">
        <v>6902</v>
      </c>
      <c r="G2298" t="s">
        <v>8902</v>
      </c>
      <c r="H2298" t="s">
        <v>10424</v>
      </c>
      <c r="I2298" t="s">
        <v>1477</v>
      </c>
      <c r="J2298" t="s">
        <v>1646</v>
      </c>
      <c r="K2298">
        <v>10301</v>
      </c>
      <c r="L2298" t="s">
        <v>1671</v>
      </c>
      <c r="M2298" t="s">
        <v>1670</v>
      </c>
      <c r="N2298" t="s">
        <v>12520</v>
      </c>
      <c r="O2298" t="s">
        <v>1939</v>
      </c>
      <c r="P2298" t="s">
        <v>1960</v>
      </c>
      <c r="Q2298" t="s">
        <v>1969</v>
      </c>
      <c r="R2298" t="s">
        <v>50</v>
      </c>
      <c r="S2298" t="s">
        <v>1671</v>
      </c>
      <c r="U2298" t="s">
        <v>1972</v>
      </c>
      <c r="V2298" t="s">
        <v>1987</v>
      </c>
      <c r="W2298" t="s">
        <v>182</v>
      </c>
      <c r="X2298">
        <v>1199</v>
      </c>
      <c r="Y2298" t="s">
        <v>2010</v>
      </c>
      <c r="Z2298" t="s">
        <v>2013</v>
      </c>
      <c r="AA2298" t="s">
        <v>2032</v>
      </c>
      <c r="AB2298" t="s">
        <v>14657</v>
      </c>
      <c r="AD2298" t="s">
        <v>17062</v>
      </c>
      <c r="AE2298">
        <v>7</v>
      </c>
      <c r="AF2298" t="s">
        <v>2902</v>
      </c>
      <c r="AG2298" t="s">
        <v>2915</v>
      </c>
      <c r="AH2298">
        <v>4</v>
      </c>
      <c r="AI2298">
        <v>1</v>
      </c>
      <c r="AJ2298">
        <v>0</v>
      </c>
      <c r="AK2298">
        <v>118.37</v>
      </c>
      <c r="AN2298" t="s">
        <v>2926</v>
      </c>
      <c r="AO2298">
        <v>14784</v>
      </c>
      <c r="AR2298" t="s">
        <v>18478</v>
      </c>
      <c r="AU2298">
        <v>18</v>
      </c>
      <c r="AV2298" t="s">
        <v>18651</v>
      </c>
      <c r="AW2298" t="s">
        <v>3072</v>
      </c>
    </row>
    <row r="2299" spans="1:50">
      <c r="A2299" s="1" t="s">
        <v>79</v>
      </c>
      <c r="B2299" t="s">
        <v>163</v>
      </c>
      <c r="C2299" t="s">
        <v>5509</v>
      </c>
      <c r="D2299" t="s">
        <v>403</v>
      </c>
      <c r="F2299" t="s">
        <v>473</v>
      </c>
      <c r="G2299" t="s">
        <v>8903</v>
      </c>
      <c r="H2299" t="s">
        <v>10425</v>
      </c>
      <c r="I2299" t="s">
        <v>1501</v>
      </c>
      <c r="J2299" t="s">
        <v>1644</v>
      </c>
      <c r="K2299">
        <v>11207</v>
      </c>
      <c r="L2299" t="s">
        <v>1670</v>
      </c>
      <c r="M2299" t="s">
        <v>1672</v>
      </c>
      <c r="O2299" t="s">
        <v>1936</v>
      </c>
      <c r="P2299" t="s">
        <v>1960</v>
      </c>
      <c r="R2299" t="s">
        <v>50</v>
      </c>
      <c r="S2299" t="s">
        <v>1671</v>
      </c>
      <c r="U2299" t="s">
        <v>1972</v>
      </c>
      <c r="V2299" t="s">
        <v>1984</v>
      </c>
      <c r="W2299" t="s">
        <v>379</v>
      </c>
      <c r="X2299">
        <v>1400</v>
      </c>
      <c r="Y2299" t="s">
        <v>2009</v>
      </c>
      <c r="Z2299" t="s">
        <v>2020</v>
      </c>
      <c r="AB2299" t="s">
        <v>14658</v>
      </c>
      <c r="AC2299" t="s">
        <v>15153</v>
      </c>
      <c r="AD2299" t="s">
        <v>17063</v>
      </c>
      <c r="AE2299">
        <v>6</v>
      </c>
      <c r="AF2299" t="s">
        <v>2902</v>
      </c>
      <c r="AG2299" t="s">
        <v>1754</v>
      </c>
      <c r="AH2299">
        <v>10</v>
      </c>
      <c r="AI2299">
        <v>2</v>
      </c>
      <c r="AJ2299">
        <v>0</v>
      </c>
      <c r="AK2299">
        <v>118.37</v>
      </c>
      <c r="AN2299" t="s">
        <v>2927</v>
      </c>
      <c r="AO2299">
        <v>20016</v>
      </c>
      <c r="AU2299">
        <v>6.5</v>
      </c>
      <c r="AV2299" t="s">
        <v>401</v>
      </c>
      <c r="AW2299" t="s">
        <v>3060</v>
      </c>
      <c r="AX2299" t="s">
        <v>18685</v>
      </c>
    </row>
    <row r="2300" spans="1:50">
      <c r="A2300" s="1" t="s">
        <v>126</v>
      </c>
      <c r="B2300" t="s">
        <v>163</v>
      </c>
      <c r="C2300" t="s">
        <v>5510</v>
      </c>
      <c r="D2300" t="s">
        <v>167</v>
      </c>
      <c r="F2300" t="s">
        <v>7682</v>
      </c>
      <c r="G2300" t="s">
        <v>8904</v>
      </c>
      <c r="H2300" t="s">
        <v>9832</v>
      </c>
      <c r="I2300" t="s">
        <v>1571</v>
      </c>
      <c r="J2300" t="s">
        <v>1641</v>
      </c>
      <c r="K2300">
        <v>10453</v>
      </c>
      <c r="L2300" t="s">
        <v>1670</v>
      </c>
      <c r="M2300" t="s">
        <v>1672</v>
      </c>
      <c r="N2300" t="s">
        <v>12521</v>
      </c>
      <c r="O2300" t="s">
        <v>1936</v>
      </c>
      <c r="P2300" t="s">
        <v>1960</v>
      </c>
      <c r="R2300" t="s">
        <v>50</v>
      </c>
      <c r="S2300" t="s">
        <v>1671</v>
      </c>
      <c r="U2300" t="s">
        <v>1972</v>
      </c>
      <c r="V2300" t="s">
        <v>1984</v>
      </c>
      <c r="W2300" t="s">
        <v>1991</v>
      </c>
      <c r="X2300">
        <v>2000</v>
      </c>
      <c r="Y2300" t="s">
        <v>2006</v>
      </c>
      <c r="AB2300" t="s">
        <v>14659</v>
      </c>
      <c r="AD2300" t="s">
        <v>17064</v>
      </c>
      <c r="AE2300">
        <v>300</v>
      </c>
      <c r="AH2300">
        <v>27</v>
      </c>
      <c r="AI2300">
        <v>3</v>
      </c>
      <c r="AJ2300">
        <v>0</v>
      </c>
      <c r="AK2300">
        <v>118.38</v>
      </c>
      <c r="AN2300" t="s">
        <v>2926</v>
      </c>
      <c r="AO2300">
        <v>24600</v>
      </c>
      <c r="AU2300">
        <v>23.7</v>
      </c>
      <c r="AV2300" t="s">
        <v>400</v>
      </c>
      <c r="AW2300" t="s">
        <v>18654</v>
      </c>
      <c r="AX2300" t="s">
        <v>18685</v>
      </c>
    </row>
    <row r="2301" spans="1:50">
      <c r="A2301" s="1" t="s">
        <v>103</v>
      </c>
      <c r="B2301" t="s">
        <v>164</v>
      </c>
      <c r="C2301" t="s">
        <v>5511</v>
      </c>
      <c r="D2301" t="s">
        <v>6156</v>
      </c>
      <c r="E2301" t="s">
        <v>270</v>
      </c>
      <c r="F2301" t="s">
        <v>7683</v>
      </c>
      <c r="G2301" t="s">
        <v>8905</v>
      </c>
      <c r="H2301" t="s">
        <v>10426</v>
      </c>
      <c r="I2301" t="s">
        <v>1626</v>
      </c>
      <c r="J2301" t="s">
        <v>1644</v>
      </c>
      <c r="K2301">
        <v>11233</v>
      </c>
      <c r="L2301" t="s">
        <v>1670</v>
      </c>
      <c r="M2301" t="s">
        <v>1670</v>
      </c>
      <c r="N2301" t="s">
        <v>12522</v>
      </c>
      <c r="O2301" t="s">
        <v>1940</v>
      </c>
      <c r="P2301" t="s">
        <v>1958</v>
      </c>
      <c r="Q2301" t="s">
        <v>1965</v>
      </c>
      <c r="R2301" t="s">
        <v>50</v>
      </c>
      <c r="S2301" t="s">
        <v>1671</v>
      </c>
      <c r="U2301" t="s">
        <v>1972</v>
      </c>
      <c r="W2301" t="s">
        <v>6156</v>
      </c>
      <c r="X2301">
        <v>900</v>
      </c>
      <c r="Y2301" t="s">
        <v>2009</v>
      </c>
      <c r="Z2301" t="s">
        <v>2013</v>
      </c>
      <c r="AA2301" t="s">
        <v>2029</v>
      </c>
      <c r="AB2301" t="s">
        <v>14660</v>
      </c>
      <c r="AC2301" t="s">
        <v>15268</v>
      </c>
      <c r="AD2301" t="s">
        <v>17065</v>
      </c>
      <c r="AE2301">
        <v>2</v>
      </c>
      <c r="AF2301" t="s">
        <v>2903</v>
      </c>
      <c r="AG2301" t="s">
        <v>1754</v>
      </c>
      <c r="AH2301">
        <v>28</v>
      </c>
      <c r="AI2301">
        <v>1</v>
      </c>
      <c r="AJ2301">
        <v>0</v>
      </c>
      <c r="AK2301">
        <v>118.62</v>
      </c>
      <c r="AN2301" t="s">
        <v>2926</v>
      </c>
      <c r="AO2301">
        <v>14400</v>
      </c>
      <c r="AU2301">
        <v>1.25</v>
      </c>
      <c r="AV2301" t="s">
        <v>284</v>
      </c>
      <c r="AW2301" t="s">
        <v>3060</v>
      </c>
    </row>
    <row r="2302" spans="1:50">
      <c r="A2302" s="1" t="s">
        <v>3142</v>
      </c>
      <c r="B2302" t="s">
        <v>164</v>
      </c>
      <c r="C2302" t="s">
        <v>5512</v>
      </c>
      <c r="D2302" t="s">
        <v>225</v>
      </c>
      <c r="E2302" t="s">
        <v>225</v>
      </c>
      <c r="F2302" t="s">
        <v>643</v>
      </c>
      <c r="G2302" t="s">
        <v>8906</v>
      </c>
      <c r="H2302" t="s">
        <v>10427</v>
      </c>
      <c r="I2302" t="s">
        <v>1570</v>
      </c>
      <c r="J2302" t="s">
        <v>1641</v>
      </c>
      <c r="K2302">
        <v>10456</v>
      </c>
      <c r="L2302" t="s">
        <v>1670</v>
      </c>
      <c r="M2302" t="s">
        <v>1670</v>
      </c>
      <c r="O2302" t="s">
        <v>1675</v>
      </c>
      <c r="P2302" t="s">
        <v>1962</v>
      </c>
      <c r="Q2302" t="s">
        <v>1968</v>
      </c>
      <c r="R2302" t="s">
        <v>50</v>
      </c>
      <c r="S2302" t="s">
        <v>1671</v>
      </c>
      <c r="U2302" t="s">
        <v>1972</v>
      </c>
      <c r="W2302" t="s">
        <v>225</v>
      </c>
      <c r="X2302">
        <v>879</v>
      </c>
      <c r="Y2302" t="s">
        <v>2006</v>
      </c>
      <c r="Z2302" t="s">
        <v>2015</v>
      </c>
      <c r="AA2302" t="s">
        <v>2029</v>
      </c>
      <c r="AB2302" t="s">
        <v>14661</v>
      </c>
      <c r="AD2302" t="s">
        <v>17066</v>
      </c>
      <c r="AE2302">
        <v>35</v>
      </c>
      <c r="AF2302" t="s">
        <v>2902</v>
      </c>
      <c r="AG2302" t="s">
        <v>2919</v>
      </c>
      <c r="AH2302">
        <v>30</v>
      </c>
      <c r="AI2302">
        <v>1</v>
      </c>
      <c r="AJ2302">
        <v>0</v>
      </c>
      <c r="AK2302">
        <v>118.62</v>
      </c>
      <c r="AN2302" t="s">
        <v>2927</v>
      </c>
      <c r="AO2302">
        <v>14400</v>
      </c>
      <c r="AU2302">
        <v>0.2</v>
      </c>
      <c r="AV2302" t="s">
        <v>225</v>
      </c>
      <c r="AW2302" t="s">
        <v>3046</v>
      </c>
    </row>
    <row r="2303" spans="1:50">
      <c r="A2303" s="1" t="s">
        <v>146</v>
      </c>
      <c r="B2303" t="s">
        <v>164</v>
      </c>
      <c r="C2303" t="s">
        <v>5513</v>
      </c>
      <c r="D2303" t="s">
        <v>370</v>
      </c>
      <c r="E2303" t="s">
        <v>359</v>
      </c>
      <c r="F2303" t="s">
        <v>643</v>
      </c>
      <c r="G2303" t="s">
        <v>8906</v>
      </c>
      <c r="H2303" t="s">
        <v>10427</v>
      </c>
      <c r="J2303" t="s">
        <v>1641</v>
      </c>
      <c r="K2303">
        <v>10456</v>
      </c>
      <c r="L2303" t="s">
        <v>1670</v>
      </c>
      <c r="M2303" t="s">
        <v>1670</v>
      </c>
      <c r="O2303" t="s">
        <v>1945</v>
      </c>
      <c r="P2303" t="s">
        <v>1962</v>
      </c>
      <c r="Q2303" t="s">
        <v>1968</v>
      </c>
      <c r="R2303" t="s">
        <v>50</v>
      </c>
      <c r="S2303" t="s">
        <v>1671</v>
      </c>
      <c r="U2303" t="s">
        <v>1972</v>
      </c>
      <c r="W2303" t="s">
        <v>370</v>
      </c>
      <c r="X2303">
        <v>1159</v>
      </c>
      <c r="Y2303" t="s">
        <v>2006</v>
      </c>
      <c r="Z2303" t="s">
        <v>2015</v>
      </c>
      <c r="AA2303" t="s">
        <v>2034</v>
      </c>
      <c r="AB2303" t="s">
        <v>14661</v>
      </c>
      <c r="AD2303" t="s">
        <v>17066</v>
      </c>
      <c r="AE2303">
        <v>35</v>
      </c>
      <c r="AF2303" t="s">
        <v>2902</v>
      </c>
      <c r="AG2303" t="s">
        <v>2919</v>
      </c>
      <c r="AH2303">
        <v>30</v>
      </c>
      <c r="AI2303">
        <v>1</v>
      </c>
      <c r="AJ2303">
        <v>0</v>
      </c>
      <c r="AK2303">
        <v>118.62</v>
      </c>
      <c r="AN2303" t="s">
        <v>2927</v>
      </c>
      <c r="AO2303">
        <v>14400</v>
      </c>
      <c r="AU2303">
        <v>1</v>
      </c>
      <c r="AV2303" t="s">
        <v>370</v>
      </c>
      <c r="AW2303" t="s">
        <v>146</v>
      </c>
    </row>
    <row r="2304" spans="1:50">
      <c r="A2304" s="1" t="s">
        <v>64</v>
      </c>
      <c r="B2304" t="s">
        <v>163</v>
      </c>
      <c r="C2304" t="s">
        <v>5514</v>
      </c>
      <c r="D2304" t="s">
        <v>180</v>
      </c>
      <c r="F2304" t="s">
        <v>724</v>
      </c>
      <c r="G2304" t="s">
        <v>840</v>
      </c>
      <c r="H2304" t="s">
        <v>1243</v>
      </c>
      <c r="I2304" t="s">
        <v>1544</v>
      </c>
      <c r="J2304" t="s">
        <v>1643</v>
      </c>
      <c r="K2304">
        <v>10033</v>
      </c>
      <c r="L2304" t="s">
        <v>1670</v>
      </c>
      <c r="M2304" t="s">
        <v>1670</v>
      </c>
      <c r="O2304" t="s">
        <v>1939</v>
      </c>
      <c r="P2304" t="s">
        <v>1962</v>
      </c>
      <c r="R2304" t="s">
        <v>50</v>
      </c>
      <c r="S2304" t="s">
        <v>1670</v>
      </c>
      <c r="U2304" t="s">
        <v>1972</v>
      </c>
      <c r="W2304" t="s">
        <v>180</v>
      </c>
      <c r="X2304">
        <v>1198.63</v>
      </c>
      <c r="Y2304" t="s">
        <v>2008</v>
      </c>
      <c r="Z2304" t="s">
        <v>2016</v>
      </c>
      <c r="AB2304" t="s">
        <v>14662</v>
      </c>
      <c r="AD2304" t="s">
        <v>17067</v>
      </c>
      <c r="AE2304">
        <v>232</v>
      </c>
      <c r="AF2304" t="s">
        <v>2902</v>
      </c>
      <c r="AG2304" t="s">
        <v>2919</v>
      </c>
      <c r="AH2304">
        <v>38</v>
      </c>
      <c r="AI2304">
        <v>1</v>
      </c>
      <c r="AJ2304">
        <v>0</v>
      </c>
      <c r="AK2304">
        <v>118.62</v>
      </c>
      <c r="AN2304" t="s">
        <v>2927</v>
      </c>
      <c r="AO2304">
        <v>14400</v>
      </c>
      <c r="AU2304">
        <v>1.7</v>
      </c>
      <c r="AV2304" t="s">
        <v>1995</v>
      </c>
      <c r="AW2304" t="s">
        <v>3042</v>
      </c>
    </row>
    <row r="2305" spans="1:50">
      <c r="A2305" s="1" t="s">
        <v>107</v>
      </c>
      <c r="B2305" t="s">
        <v>164</v>
      </c>
      <c r="C2305" t="s">
        <v>5515</v>
      </c>
      <c r="D2305" t="s">
        <v>279</v>
      </c>
      <c r="E2305" t="s">
        <v>237</v>
      </c>
      <c r="F2305" t="s">
        <v>7684</v>
      </c>
      <c r="G2305" t="s">
        <v>8907</v>
      </c>
      <c r="H2305" t="s">
        <v>10428</v>
      </c>
      <c r="I2305" t="s">
        <v>11076</v>
      </c>
      <c r="J2305" t="s">
        <v>1644</v>
      </c>
      <c r="K2305">
        <v>11207</v>
      </c>
      <c r="L2305" t="s">
        <v>1671</v>
      </c>
      <c r="M2305" t="s">
        <v>1671</v>
      </c>
      <c r="N2305" t="s">
        <v>12523</v>
      </c>
      <c r="O2305" t="s">
        <v>1940</v>
      </c>
      <c r="P2305" t="s">
        <v>1959</v>
      </c>
      <c r="Q2305" t="s">
        <v>1966</v>
      </c>
      <c r="R2305" t="s">
        <v>50</v>
      </c>
      <c r="S2305" t="s">
        <v>1671</v>
      </c>
      <c r="U2305" t="s">
        <v>1972</v>
      </c>
      <c r="V2305" t="s">
        <v>1984</v>
      </c>
      <c r="W2305" t="s">
        <v>167</v>
      </c>
      <c r="X2305">
        <v>675</v>
      </c>
      <c r="Y2305" t="s">
        <v>2009</v>
      </c>
      <c r="Z2305" t="s">
        <v>2019</v>
      </c>
      <c r="AA2305" t="s">
        <v>2042</v>
      </c>
      <c r="AB2305" t="s">
        <v>14663</v>
      </c>
      <c r="AC2305" t="s">
        <v>1754</v>
      </c>
      <c r="AD2305" t="s">
        <v>17068</v>
      </c>
      <c r="AE2305">
        <v>3</v>
      </c>
      <c r="AF2305" t="s">
        <v>2903</v>
      </c>
      <c r="AG2305" t="s">
        <v>1754</v>
      </c>
      <c r="AH2305">
        <v>2</v>
      </c>
      <c r="AI2305">
        <v>1</v>
      </c>
      <c r="AJ2305">
        <v>0</v>
      </c>
      <c r="AK2305">
        <v>118.62</v>
      </c>
      <c r="AN2305" t="s">
        <v>2926</v>
      </c>
      <c r="AO2305">
        <v>14400</v>
      </c>
      <c r="AU2305">
        <v>1.8</v>
      </c>
      <c r="AV2305" t="s">
        <v>309</v>
      </c>
      <c r="AW2305" t="s">
        <v>3066</v>
      </c>
    </row>
    <row r="2306" spans="1:50">
      <c r="A2306" s="1" t="s">
        <v>3193</v>
      </c>
      <c r="B2306" t="s">
        <v>163</v>
      </c>
      <c r="C2306" t="s">
        <v>5516</v>
      </c>
      <c r="D2306" t="s">
        <v>278</v>
      </c>
      <c r="F2306" t="s">
        <v>7685</v>
      </c>
      <c r="G2306" t="s">
        <v>8908</v>
      </c>
      <c r="H2306" t="s">
        <v>10429</v>
      </c>
      <c r="I2306" t="s">
        <v>1575</v>
      </c>
      <c r="J2306" t="s">
        <v>1668</v>
      </c>
      <c r="K2306">
        <v>11358</v>
      </c>
      <c r="L2306" t="s">
        <v>1670</v>
      </c>
      <c r="M2306" t="s">
        <v>1670</v>
      </c>
      <c r="N2306" t="s">
        <v>12524</v>
      </c>
      <c r="O2306" t="s">
        <v>1954</v>
      </c>
      <c r="P2306" t="s">
        <v>1960</v>
      </c>
      <c r="R2306" t="s">
        <v>50</v>
      </c>
      <c r="S2306" t="s">
        <v>1671</v>
      </c>
      <c r="U2306" t="s">
        <v>1972</v>
      </c>
      <c r="V2306" t="s">
        <v>1984</v>
      </c>
      <c r="W2306" t="s">
        <v>172</v>
      </c>
      <c r="X2306">
        <v>937</v>
      </c>
      <c r="Y2306" t="s">
        <v>2007</v>
      </c>
      <c r="Z2306" t="s">
        <v>2013</v>
      </c>
      <c r="AB2306" t="s">
        <v>14664</v>
      </c>
      <c r="AC2306" t="s">
        <v>1754</v>
      </c>
      <c r="AD2306" t="s">
        <v>17069</v>
      </c>
      <c r="AE2306">
        <v>20</v>
      </c>
      <c r="AF2306" t="s">
        <v>2902</v>
      </c>
      <c r="AG2306" t="s">
        <v>1754</v>
      </c>
      <c r="AH2306">
        <v>10</v>
      </c>
      <c r="AI2306">
        <v>1</v>
      </c>
      <c r="AJ2306">
        <v>0</v>
      </c>
      <c r="AK2306">
        <v>118.62</v>
      </c>
      <c r="AN2306" t="s">
        <v>2926</v>
      </c>
      <c r="AO2306">
        <v>14400</v>
      </c>
      <c r="AQ2306" t="s">
        <v>2976</v>
      </c>
      <c r="AR2306" t="s">
        <v>18479</v>
      </c>
      <c r="AS2306" t="s">
        <v>2993</v>
      </c>
      <c r="AT2306" t="s">
        <v>18590</v>
      </c>
      <c r="AU2306">
        <v>10.7</v>
      </c>
      <c r="AV2306" t="s">
        <v>199</v>
      </c>
      <c r="AW2306" t="s">
        <v>18654</v>
      </c>
    </row>
    <row r="2307" spans="1:50">
      <c r="A2307" s="1" t="s">
        <v>3193</v>
      </c>
      <c r="B2307" t="s">
        <v>163</v>
      </c>
      <c r="C2307" t="s">
        <v>5517</v>
      </c>
      <c r="D2307" t="s">
        <v>176</v>
      </c>
      <c r="F2307" t="s">
        <v>7685</v>
      </c>
      <c r="G2307" t="s">
        <v>8908</v>
      </c>
      <c r="H2307" t="s">
        <v>10429</v>
      </c>
      <c r="I2307" t="s">
        <v>1575</v>
      </c>
      <c r="J2307" t="s">
        <v>1668</v>
      </c>
      <c r="K2307">
        <v>11358</v>
      </c>
      <c r="L2307" t="s">
        <v>1670</v>
      </c>
      <c r="M2307" t="s">
        <v>1670</v>
      </c>
      <c r="N2307" t="s">
        <v>12525</v>
      </c>
      <c r="O2307" t="s">
        <v>1954</v>
      </c>
      <c r="P2307" t="s">
        <v>1960</v>
      </c>
      <c r="R2307" t="s">
        <v>50</v>
      </c>
      <c r="S2307" t="s">
        <v>1671</v>
      </c>
      <c r="U2307" t="s">
        <v>1972</v>
      </c>
      <c r="V2307" t="s">
        <v>1984</v>
      </c>
      <c r="W2307" t="s">
        <v>172</v>
      </c>
      <c r="X2307">
        <v>937</v>
      </c>
      <c r="Y2307" t="s">
        <v>2007</v>
      </c>
      <c r="Z2307" t="s">
        <v>2013</v>
      </c>
      <c r="AB2307" t="s">
        <v>14664</v>
      </c>
      <c r="AD2307" t="s">
        <v>17069</v>
      </c>
      <c r="AE2307">
        <v>20</v>
      </c>
      <c r="AF2307" t="s">
        <v>2902</v>
      </c>
      <c r="AG2307" t="s">
        <v>1754</v>
      </c>
      <c r="AH2307">
        <v>10</v>
      </c>
      <c r="AI2307">
        <v>1</v>
      </c>
      <c r="AJ2307">
        <v>0</v>
      </c>
      <c r="AK2307">
        <v>118.62</v>
      </c>
      <c r="AN2307" t="s">
        <v>2926</v>
      </c>
      <c r="AO2307">
        <v>14400</v>
      </c>
      <c r="AQ2307" t="s">
        <v>2976</v>
      </c>
      <c r="AR2307" t="s">
        <v>18479</v>
      </c>
      <c r="AS2307" t="s">
        <v>2993</v>
      </c>
      <c r="AT2307" t="s">
        <v>18590</v>
      </c>
      <c r="AU2307">
        <v>5.3</v>
      </c>
      <c r="AV2307" t="s">
        <v>199</v>
      </c>
      <c r="AW2307" t="s">
        <v>85</v>
      </c>
    </row>
    <row r="2308" spans="1:50">
      <c r="A2308" s="1" t="s">
        <v>56</v>
      </c>
      <c r="B2308" t="s">
        <v>163</v>
      </c>
      <c r="C2308" t="s">
        <v>5518</v>
      </c>
      <c r="D2308" t="s">
        <v>176</v>
      </c>
      <c r="F2308" t="s">
        <v>7685</v>
      </c>
      <c r="G2308" t="s">
        <v>8908</v>
      </c>
      <c r="H2308" t="s">
        <v>10429</v>
      </c>
      <c r="I2308" t="s">
        <v>1575</v>
      </c>
      <c r="J2308" t="s">
        <v>1668</v>
      </c>
      <c r="K2308">
        <v>11358</v>
      </c>
      <c r="L2308" t="s">
        <v>1670</v>
      </c>
      <c r="M2308" t="s">
        <v>1670</v>
      </c>
      <c r="N2308" t="s">
        <v>12526</v>
      </c>
      <c r="O2308" t="s">
        <v>1954</v>
      </c>
      <c r="P2308" t="s">
        <v>1960</v>
      </c>
      <c r="R2308" t="s">
        <v>50</v>
      </c>
      <c r="S2308" t="s">
        <v>1671</v>
      </c>
      <c r="U2308" t="s">
        <v>1972</v>
      </c>
      <c r="V2308" t="s">
        <v>1984</v>
      </c>
      <c r="W2308" t="s">
        <v>172</v>
      </c>
      <c r="X2308">
        <v>937</v>
      </c>
      <c r="Y2308" t="s">
        <v>2007</v>
      </c>
      <c r="Z2308" t="s">
        <v>2013</v>
      </c>
      <c r="AB2308" t="s">
        <v>14664</v>
      </c>
      <c r="AD2308" t="s">
        <v>17069</v>
      </c>
      <c r="AE2308">
        <v>20</v>
      </c>
      <c r="AF2308" t="s">
        <v>2902</v>
      </c>
      <c r="AG2308" t="s">
        <v>1754</v>
      </c>
      <c r="AH2308">
        <v>10</v>
      </c>
      <c r="AI2308">
        <v>1</v>
      </c>
      <c r="AJ2308">
        <v>0</v>
      </c>
      <c r="AK2308">
        <v>118.62</v>
      </c>
      <c r="AN2308" t="s">
        <v>2926</v>
      </c>
      <c r="AO2308">
        <v>14400</v>
      </c>
      <c r="AQ2308" t="s">
        <v>2976</v>
      </c>
      <c r="AR2308" t="s">
        <v>18479</v>
      </c>
      <c r="AS2308" t="s">
        <v>2993</v>
      </c>
      <c r="AT2308" t="s">
        <v>18590</v>
      </c>
      <c r="AU2308">
        <v>75.75</v>
      </c>
      <c r="AV2308" t="s">
        <v>236</v>
      </c>
      <c r="AW2308" t="s">
        <v>85</v>
      </c>
    </row>
    <row r="2309" spans="1:50">
      <c r="A2309" s="1" t="s">
        <v>94</v>
      </c>
      <c r="B2309" t="s">
        <v>163</v>
      </c>
      <c r="C2309" t="s">
        <v>5519</v>
      </c>
      <c r="D2309" t="s">
        <v>318</v>
      </c>
      <c r="F2309" t="s">
        <v>7686</v>
      </c>
      <c r="G2309" t="s">
        <v>8909</v>
      </c>
      <c r="H2309" t="s">
        <v>9407</v>
      </c>
      <c r="I2309" t="s">
        <v>11114</v>
      </c>
      <c r="J2309" t="s">
        <v>1643</v>
      </c>
      <c r="K2309">
        <v>10040</v>
      </c>
      <c r="L2309" t="s">
        <v>1670</v>
      </c>
      <c r="M2309" t="s">
        <v>1670</v>
      </c>
      <c r="O2309" t="s">
        <v>1938</v>
      </c>
      <c r="P2309" t="s">
        <v>1960</v>
      </c>
      <c r="R2309" t="s">
        <v>50</v>
      </c>
      <c r="S2309" t="s">
        <v>1670</v>
      </c>
      <c r="U2309" t="s">
        <v>1972</v>
      </c>
      <c r="W2309" t="s">
        <v>318</v>
      </c>
      <c r="X2309">
        <v>1438.5</v>
      </c>
      <c r="Y2309" t="s">
        <v>2008</v>
      </c>
      <c r="Z2309" t="s">
        <v>2020</v>
      </c>
      <c r="AB2309" t="s">
        <v>14665</v>
      </c>
      <c r="AD2309" t="s">
        <v>17070</v>
      </c>
      <c r="AE2309">
        <v>88</v>
      </c>
      <c r="AF2309" t="s">
        <v>2902</v>
      </c>
      <c r="AG2309" t="s">
        <v>1754</v>
      </c>
      <c r="AH2309">
        <v>3</v>
      </c>
      <c r="AI2309">
        <v>1</v>
      </c>
      <c r="AJ2309">
        <v>0</v>
      </c>
      <c r="AK2309">
        <v>118.62</v>
      </c>
      <c r="AN2309" t="s">
        <v>2926</v>
      </c>
      <c r="AO2309">
        <v>14400</v>
      </c>
      <c r="AU2309" t="s">
        <v>13051</v>
      </c>
      <c r="AW2309" t="s">
        <v>3042</v>
      </c>
    </row>
    <row r="2310" spans="1:50">
      <c r="A2310" s="1" t="s">
        <v>108</v>
      </c>
      <c r="B2310" t="s">
        <v>163</v>
      </c>
      <c r="C2310" t="s">
        <v>5520</v>
      </c>
      <c r="D2310" t="s">
        <v>409</v>
      </c>
      <c r="F2310" t="s">
        <v>7497</v>
      </c>
      <c r="G2310" t="s">
        <v>8910</v>
      </c>
      <c r="H2310" t="s">
        <v>10430</v>
      </c>
      <c r="J2310" t="s">
        <v>11746</v>
      </c>
      <c r="K2310">
        <v>11416</v>
      </c>
      <c r="L2310" t="s">
        <v>1670</v>
      </c>
      <c r="M2310" t="s">
        <v>1672</v>
      </c>
      <c r="N2310" t="s">
        <v>12527</v>
      </c>
      <c r="O2310" t="s">
        <v>1940</v>
      </c>
      <c r="P2310" t="s">
        <v>1963</v>
      </c>
      <c r="R2310" t="s">
        <v>50</v>
      </c>
      <c r="S2310" t="s">
        <v>1671</v>
      </c>
      <c r="U2310" t="s">
        <v>1972</v>
      </c>
      <c r="W2310" t="s">
        <v>409</v>
      </c>
      <c r="X2310">
        <v>1350</v>
      </c>
      <c r="Y2310" t="s">
        <v>2007</v>
      </c>
      <c r="AB2310" t="s">
        <v>14666</v>
      </c>
      <c r="AE2310" t="s">
        <v>13051</v>
      </c>
      <c r="AH2310">
        <v>10</v>
      </c>
      <c r="AI2310">
        <v>1</v>
      </c>
      <c r="AJ2310">
        <v>0</v>
      </c>
      <c r="AK2310">
        <v>118.65</v>
      </c>
      <c r="AN2310" t="s">
        <v>2926</v>
      </c>
      <c r="AO2310">
        <v>14820</v>
      </c>
      <c r="AU2310">
        <v>1</v>
      </c>
      <c r="AV2310" t="s">
        <v>291</v>
      </c>
      <c r="AW2310" t="s">
        <v>3073</v>
      </c>
    </row>
    <row r="2311" spans="1:50">
      <c r="A2311" s="1" t="s">
        <v>126</v>
      </c>
      <c r="B2311" t="s">
        <v>163</v>
      </c>
      <c r="C2311" t="s">
        <v>5521</v>
      </c>
      <c r="D2311" t="s">
        <v>245</v>
      </c>
      <c r="F2311" t="s">
        <v>708</v>
      </c>
      <c r="G2311" t="s">
        <v>8153</v>
      </c>
      <c r="H2311" t="s">
        <v>9627</v>
      </c>
      <c r="I2311" t="s">
        <v>11375</v>
      </c>
      <c r="J2311" t="s">
        <v>1641</v>
      </c>
      <c r="K2311">
        <v>10451</v>
      </c>
      <c r="L2311" t="s">
        <v>1670</v>
      </c>
      <c r="M2311" t="s">
        <v>1670</v>
      </c>
      <c r="N2311" t="s">
        <v>11981</v>
      </c>
      <c r="O2311" t="s">
        <v>1939</v>
      </c>
      <c r="P2311" t="s">
        <v>1960</v>
      </c>
      <c r="R2311" t="s">
        <v>50</v>
      </c>
      <c r="S2311" t="s">
        <v>1670</v>
      </c>
      <c r="U2311" t="s">
        <v>1972</v>
      </c>
      <c r="W2311" t="s">
        <v>359</v>
      </c>
      <c r="X2311">
        <v>2150</v>
      </c>
      <c r="Y2311" t="s">
        <v>2006</v>
      </c>
      <c r="Z2311" t="s">
        <v>2015</v>
      </c>
      <c r="AB2311" t="s">
        <v>14667</v>
      </c>
      <c r="AD2311" t="s">
        <v>17071</v>
      </c>
      <c r="AE2311">
        <v>100</v>
      </c>
      <c r="AF2311" t="s">
        <v>2903</v>
      </c>
      <c r="AH2311">
        <v>3</v>
      </c>
      <c r="AI2311">
        <v>4</v>
      </c>
      <c r="AJ2311">
        <v>0</v>
      </c>
      <c r="AK2311">
        <v>118.73</v>
      </c>
      <c r="AN2311" t="s">
        <v>2926</v>
      </c>
      <c r="AO2311">
        <v>29800</v>
      </c>
      <c r="AU2311">
        <v>97</v>
      </c>
      <c r="AV2311" t="s">
        <v>354</v>
      </c>
      <c r="AW2311" t="s">
        <v>3047</v>
      </c>
    </row>
    <row r="2312" spans="1:50">
      <c r="A2312" s="1" t="s">
        <v>103</v>
      </c>
      <c r="B2312" t="s">
        <v>163</v>
      </c>
      <c r="C2312" t="s">
        <v>5522</v>
      </c>
      <c r="D2312" t="s">
        <v>252</v>
      </c>
      <c r="F2312" t="s">
        <v>7687</v>
      </c>
      <c r="G2312" t="s">
        <v>808</v>
      </c>
      <c r="H2312" t="s">
        <v>10431</v>
      </c>
      <c r="I2312" t="s">
        <v>1622</v>
      </c>
      <c r="J2312" t="s">
        <v>1644</v>
      </c>
      <c r="K2312">
        <v>11239</v>
      </c>
      <c r="L2312" t="s">
        <v>1670</v>
      </c>
      <c r="M2312" t="s">
        <v>1670</v>
      </c>
      <c r="N2312" t="s">
        <v>12528</v>
      </c>
      <c r="O2312" t="s">
        <v>1936</v>
      </c>
      <c r="P2312" t="s">
        <v>1960</v>
      </c>
      <c r="R2312" t="s">
        <v>50</v>
      </c>
      <c r="U2312" t="s">
        <v>1972</v>
      </c>
      <c r="W2312" t="s">
        <v>252</v>
      </c>
      <c r="X2312">
        <v>689</v>
      </c>
      <c r="Y2312" t="s">
        <v>2009</v>
      </c>
      <c r="Z2312" t="s">
        <v>2011</v>
      </c>
      <c r="AB2312" t="s">
        <v>14668</v>
      </c>
      <c r="AD2312" t="s">
        <v>17072</v>
      </c>
      <c r="AE2312">
        <v>10</v>
      </c>
      <c r="AF2312" t="s">
        <v>2902</v>
      </c>
      <c r="AH2312">
        <v>3</v>
      </c>
      <c r="AI2312">
        <v>1</v>
      </c>
      <c r="AJ2312">
        <v>0</v>
      </c>
      <c r="AK2312">
        <v>119.8</v>
      </c>
      <c r="AN2312" t="s">
        <v>2926</v>
      </c>
      <c r="AO2312">
        <v>14544</v>
      </c>
      <c r="AP2312" t="s">
        <v>18059</v>
      </c>
      <c r="AU2312">
        <v>36.75</v>
      </c>
      <c r="AV2312" t="s">
        <v>217</v>
      </c>
      <c r="AW2312" t="s">
        <v>3049</v>
      </c>
    </row>
    <row r="2313" spans="1:50">
      <c r="A2313" s="1" t="s">
        <v>120</v>
      </c>
      <c r="B2313" t="s">
        <v>164</v>
      </c>
      <c r="C2313" t="s">
        <v>5523</v>
      </c>
      <c r="D2313" t="s">
        <v>246</v>
      </c>
      <c r="E2313" t="s">
        <v>6763</v>
      </c>
      <c r="F2313" t="s">
        <v>7688</v>
      </c>
      <c r="G2313" t="s">
        <v>8911</v>
      </c>
      <c r="H2313" t="s">
        <v>10432</v>
      </c>
      <c r="I2313" t="s">
        <v>1488</v>
      </c>
      <c r="J2313" t="s">
        <v>1644</v>
      </c>
      <c r="K2313">
        <v>11208</v>
      </c>
      <c r="L2313" t="s">
        <v>1670</v>
      </c>
      <c r="M2313" t="s">
        <v>1670</v>
      </c>
      <c r="N2313" t="s">
        <v>1675</v>
      </c>
      <c r="O2313" t="s">
        <v>12751</v>
      </c>
      <c r="P2313" t="s">
        <v>1962</v>
      </c>
      <c r="Q2313" t="s">
        <v>1968</v>
      </c>
      <c r="R2313" t="s">
        <v>50</v>
      </c>
      <c r="S2313" t="s">
        <v>1671</v>
      </c>
      <c r="U2313" t="s">
        <v>1972</v>
      </c>
      <c r="V2313" t="s">
        <v>1984</v>
      </c>
      <c r="W2313" t="s">
        <v>231</v>
      </c>
      <c r="X2313">
        <v>1268</v>
      </c>
      <c r="Y2313" t="s">
        <v>2009</v>
      </c>
      <c r="Z2313" t="s">
        <v>2020</v>
      </c>
      <c r="AA2313" t="s">
        <v>2030</v>
      </c>
      <c r="AB2313" t="s">
        <v>14669</v>
      </c>
      <c r="AC2313" t="s">
        <v>15269</v>
      </c>
      <c r="AD2313" t="s">
        <v>17073</v>
      </c>
      <c r="AE2313" t="s">
        <v>13051</v>
      </c>
      <c r="AF2313" t="s">
        <v>2902</v>
      </c>
      <c r="AG2313" t="s">
        <v>2916</v>
      </c>
      <c r="AH2313">
        <v>4</v>
      </c>
      <c r="AI2313">
        <v>1</v>
      </c>
      <c r="AJ2313">
        <v>0</v>
      </c>
      <c r="AK2313">
        <v>119.93</v>
      </c>
      <c r="AN2313" t="s">
        <v>2926</v>
      </c>
      <c r="AO2313">
        <v>14560</v>
      </c>
      <c r="AU2313">
        <v>3.75</v>
      </c>
      <c r="AV2313" t="s">
        <v>6763</v>
      </c>
      <c r="AW2313" t="s">
        <v>3060</v>
      </c>
    </row>
    <row r="2314" spans="1:50">
      <c r="A2314" s="1" t="s">
        <v>121</v>
      </c>
      <c r="B2314" t="s">
        <v>163</v>
      </c>
      <c r="C2314" t="s">
        <v>5524</v>
      </c>
      <c r="D2314" t="s">
        <v>266</v>
      </c>
      <c r="F2314" t="s">
        <v>510</v>
      </c>
      <c r="G2314" t="s">
        <v>8912</v>
      </c>
      <c r="H2314" t="s">
        <v>10433</v>
      </c>
      <c r="I2314" t="s">
        <v>1508</v>
      </c>
      <c r="J2314" t="s">
        <v>1644</v>
      </c>
      <c r="K2314">
        <v>11217</v>
      </c>
      <c r="L2314" t="s">
        <v>1670</v>
      </c>
      <c r="M2314" t="s">
        <v>1670</v>
      </c>
      <c r="N2314" t="s">
        <v>12529</v>
      </c>
      <c r="O2314" t="s">
        <v>1936</v>
      </c>
      <c r="P2314" t="s">
        <v>1962</v>
      </c>
      <c r="R2314" t="s">
        <v>50</v>
      </c>
      <c r="S2314" t="s">
        <v>1671</v>
      </c>
      <c r="U2314" t="s">
        <v>1972</v>
      </c>
      <c r="V2314" t="s">
        <v>1984</v>
      </c>
      <c r="W2314" t="s">
        <v>367</v>
      </c>
      <c r="X2314">
        <v>431</v>
      </c>
      <c r="Y2314" t="s">
        <v>2009</v>
      </c>
      <c r="Z2314" t="s">
        <v>2013</v>
      </c>
      <c r="AB2314" t="s">
        <v>14670</v>
      </c>
      <c r="AC2314" t="s">
        <v>1754</v>
      </c>
      <c r="AD2314" t="s">
        <v>17074</v>
      </c>
      <c r="AE2314">
        <v>7</v>
      </c>
      <c r="AF2314" t="s">
        <v>2902</v>
      </c>
      <c r="AG2314" t="s">
        <v>2915</v>
      </c>
      <c r="AH2314" t="s">
        <v>13051</v>
      </c>
      <c r="AI2314">
        <v>1</v>
      </c>
      <c r="AJ2314">
        <v>0</v>
      </c>
      <c r="AK2314">
        <v>120.1</v>
      </c>
      <c r="AN2314" t="s">
        <v>2926</v>
      </c>
      <c r="AO2314">
        <v>15000</v>
      </c>
      <c r="AU2314" t="s">
        <v>13051</v>
      </c>
      <c r="AW2314" t="s">
        <v>3060</v>
      </c>
    </row>
    <row r="2315" spans="1:50">
      <c r="A2315" s="1" t="s">
        <v>3172</v>
      </c>
      <c r="B2315" t="s">
        <v>163</v>
      </c>
      <c r="C2315" t="s">
        <v>5525</v>
      </c>
      <c r="D2315" t="s">
        <v>222</v>
      </c>
      <c r="F2315" t="s">
        <v>520</v>
      </c>
      <c r="G2315" t="s">
        <v>8105</v>
      </c>
      <c r="H2315" t="s">
        <v>10434</v>
      </c>
      <c r="I2315" t="s">
        <v>1531</v>
      </c>
      <c r="J2315" t="s">
        <v>1668</v>
      </c>
      <c r="K2315">
        <v>11354</v>
      </c>
      <c r="L2315" t="s">
        <v>1670</v>
      </c>
      <c r="M2315" t="s">
        <v>1672</v>
      </c>
      <c r="N2315" t="s">
        <v>11976</v>
      </c>
      <c r="O2315" t="s">
        <v>1938</v>
      </c>
      <c r="P2315" t="s">
        <v>1961</v>
      </c>
      <c r="R2315" t="s">
        <v>50</v>
      </c>
      <c r="S2315" t="s">
        <v>1670</v>
      </c>
      <c r="U2315" t="s">
        <v>1972</v>
      </c>
      <c r="V2315" t="s">
        <v>1984</v>
      </c>
      <c r="W2315" t="s">
        <v>222</v>
      </c>
      <c r="X2315">
        <v>1009</v>
      </c>
      <c r="Y2315" t="s">
        <v>2007</v>
      </c>
      <c r="Z2315" t="s">
        <v>2026</v>
      </c>
      <c r="AB2315" t="s">
        <v>14671</v>
      </c>
      <c r="AD2315" t="s">
        <v>17075</v>
      </c>
      <c r="AE2315">
        <v>91</v>
      </c>
      <c r="AF2315" t="s">
        <v>2902</v>
      </c>
      <c r="AG2315" t="s">
        <v>1754</v>
      </c>
      <c r="AH2315">
        <v>17</v>
      </c>
      <c r="AI2315">
        <v>1</v>
      </c>
      <c r="AJ2315">
        <v>0</v>
      </c>
      <c r="AK2315">
        <v>120.1</v>
      </c>
      <c r="AN2315" t="s">
        <v>2927</v>
      </c>
      <c r="AO2315">
        <v>15000</v>
      </c>
      <c r="AU2315" t="s">
        <v>13051</v>
      </c>
      <c r="AW2315" t="s">
        <v>3172</v>
      </c>
      <c r="AX2315" t="s">
        <v>18685</v>
      </c>
    </row>
    <row r="2316" spans="1:50">
      <c r="A2316" s="1" t="s">
        <v>118</v>
      </c>
      <c r="B2316" t="s">
        <v>163</v>
      </c>
      <c r="C2316" t="s">
        <v>5526</v>
      </c>
      <c r="D2316" t="s">
        <v>335</v>
      </c>
      <c r="F2316" t="s">
        <v>547</v>
      </c>
      <c r="G2316" t="s">
        <v>8913</v>
      </c>
      <c r="H2316" t="s">
        <v>10435</v>
      </c>
      <c r="I2316" t="s">
        <v>11376</v>
      </c>
      <c r="J2316" t="s">
        <v>1641</v>
      </c>
      <c r="K2316">
        <v>10461</v>
      </c>
      <c r="L2316" t="s">
        <v>1670</v>
      </c>
      <c r="M2316" t="s">
        <v>1670</v>
      </c>
      <c r="O2316" t="s">
        <v>1941</v>
      </c>
      <c r="P2316" t="s">
        <v>1962</v>
      </c>
      <c r="R2316" t="s">
        <v>50</v>
      </c>
      <c r="S2316" t="s">
        <v>1671</v>
      </c>
      <c r="U2316" t="s">
        <v>1973</v>
      </c>
      <c r="W2316" t="s">
        <v>335</v>
      </c>
      <c r="X2316" t="s">
        <v>13051</v>
      </c>
      <c r="Y2316" t="s">
        <v>2006</v>
      </c>
      <c r="Z2316" t="s">
        <v>2020</v>
      </c>
      <c r="AB2316" t="s">
        <v>14672</v>
      </c>
      <c r="AD2316" t="s">
        <v>17076</v>
      </c>
      <c r="AE2316">
        <v>62</v>
      </c>
      <c r="AF2316" t="s">
        <v>2902</v>
      </c>
      <c r="AG2316" t="s">
        <v>2915</v>
      </c>
      <c r="AH2316">
        <v>41</v>
      </c>
      <c r="AI2316">
        <v>1</v>
      </c>
      <c r="AJ2316">
        <v>0</v>
      </c>
      <c r="AK2316">
        <v>120.2</v>
      </c>
      <c r="AN2316" t="s">
        <v>2927</v>
      </c>
      <c r="AO2316">
        <v>14592</v>
      </c>
      <c r="AU2316">
        <v>0.4</v>
      </c>
      <c r="AV2316" t="s">
        <v>331</v>
      </c>
      <c r="AW2316" t="s">
        <v>3054</v>
      </c>
    </row>
    <row r="2317" spans="1:50">
      <c r="A2317" s="1" t="s">
        <v>94</v>
      </c>
      <c r="B2317" t="s">
        <v>163</v>
      </c>
      <c r="C2317" t="s">
        <v>5527</v>
      </c>
      <c r="D2317" t="s">
        <v>206</v>
      </c>
      <c r="F2317" t="s">
        <v>746</v>
      </c>
      <c r="G2317" t="s">
        <v>8914</v>
      </c>
      <c r="H2317" t="s">
        <v>10268</v>
      </c>
      <c r="I2317">
        <v>45</v>
      </c>
      <c r="J2317" t="s">
        <v>1643</v>
      </c>
      <c r="K2317">
        <v>10032</v>
      </c>
      <c r="L2317" t="s">
        <v>1670</v>
      </c>
      <c r="M2317" t="s">
        <v>1672</v>
      </c>
      <c r="O2317" t="s">
        <v>1941</v>
      </c>
      <c r="P2317" t="s">
        <v>1962</v>
      </c>
      <c r="R2317" t="s">
        <v>50</v>
      </c>
      <c r="S2317" t="s">
        <v>1671</v>
      </c>
      <c r="U2317" t="s">
        <v>1972</v>
      </c>
      <c r="W2317" t="s">
        <v>206</v>
      </c>
      <c r="X2317" t="s">
        <v>13051</v>
      </c>
      <c r="Y2317" t="s">
        <v>2008</v>
      </c>
      <c r="Z2317" t="s">
        <v>2013</v>
      </c>
      <c r="AB2317" t="s">
        <v>14673</v>
      </c>
      <c r="AE2317">
        <v>30</v>
      </c>
      <c r="AF2317" t="s">
        <v>2902</v>
      </c>
      <c r="AG2317" t="s">
        <v>1754</v>
      </c>
      <c r="AH2317">
        <v>22</v>
      </c>
      <c r="AI2317">
        <v>6</v>
      </c>
      <c r="AJ2317">
        <v>0</v>
      </c>
      <c r="AK2317">
        <v>120.27</v>
      </c>
      <c r="AN2317" t="s">
        <v>2927</v>
      </c>
      <c r="AO2317">
        <v>41600</v>
      </c>
      <c r="AU2317" t="s">
        <v>13051</v>
      </c>
      <c r="AW2317" t="s">
        <v>3042</v>
      </c>
      <c r="AX2317" t="s">
        <v>18685</v>
      </c>
    </row>
    <row r="2318" spans="1:50">
      <c r="A2318" s="1" t="s">
        <v>103</v>
      </c>
      <c r="B2318" t="s">
        <v>164</v>
      </c>
      <c r="C2318" t="s">
        <v>5528</v>
      </c>
      <c r="D2318" t="s">
        <v>204</v>
      </c>
      <c r="E2318" t="s">
        <v>223</v>
      </c>
      <c r="F2318" t="s">
        <v>7257</v>
      </c>
      <c r="G2318" t="s">
        <v>8915</v>
      </c>
      <c r="H2318" t="s">
        <v>9958</v>
      </c>
      <c r="I2318">
        <v>15</v>
      </c>
      <c r="J2318" t="s">
        <v>1644</v>
      </c>
      <c r="K2318">
        <v>11212</v>
      </c>
      <c r="L2318" t="s">
        <v>1670</v>
      </c>
      <c r="M2318" t="s">
        <v>1670</v>
      </c>
      <c r="N2318" t="s">
        <v>12530</v>
      </c>
      <c r="O2318" t="s">
        <v>1936</v>
      </c>
      <c r="P2318" t="s">
        <v>1962</v>
      </c>
      <c r="Q2318" t="s">
        <v>1968</v>
      </c>
      <c r="R2318" t="s">
        <v>50</v>
      </c>
      <c r="U2318" t="s">
        <v>1972</v>
      </c>
      <c r="W2318" t="s">
        <v>204</v>
      </c>
      <c r="X2318">
        <v>2177</v>
      </c>
      <c r="Y2318" t="s">
        <v>2009</v>
      </c>
      <c r="Z2318" t="s">
        <v>2017</v>
      </c>
      <c r="AA2318" t="s">
        <v>2032</v>
      </c>
      <c r="AB2318" t="s">
        <v>14674</v>
      </c>
      <c r="AD2318" t="s">
        <v>17077</v>
      </c>
      <c r="AE2318">
        <v>16</v>
      </c>
      <c r="AG2318" t="s">
        <v>2915</v>
      </c>
      <c r="AH2318">
        <v>1</v>
      </c>
      <c r="AI2318">
        <v>3</v>
      </c>
      <c r="AJ2318">
        <v>0</v>
      </c>
      <c r="AK2318">
        <v>120.31</v>
      </c>
      <c r="AN2318" t="s">
        <v>2926</v>
      </c>
      <c r="AO2318">
        <v>25000</v>
      </c>
      <c r="AU2318">
        <v>4.3</v>
      </c>
      <c r="AV2318" t="s">
        <v>250</v>
      </c>
      <c r="AW2318" t="s">
        <v>3069</v>
      </c>
    </row>
    <row r="2319" spans="1:50">
      <c r="A2319" s="1" t="s">
        <v>102</v>
      </c>
      <c r="B2319" t="s">
        <v>164</v>
      </c>
      <c r="C2319" t="s">
        <v>5529</v>
      </c>
      <c r="D2319" t="s">
        <v>185</v>
      </c>
      <c r="E2319" t="s">
        <v>367</v>
      </c>
      <c r="F2319" t="s">
        <v>7689</v>
      </c>
      <c r="G2319" t="s">
        <v>8916</v>
      </c>
      <c r="H2319" t="s">
        <v>10436</v>
      </c>
      <c r="I2319">
        <v>606</v>
      </c>
      <c r="J2319" t="s">
        <v>1643</v>
      </c>
      <c r="K2319">
        <v>10029</v>
      </c>
      <c r="L2319" t="s">
        <v>1670</v>
      </c>
      <c r="M2319" t="s">
        <v>1670</v>
      </c>
      <c r="N2319" t="s">
        <v>12531</v>
      </c>
      <c r="O2319" t="s">
        <v>1940</v>
      </c>
      <c r="P2319" t="s">
        <v>1958</v>
      </c>
      <c r="Q2319" t="s">
        <v>1965</v>
      </c>
      <c r="R2319" t="s">
        <v>50</v>
      </c>
      <c r="S2319" t="s">
        <v>1671</v>
      </c>
      <c r="U2319" t="s">
        <v>1972</v>
      </c>
      <c r="V2319" t="s">
        <v>1984</v>
      </c>
      <c r="W2319" t="s">
        <v>264</v>
      </c>
      <c r="X2319">
        <v>4000</v>
      </c>
      <c r="Y2319" t="s">
        <v>2008</v>
      </c>
      <c r="Z2319" t="s">
        <v>2014</v>
      </c>
      <c r="AA2319" t="s">
        <v>2029</v>
      </c>
      <c r="AB2319" t="s">
        <v>14675</v>
      </c>
      <c r="AD2319" t="s">
        <v>17078</v>
      </c>
      <c r="AE2319">
        <v>54</v>
      </c>
      <c r="AF2319" t="s">
        <v>2903</v>
      </c>
      <c r="AG2319" t="s">
        <v>1754</v>
      </c>
      <c r="AH2319">
        <v>9</v>
      </c>
      <c r="AI2319">
        <v>1</v>
      </c>
      <c r="AJ2319">
        <v>0</v>
      </c>
      <c r="AK2319">
        <v>120.59</v>
      </c>
      <c r="AN2319" t="s">
        <v>2935</v>
      </c>
      <c r="AO2319">
        <v>14640</v>
      </c>
      <c r="AU2319">
        <v>6.3</v>
      </c>
      <c r="AV2319" t="s">
        <v>3040</v>
      </c>
      <c r="AW2319" t="s">
        <v>3048</v>
      </c>
      <c r="AX2319" t="s">
        <v>18685</v>
      </c>
    </row>
    <row r="2320" spans="1:50">
      <c r="A2320" s="1" t="s">
        <v>105</v>
      </c>
      <c r="B2320" t="s">
        <v>163</v>
      </c>
      <c r="C2320" t="s">
        <v>5530</v>
      </c>
      <c r="D2320" t="s">
        <v>307</v>
      </c>
      <c r="F2320" t="s">
        <v>7519</v>
      </c>
      <c r="G2320" t="s">
        <v>8917</v>
      </c>
      <c r="H2320" t="s">
        <v>1312</v>
      </c>
      <c r="I2320" t="s">
        <v>1569</v>
      </c>
      <c r="J2320" t="s">
        <v>1641</v>
      </c>
      <c r="K2320">
        <v>10459</v>
      </c>
      <c r="L2320" t="s">
        <v>1670</v>
      </c>
      <c r="M2320" t="s">
        <v>1670</v>
      </c>
      <c r="O2320" t="s">
        <v>1939</v>
      </c>
      <c r="P2320" t="s">
        <v>1960</v>
      </c>
      <c r="R2320" t="s">
        <v>50</v>
      </c>
      <c r="S2320" t="s">
        <v>1670</v>
      </c>
      <c r="U2320" t="s">
        <v>1972</v>
      </c>
      <c r="W2320" t="s">
        <v>307</v>
      </c>
      <c r="X2320">
        <v>466</v>
      </c>
      <c r="Y2320" t="s">
        <v>2006</v>
      </c>
      <c r="Z2320" t="s">
        <v>2015</v>
      </c>
      <c r="AB2320" t="s">
        <v>14676</v>
      </c>
      <c r="AD2320" t="s">
        <v>17079</v>
      </c>
      <c r="AE2320">
        <v>48</v>
      </c>
      <c r="AF2320" t="s">
        <v>2909</v>
      </c>
      <c r="AG2320" t="s">
        <v>2915</v>
      </c>
      <c r="AH2320">
        <v>1</v>
      </c>
      <c r="AI2320">
        <v>2</v>
      </c>
      <c r="AJ2320">
        <v>0</v>
      </c>
      <c r="AK2320">
        <v>120.66</v>
      </c>
      <c r="AN2320" t="s">
        <v>2926</v>
      </c>
      <c r="AO2320">
        <v>19860</v>
      </c>
      <c r="AU2320">
        <v>12.3</v>
      </c>
      <c r="AV2320" t="s">
        <v>389</v>
      </c>
      <c r="AW2320" t="s">
        <v>3047</v>
      </c>
    </row>
    <row r="2321" spans="1:50">
      <c r="A2321" s="1" t="s">
        <v>97</v>
      </c>
      <c r="B2321" t="s">
        <v>164</v>
      </c>
      <c r="C2321" t="s">
        <v>5531</v>
      </c>
      <c r="D2321" t="s">
        <v>194</v>
      </c>
      <c r="E2321" t="s">
        <v>6762</v>
      </c>
      <c r="F2321" t="s">
        <v>7038</v>
      </c>
      <c r="G2321" t="s">
        <v>8504</v>
      </c>
      <c r="H2321" t="s">
        <v>9675</v>
      </c>
      <c r="I2321" t="s">
        <v>1621</v>
      </c>
      <c r="J2321" t="s">
        <v>1643</v>
      </c>
      <c r="K2321">
        <v>10034</v>
      </c>
      <c r="L2321" t="s">
        <v>1670</v>
      </c>
      <c r="M2321" t="s">
        <v>1670</v>
      </c>
      <c r="N2321" t="s">
        <v>12532</v>
      </c>
      <c r="O2321" t="s">
        <v>1936</v>
      </c>
      <c r="P2321" t="s">
        <v>1962</v>
      </c>
      <c r="Q2321" t="s">
        <v>1968</v>
      </c>
      <c r="R2321" t="s">
        <v>50</v>
      </c>
      <c r="S2321" t="s">
        <v>1671</v>
      </c>
      <c r="U2321" t="s">
        <v>1972</v>
      </c>
      <c r="V2321" t="s">
        <v>1984</v>
      </c>
      <c r="W2321" t="s">
        <v>194</v>
      </c>
      <c r="X2321">
        <v>1049.5</v>
      </c>
      <c r="Y2321" t="s">
        <v>2008</v>
      </c>
      <c r="Z2321" t="s">
        <v>2013</v>
      </c>
      <c r="AA2321" t="s">
        <v>2029</v>
      </c>
      <c r="AB2321" t="s">
        <v>14677</v>
      </c>
      <c r="AD2321" t="s">
        <v>17080</v>
      </c>
      <c r="AE2321">
        <v>101</v>
      </c>
      <c r="AF2321" t="s">
        <v>2902</v>
      </c>
      <c r="AG2321" t="s">
        <v>1754</v>
      </c>
      <c r="AH2321">
        <v>25</v>
      </c>
      <c r="AI2321">
        <v>1</v>
      </c>
      <c r="AJ2321">
        <v>0</v>
      </c>
      <c r="AK2321">
        <v>120.79</v>
      </c>
      <c r="AN2321" t="s">
        <v>2927</v>
      </c>
      <c r="AO2321">
        <v>14664</v>
      </c>
      <c r="AU2321">
        <v>3.9</v>
      </c>
      <c r="AV2321" t="s">
        <v>6762</v>
      </c>
      <c r="AW2321" t="s">
        <v>3042</v>
      </c>
      <c r="AX2321" t="s">
        <v>18685</v>
      </c>
    </row>
    <row r="2322" spans="1:50">
      <c r="A2322" s="1" t="s">
        <v>153</v>
      </c>
      <c r="B2322" t="s">
        <v>163</v>
      </c>
      <c r="C2322" t="s">
        <v>5532</v>
      </c>
      <c r="D2322" t="s">
        <v>291</v>
      </c>
      <c r="F2322" t="s">
        <v>643</v>
      </c>
      <c r="G2322" t="s">
        <v>8906</v>
      </c>
      <c r="H2322" t="s">
        <v>10427</v>
      </c>
      <c r="I2322" t="s">
        <v>1570</v>
      </c>
      <c r="J2322" t="s">
        <v>1641</v>
      </c>
      <c r="K2322">
        <v>10456</v>
      </c>
      <c r="L2322" t="s">
        <v>1670</v>
      </c>
      <c r="M2322" t="s">
        <v>1672</v>
      </c>
      <c r="O2322" t="s">
        <v>1675</v>
      </c>
      <c r="P2322" t="s">
        <v>1958</v>
      </c>
      <c r="R2322" t="s">
        <v>50</v>
      </c>
      <c r="S2322" t="s">
        <v>1671</v>
      </c>
      <c r="U2322" t="s">
        <v>1972</v>
      </c>
      <c r="W2322" t="s">
        <v>1991</v>
      </c>
      <c r="X2322">
        <v>879</v>
      </c>
      <c r="Y2322" t="s">
        <v>2006</v>
      </c>
      <c r="Z2322" t="s">
        <v>2016</v>
      </c>
      <c r="AB2322" t="s">
        <v>14678</v>
      </c>
      <c r="AD2322" t="s">
        <v>17066</v>
      </c>
      <c r="AE2322">
        <v>46</v>
      </c>
      <c r="AF2322" t="s">
        <v>2903</v>
      </c>
      <c r="AG2322" t="s">
        <v>1754</v>
      </c>
      <c r="AH2322">
        <v>30</v>
      </c>
      <c r="AI2322">
        <v>1</v>
      </c>
      <c r="AJ2322">
        <v>0</v>
      </c>
      <c r="AK2322">
        <v>120.96</v>
      </c>
      <c r="AN2322" t="s">
        <v>2927</v>
      </c>
      <c r="AO2322">
        <v>15108</v>
      </c>
      <c r="AU2322" t="s">
        <v>13051</v>
      </c>
      <c r="AW2322" t="s">
        <v>3046</v>
      </c>
      <c r="AX2322" t="s">
        <v>18685</v>
      </c>
    </row>
    <row r="2323" spans="1:50">
      <c r="A2323" s="1" t="s">
        <v>94</v>
      </c>
      <c r="B2323" t="s">
        <v>163</v>
      </c>
      <c r="C2323" t="s">
        <v>5533</v>
      </c>
      <c r="D2323" t="s">
        <v>326</v>
      </c>
      <c r="F2323" t="s">
        <v>7690</v>
      </c>
      <c r="G2323" t="s">
        <v>859</v>
      </c>
      <c r="H2323" t="s">
        <v>10437</v>
      </c>
      <c r="I2323" t="s">
        <v>11002</v>
      </c>
      <c r="J2323" t="s">
        <v>1643</v>
      </c>
      <c r="K2323">
        <v>10034</v>
      </c>
      <c r="L2323" t="s">
        <v>1670</v>
      </c>
      <c r="M2323" t="s">
        <v>1672</v>
      </c>
      <c r="N2323" t="s">
        <v>12533</v>
      </c>
      <c r="O2323" t="s">
        <v>12750</v>
      </c>
      <c r="P2323" t="s">
        <v>1962</v>
      </c>
      <c r="R2323" t="s">
        <v>50</v>
      </c>
      <c r="S2323" t="s">
        <v>1671</v>
      </c>
      <c r="U2323" t="s">
        <v>1972</v>
      </c>
      <c r="V2323" t="s">
        <v>1984</v>
      </c>
      <c r="W2323" t="s">
        <v>326</v>
      </c>
      <c r="X2323">
        <v>789.63</v>
      </c>
      <c r="Y2323" t="s">
        <v>2008</v>
      </c>
      <c r="Z2323" t="s">
        <v>2016</v>
      </c>
      <c r="AB2323" t="s">
        <v>14679</v>
      </c>
      <c r="AD2323" t="s">
        <v>17081</v>
      </c>
      <c r="AE2323">
        <v>49</v>
      </c>
      <c r="AF2323" t="s">
        <v>2902</v>
      </c>
      <c r="AH2323">
        <v>41</v>
      </c>
      <c r="AI2323">
        <v>1</v>
      </c>
      <c r="AJ2323">
        <v>0</v>
      </c>
      <c r="AK2323">
        <v>121.06</v>
      </c>
      <c r="AN2323" t="s">
        <v>2927</v>
      </c>
      <c r="AO2323">
        <v>15120</v>
      </c>
      <c r="AU2323">
        <v>1.5</v>
      </c>
      <c r="AV2323" t="s">
        <v>326</v>
      </c>
      <c r="AW2323" t="s">
        <v>94</v>
      </c>
    </row>
    <row r="2324" spans="1:50">
      <c r="A2324" s="1" t="s">
        <v>135</v>
      </c>
      <c r="B2324" t="s">
        <v>164</v>
      </c>
      <c r="C2324" t="s">
        <v>5534</v>
      </c>
      <c r="D2324" t="s">
        <v>384</v>
      </c>
      <c r="E2324" t="s">
        <v>361</v>
      </c>
      <c r="F2324" t="s">
        <v>7691</v>
      </c>
      <c r="G2324" t="s">
        <v>7532</v>
      </c>
      <c r="H2324" t="s">
        <v>9632</v>
      </c>
      <c r="I2324" t="s">
        <v>1569</v>
      </c>
      <c r="J2324" t="s">
        <v>1644</v>
      </c>
      <c r="K2324">
        <v>11212</v>
      </c>
      <c r="L2324" t="s">
        <v>1670</v>
      </c>
      <c r="M2324" t="s">
        <v>1670</v>
      </c>
      <c r="N2324" t="s">
        <v>1693</v>
      </c>
      <c r="O2324" t="s">
        <v>1938</v>
      </c>
      <c r="P2324" t="s">
        <v>1958</v>
      </c>
      <c r="Q2324" t="s">
        <v>1965</v>
      </c>
      <c r="R2324" t="s">
        <v>50</v>
      </c>
      <c r="S2324" t="s">
        <v>1670</v>
      </c>
      <c r="U2324" t="s">
        <v>1972</v>
      </c>
      <c r="V2324" t="s">
        <v>1984</v>
      </c>
      <c r="W2324" t="s">
        <v>384</v>
      </c>
      <c r="X2324">
        <v>1643.13</v>
      </c>
      <c r="Y2324" t="s">
        <v>2009</v>
      </c>
      <c r="Z2324" t="s">
        <v>2015</v>
      </c>
      <c r="AA2324" t="s">
        <v>2029</v>
      </c>
      <c r="AB2324" t="s">
        <v>14680</v>
      </c>
      <c r="AC2324" t="s">
        <v>1754</v>
      </c>
      <c r="AD2324" t="s">
        <v>17082</v>
      </c>
      <c r="AE2324">
        <v>38</v>
      </c>
      <c r="AF2324" t="s">
        <v>2902</v>
      </c>
      <c r="AG2324" t="s">
        <v>1754</v>
      </c>
      <c r="AH2324">
        <v>9</v>
      </c>
      <c r="AI2324">
        <v>4</v>
      </c>
      <c r="AJ2324">
        <v>0</v>
      </c>
      <c r="AK2324">
        <v>121.17</v>
      </c>
      <c r="AN2324" t="s">
        <v>2926</v>
      </c>
      <c r="AO2324">
        <v>31200</v>
      </c>
      <c r="AU2324">
        <v>0.1</v>
      </c>
      <c r="AV2324" t="s">
        <v>361</v>
      </c>
      <c r="AW2324" t="s">
        <v>3060</v>
      </c>
      <c r="AX2324" t="s">
        <v>18685</v>
      </c>
    </row>
    <row r="2325" spans="1:50">
      <c r="A2325" s="1" t="s">
        <v>107</v>
      </c>
      <c r="B2325" t="s">
        <v>163</v>
      </c>
      <c r="C2325" t="s">
        <v>5535</v>
      </c>
      <c r="D2325" t="s">
        <v>271</v>
      </c>
      <c r="F2325" t="s">
        <v>573</v>
      </c>
      <c r="G2325" t="s">
        <v>8901</v>
      </c>
      <c r="H2325" t="s">
        <v>10423</v>
      </c>
      <c r="I2325" t="s">
        <v>1490</v>
      </c>
      <c r="J2325" t="s">
        <v>1644</v>
      </c>
      <c r="K2325">
        <v>11207</v>
      </c>
      <c r="L2325" t="s">
        <v>1670</v>
      </c>
      <c r="M2325" t="s">
        <v>1670</v>
      </c>
      <c r="N2325" t="s">
        <v>12534</v>
      </c>
      <c r="O2325" t="s">
        <v>1936</v>
      </c>
      <c r="P2325" t="s">
        <v>1960</v>
      </c>
      <c r="R2325" t="s">
        <v>50</v>
      </c>
      <c r="S2325" t="s">
        <v>1671</v>
      </c>
      <c r="U2325" t="s">
        <v>1972</v>
      </c>
      <c r="V2325" t="s">
        <v>1984</v>
      </c>
      <c r="W2325" t="s">
        <v>266</v>
      </c>
      <c r="X2325">
        <v>1337</v>
      </c>
      <c r="Y2325" t="s">
        <v>2009</v>
      </c>
      <c r="Z2325" t="s">
        <v>2020</v>
      </c>
      <c r="AB2325" t="s">
        <v>14655</v>
      </c>
      <c r="AC2325" t="s">
        <v>15270</v>
      </c>
      <c r="AD2325" t="s">
        <v>17061</v>
      </c>
      <c r="AE2325">
        <v>25</v>
      </c>
      <c r="AF2325" t="s">
        <v>2902</v>
      </c>
      <c r="AG2325" t="s">
        <v>2915</v>
      </c>
      <c r="AH2325">
        <v>7</v>
      </c>
      <c r="AI2325">
        <v>2</v>
      </c>
      <c r="AJ2325">
        <v>0</v>
      </c>
      <c r="AK2325">
        <v>121.51</v>
      </c>
      <c r="AN2325" t="s">
        <v>2926</v>
      </c>
      <c r="AO2325">
        <v>20000</v>
      </c>
      <c r="AU2325">
        <v>10.6</v>
      </c>
      <c r="AV2325" t="s">
        <v>379</v>
      </c>
      <c r="AW2325" t="s">
        <v>3060</v>
      </c>
      <c r="AX2325" t="s">
        <v>18685</v>
      </c>
    </row>
    <row r="2326" spans="1:50">
      <c r="A2326" s="1" t="s">
        <v>3187</v>
      </c>
      <c r="B2326" t="s">
        <v>164</v>
      </c>
      <c r="C2326" t="s">
        <v>5536</v>
      </c>
      <c r="D2326" t="s">
        <v>335</v>
      </c>
      <c r="E2326" t="s">
        <v>235</v>
      </c>
      <c r="F2326" t="s">
        <v>7167</v>
      </c>
      <c r="G2326" t="s">
        <v>8918</v>
      </c>
      <c r="H2326" t="s">
        <v>10172</v>
      </c>
      <c r="I2326" t="s">
        <v>11377</v>
      </c>
      <c r="J2326" t="s">
        <v>1656</v>
      </c>
      <c r="K2326">
        <v>11101</v>
      </c>
      <c r="L2326" t="s">
        <v>1670</v>
      </c>
      <c r="M2326" t="s">
        <v>1670</v>
      </c>
      <c r="N2326" t="s">
        <v>12535</v>
      </c>
      <c r="O2326" t="s">
        <v>1936</v>
      </c>
      <c r="P2326" t="s">
        <v>1960</v>
      </c>
      <c r="Q2326" t="s">
        <v>1969</v>
      </c>
      <c r="R2326" t="s">
        <v>50</v>
      </c>
      <c r="S2326" t="s">
        <v>1671</v>
      </c>
      <c r="U2326" t="s">
        <v>1972</v>
      </c>
      <c r="V2326" t="s">
        <v>1984</v>
      </c>
      <c r="W2326" t="s">
        <v>335</v>
      </c>
      <c r="X2326">
        <v>1500</v>
      </c>
      <c r="Y2326" t="s">
        <v>2007</v>
      </c>
      <c r="Z2326" t="s">
        <v>2014</v>
      </c>
      <c r="AA2326" t="s">
        <v>2032</v>
      </c>
      <c r="AB2326" t="s">
        <v>14681</v>
      </c>
      <c r="AC2326" t="s">
        <v>15271</v>
      </c>
      <c r="AD2326" t="s">
        <v>17083</v>
      </c>
      <c r="AE2326">
        <v>974</v>
      </c>
      <c r="AF2326" t="s">
        <v>2904</v>
      </c>
      <c r="AG2326" t="s">
        <v>2920</v>
      </c>
      <c r="AH2326">
        <v>1</v>
      </c>
      <c r="AI2326">
        <v>2</v>
      </c>
      <c r="AJ2326">
        <v>0</v>
      </c>
      <c r="AK2326">
        <v>122.04</v>
      </c>
      <c r="AN2326" t="s">
        <v>2926</v>
      </c>
      <c r="AO2326">
        <v>20088</v>
      </c>
      <c r="AQ2326" t="s">
        <v>2979</v>
      </c>
      <c r="AR2326" t="s">
        <v>18459</v>
      </c>
      <c r="AS2326" t="s">
        <v>2992</v>
      </c>
      <c r="AT2326" t="s">
        <v>18591</v>
      </c>
      <c r="AU2326">
        <v>9.9</v>
      </c>
      <c r="AV2326" t="s">
        <v>208</v>
      </c>
      <c r="AW2326" t="s">
        <v>85</v>
      </c>
    </row>
    <row r="2327" spans="1:50">
      <c r="A2327" s="1" t="s">
        <v>115</v>
      </c>
      <c r="B2327" t="s">
        <v>164</v>
      </c>
      <c r="C2327" t="s">
        <v>5537</v>
      </c>
      <c r="D2327" t="s">
        <v>376</v>
      </c>
      <c r="E2327" t="s">
        <v>406</v>
      </c>
      <c r="F2327" t="s">
        <v>6811</v>
      </c>
      <c r="G2327" t="s">
        <v>8919</v>
      </c>
      <c r="H2327" t="s">
        <v>10438</v>
      </c>
      <c r="I2327" t="s">
        <v>11101</v>
      </c>
      <c r="J2327" t="s">
        <v>1641</v>
      </c>
      <c r="K2327">
        <v>10453</v>
      </c>
      <c r="L2327" t="s">
        <v>1670</v>
      </c>
      <c r="M2327" t="s">
        <v>1670</v>
      </c>
      <c r="O2327" t="s">
        <v>1675</v>
      </c>
      <c r="P2327" t="s">
        <v>1962</v>
      </c>
      <c r="Q2327" t="s">
        <v>1968</v>
      </c>
      <c r="R2327" t="s">
        <v>50</v>
      </c>
      <c r="S2327" t="s">
        <v>1671</v>
      </c>
      <c r="U2327" t="s">
        <v>1972</v>
      </c>
      <c r="W2327" t="s">
        <v>1990</v>
      </c>
      <c r="X2327">
        <v>1067.91</v>
      </c>
      <c r="Y2327" t="s">
        <v>2006</v>
      </c>
      <c r="Z2327" t="s">
        <v>2020</v>
      </c>
      <c r="AA2327" t="s">
        <v>2029</v>
      </c>
      <c r="AB2327" t="s">
        <v>14682</v>
      </c>
      <c r="AD2327" t="s">
        <v>17084</v>
      </c>
      <c r="AE2327">
        <v>70</v>
      </c>
      <c r="AF2327" t="s">
        <v>2902</v>
      </c>
      <c r="AG2327" t="s">
        <v>2915</v>
      </c>
      <c r="AH2327">
        <v>20</v>
      </c>
      <c r="AI2327">
        <v>1</v>
      </c>
      <c r="AJ2327">
        <v>0</v>
      </c>
      <c r="AK2327">
        <v>122.08</v>
      </c>
      <c r="AN2327" t="s">
        <v>2927</v>
      </c>
      <c r="AO2327">
        <v>14820</v>
      </c>
      <c r="AU2327">
        <v>2.5</v>
      </c>
      <c r="AV2327" t="s">
        <v>406</v>
      </c>
      <c r="AW2327" t="s">
        <v>115</v>
      </c>
    </row>
    <row r="2328" spans="1:50">
      <c r="A2328" s="1" t="s">
        <v>120</v>
      </c>
      <c r="B2328" t="s">
        <v>164</v>
      </c>
      <c r="C2328" t="s">
        <v>5538</v>
      </c>
      <c r="D2328" t="s">
        <v>265</v>
      </c>
      <c r="E2328" t="s">
        <v>6763</v>
      </c>
      <c r="F2328" t="s">
        <v>7236</v>
      </c>
      <c r="G2328" t="s">
        <v>936</v>
      </c>
      <c r="H2328" t="s">
        <v>10439</v>
      </c>
      <c r="I2328" t="s">
        <v>1488</v>
      </c>
      <c r="J2328" t="s">
        <v>1644</v>
      </c>
      <c r="K2328">
        <v>11233</v>
      </c>
      <c r="L2328" t="s">
        <v>1670</v>
      </c>
      <c r="M2328" t="s">
        <v>1670</v>
      </c>
      <c r="N2328" t="s">
        <v>12536</v>
      </c>
      <c r="O2328" t="s">
        <v>1936</v>
      </c>
      <c r="P2328" t="s">
        <v>1959</v>
      </c>
      <c r="Q2328" t="s">
        <v>1970</v>
      </c>
      <c r="R2328" t="s">
        <v>50</v>
      </c>
      <c r="S2328" t="s">
        <v>1671</v>
      </c>
      <c r="U2328" t="s">
        <v>1974</v>
      </c>
      <c r="W2328" t="s">
        <v>330</v>
      </c>
      <c r="X2328">
        <v>1950</v>
      </c>
      <c r="Y2328" t="s">
        <v>2009</v>
      </c>
      <c r="Z2328" t="s">
        <v>2011</v>
      </c>
      <c r="AA2328" t="s">
        <v>2039</v>
      </c>
      <c r="AB2328" t="s">
        <v>14683</v>
      </c>
      <c r="AD2328" t="s">
        <v>17085</v>
      </c>
      <c r="AE2328">
        <v>4</v>
      </c>
      <c r="AF2328" t="s">
        <v>2903</v>
      </c>
      <c r="AG2328" t="s">
        <v>1754</v>
      </c>
      <c r="AH2328" t="s">
        <v>13051</v>
      </c>
      <c r="AI2328">
        <v>1</v>
      </c>
      <c r="AJ2328">
        <v>0</v>
      </c>
      <c r="AK2328">
        <v>122.4</v>
      </c>
      <c r="AN2328" t="s">
        <v>2926</v>
      </c>
      <c r="AO2328">
        <v>15288</v>
      </c>
      <c r="AU2328">
        <v>12</v>
      </c>
      <c r="AV2328" t="s">
        <v>6763</v>
      </c>
      <c r="AW2328" t="s">
        <v>3059</v>
      </c>
    </row>
    <row r="2329" spans="1:50">
      <c r="A2329" s="1" t="s">
        <v>58</v>
      </c>
      <c r="B2329" t="s">
        <v>164</v>
      </c>
      <c r="C2329" t="s">
        <v>5539</v>
      </c>
      <c r="D2329" t="s">
        <v>283</v>
      </c>
      <c r="E2329" t="s">
        <v>334</v>
      </c>
      <c r="F2329" t="s">
        <v>702</v>
      </c>
      <c r="G2329" t="s">
        <v>8920</v>
      </c>
      <c r="H2329" t="s">
        <v>10440</v>
      </c>
      <c r="I2329" t="s">
        <v>11378</v>
      </c>
      <c r="J2329" t="s">
        <v>1641</v>
      </c>
      <c r="K2329">
        <v>10459</v>
      </c>
      <c r="L2329" t="s">
        <v>1670</v>
      </c>
      <c r="M2329" t="s">
        <v>1670</v>
      </c>
      <c r="P2329" t="s">
        <v>1958</v>
      </c>
      <c r="Q2329" t="s">
        <v>1965</v>
      </c>
      <c r="R2329" t="s">
        <v>50</v>
      </c>
      <c r="S2329" t="s">
        <v>1671</v>
      </c>
      <c r="U2329" t="s">
        <v>1972</v>
      </c>
      <c r="V2329" t="s">
        <v>1983</v>
      </c>
      <c r="W2329" t="s">
        <v>1991</v>
      </c>
      <c r="X2329">
        <v>1400</v>
      </c>
      <c r="Y2329" t="s">
        <v>2006</v>
      </c>
      <c r="Z2329" t="s">
        <v>2011</v>
      </c>
      <c r="AA2329" t="s">
        <v>2029</v>
      </c>
      <c r="AB2329" t="s">
        <v>14684</v>
      </c>
      <c r="AE2329" t="s">
        <v>13051</v>
      </c>
      <c r="AF2329" t="s">
        <v>2903</v>
      </c>
      <c r="AH2329">
        <v>17</v>
      </c>
      <c r="AI2329">
        <v>2</v>
      </c>
      <c r="AJ2329">
        <v>0</v>
      </c>
      <c r="AK2329">
        <v>122.7</v>
      </c>
      <c r="AN2329" t="s">
        <v>2926</v>
      </c>
      <c r="AO2329">
        <v>20748</v>
      </c>
      <c r="AU2329">
        <v>2</v>
      </c>
      <c r="AV2329" t="s">
        <v>206</v>
      </c>
      <c r="AW2329" t="s">
        <v>3041</v>
      </c>
      <c r="AX2329" t="s">
        <v>18685</v>
      </c>
    </row>
    <row r="2330" spans="1:50">
      <c r="A2330" s="1" t="s">
        <v>135</v>
      </c>
      <c r="B2330" t="s">
        <v>163</v>
      </c>
      <c r="C2330" t="s">
        <v>5540</v>
      </c>
      <c r="D2330" t="s">
        <v>182</v>
      </c>
      <c r="F2330" t="s">
        <v>7692</v>
      </c>
      <c r="G2330" t="s">
        <v>8921</v>
      </c>
      <c r="H2330" t="s">
        <v>10441</v>
      </c>
      <c r="I2330" t="s">
        <v>1553</v>
      </c>
      <c r="J2330" t="s">
        <v>1644</v>
      </c>
      <c r="K2330">
        <v>11208</v>
      </c>
      <c r="L2330" t="s">
        <v>1670</v>
      </c>
      <c r="M2330" t="s">
        <v>1670</v>
      </c>
      <c r="N2330" t="s">
        <v>12537</v>
      </c>
      <c r="O2330" t="s">
        <v>1940</v>
      </c>
      <c r="P2330" t="s">
        <v>1962</v>
      </c>
      <c r="R2330" t="s">
        <v>50</v>
      </c>
      <c r="S2330" t="s">
        <v>1671</v>
      </c>
      <c r="U2330" t="s">
        <v>1972</v>
      </c>
      <c r="W2330" t="s">
        <v>316</v>
      </c>
      <c r="X2330">
        <v>1150</v>
      </c>
      <c r="Y2330" t="s">
        <v>2009</v>
      </c>
      <c r="Z2330" t="s">
        <v>2026</v>
      </c>
      <c r="AB2330" t="s">
        <v>14685</v>
      </c>
      <c r="AD2330" t="s">
        <v>17086</v>
      </c>
      <c r="AE2330">
        <v>5</v>
      </c>
      <c r="AF2330" t="s">
        <v>2903</v>
      </c>
      <c r="AG2330" t="s">
        <v>1754</v>
      </c>
      <c r="AH2330">
        <v>6</v>
      </c>
      <c r="AI2330">
        <v>2</v>
      </c>
      <c r="AJ2330">
        <v>0</v>
      </c>
      <c r="AK2330">
        <v>123</v>
      </c>
      <c r="AN2330" t="s">
        <v>2926</v>
      </c>
      <c r="AO2330">
        <v>20800</v>
      </c>
      <c r="AU2330">
        <v>3</v>
      </c>
      <c r="AV2330" t="s">
        <v>316</v>
      </c>
      <c r="AW2330" t="s">
        <v>3059</v>
      </c>
    </row>
    <row r="2331" spans="1:50">
      <c r="A2331" s="1" t="s">
        <v>103</v>
      </c>
      <c r="B2331" t="s">
        <v>164</v>
      </c>
      <c r="C2331" t="s">
        <v>5541</v>
      </c>
      <c r="D2331" t="s">
        <v>6137</v>
      </c>
      <c r="E2331" t="s">
        <v>306</v>
      </c>
      <c r="F2331" t="s">
        <v>7693</v>
      </c>
      <c r="G2331" t="s">
        <v>8922</v>
      </c>
      <c r="H2331" t="s">
        <v>10442</v>
      </c>
      <c r="I2331">
        <v>1</v>
      </c>
      <c r="J2331" t="s">
        <v>1644</v>
      </c>
      <c r="K2331">
        <v>11208</v>
      </c>
      <c r="L2331" t="s">
        <v>1670</v>
      </c>
      <c r="M2331" t="s">
        <v>1670</v>
      </c>
      <c r="N2331" t="s">
        <v>12538</v>
      </c>
      <c r="O2331" t="s">
        <v>1940</v>
      </c>
      <c r="P2331" t="s">
        <v>1958</v>
      </c>
      <c r="Q2331" t="s">
        <v>1965</v>
      </c>
      <c r="R2331" t="s">
        <v>50</v>
      </c>
      <c r="U2331" t="s">
        <v>1972</v>
      </c>
      <c r="W2331" t="s">
        <v>306</v>
      </c>
      <c r="X2331">
        <v>1301</v>
      </c>
      <c r="Y2331" t="s">
        <v>2009</v>
      </c>
      <c r="Z2331" t="s">
        <v>2014</v>
      </c>
      <c r="AA2331" t="s">
        <v>2029</v>
      </c>
      <c r="AB2331" t="s">
        <v>14686</v>
      </c>
      <c r="AD2331" t="s">
        <v>17087</v>
      </c>
      <c r="AE2331">
        <v>3</v>
      </c>
      <c r="AF2331" t="s">
        <v>2909</v>
      </c>
      <c r="AG2331" t="s">
        <v>2915</v>
      </c>
      <c r="AH2331">
        <v>16</v>
      </c>
      <c r="AI2331">
        <v>2</v>
      </c>
      <c r="AJ2331">
        <v>0</v>
      </c>
      <c r="AK2331">
        <v>123.21</v>
      </c>
      <c r="AN2331" t="s">
        <v>2926</v>
      </c>
      <c r="AO2331">
        <v>20280</v>
      </c>
      <c r="AU2331">
        <v>3.95</v>
      </c>
      <c r="AV2331" t="s">
        <v>2000</v>
      </c>
      <c r="AW2331" t="s">
        <v>3074</v>
      </c>
    </row>
    <row r="2332" spans="1:50">
      <c r="A2332" s="1" t="s">
        <v>74</v>
      </c>
      <c r="B2332" t="s">
        <v>163</v>
      </c>
      <c r="C2332" t="s">
        <v>5542</v>
      </c>
      <c r="D2332" t="s">
        <v>182</v>
      </c>
      <c r="F2332" t="s">
        <v>532</v>
      </c>
      <c r="G2332" t="s">
        <v>813</v>
      </c>
      <c r="H2332" t="s">
        <v>10443</v>
      </c>
      <c r="I2332">
        <v>305</v>
      </c>
      <c r="J2332" t="s">
        <v>1641</v>
      </c>
      <c r="K2332">
        <v>10452</v>
      </c>
      <c r="L2332" t="s">
        <v>1670</v>
      </c>
      <c r="M2332" t="s">
        <v>1672</v>
      </c>
      <c r="N2332" t="s">
        <v>12539</v>
      </c>
      <c r="O2332" t="s">
        <v>1940</v>
      </c>
      <c r="P2332" t="s">
        <v>1960</v>
      </c>
      <c r="R2332" t="s">
        <v>50</v>
      </c>
      <c r="S2332" t="s">
        <v>1671</v>
      </c>
      <c r="U2332" t="s">
        <v>1972</v>
      </c>
      <c r="V2332" t="s">
        <v>1984</v>
      </c>
      <c r="W2332" t="s">
        <v>1991</v>
      </c>
      <c r="X2332">
        <v>995</v>
      </c>
      <c r="Y2332" t="s">
        <v>2006</v>
      </c>
      <c r="Z2332" t="s">
        <v>2021</v>
      </c>
      <c r="AB2332" t="s">
        <v>14687</v>
      </c>
      <c r="AC2332" t="s">
        <v>15272</v>
      </c>
      <c r="AD2332" t="s">
        <v>17088</v>
      </c>
      <c r="AE2332">
        <v>163</v>
      </c>
      <c r="AF2332" t="s">
        <v>2902</v>
      </c>
      <c r="AG2332" t="s">
        <v>2915</v>
      </c>
      <c r="AH2332">
        <v>9</v>
      </c>
      <c r="AI2332">
        <v>4</v>
      </c>
      <c r="AJ2332">
        <v>0</v>
      </c>
      <c r="AK2332">
        <v>123.26</v>
      </c>
      <c r="AN2332" t="s">
        <v>2927</v>
      </c>
      <c r="AO2332">
        <v>31740</v>
      </c>
      <c r="AP2332" t="s">
        <v>18343</v>
      </c>
      <c r="AU2332">
        <v>31.69</v>
      </c>
      <c r="AV2332" t="s">
        <v>18652</v>
      </c>
      <c r="AW2332" t="s">
        <v>3054</v>
      </c>
      <c r="AX2332" t="s">
        <v>18685</v>
      </c>
    </row>
    <row r="2333" spans="1:50">
      <c r="A2333" s="1" t="s">
        <v>3158</v>
      </c>
      <c r="B2333" t="s">
        <v>164</v>
      </c>
      <c r="C2333" t="s">
        <v>5543</v>
      </c>
      <c r="D2333" t="s">
        <v>185</v>
      </c>
      <c r="E2333" t="s">
        <v>349</v>
      </c>
      <c r="F2333" t="s">
        <v>7314</v>
      </c>
      <c r="G2333" t="s">
        <v>8923</v>
      </c>
      <c r="H2333" t="s">
        <v>10444</v>
      </c>
      <c r="I2333">
        <v>32</v>
      </c>
      <c r="J2333" t="s">
        <v>1643</v>
      </c>
      <c r="K2333">
        <v>10032</v>
      </c>
      <c r="L2333" t="s">
        <v>1670</v>
      </c>
      <c r="M2333" t="s">
        <v>1670</v>
      </c>
      <c r="O2333" t="s">
        <v>1949</v>
      </c>
      <c r="P2333" t="s">
        <v>1958</v>
      </c>
      <c r="Q2333" t="s">
        <v>1965</v>
      </c>
      <c r="R2333" t="s">
        <v>50</v>
      </c>
      <c r="S2333" t="s">
        <v>1671</v>
      </c>
      <c r="U2333" t="s">
        <v>1972</v>
      </c>
      <c r="W2333" t="s">
        <v>185</v>
      </c>
      <c r="X2333">
        <v>2580</v>
      </c>
      <c r="Y2333" t="s">
        <v>2008</v>
      </c>
      <c r="Z2333" t="s">
        <v>2013</v>
      </c>
      <c r="AA2333" t="s">
        <v>2029</v>
      </c>
      <c r="AB2333" t="s">
        <v>14688</v>
      </c>
      <c r="AD2333" t="s">
        <v>17089</v>
      </c>
      <c r="AE2333">
        <v>56</v>
      </c>
      <c r="AF2333" t="s">
        <v>2902</v>
      </c>
      <c r="AG2333" t="s">
        <v>1754</v>
      </c>
      <c r="AH2333">
        <v>3</v>
      </c>
      <c r="AI2333">
        <v>1</v>
      </c>
      <c r="AJ2333">
        <v>0</v>
      </c>
      <c r="AK2333">
        <v>123.56</v>
      </c>
      <c r="AN2333" t="s">
        <v>2926</v>
      </c>
      <c r="AO2333">
        <v>15000</v>
      </c>
      <c r="AU2333">
        <v>0.9</v>
      </c>
      <c r="AV2333" t="s">
        <v>408</v>
      </c>
      <c r="AW2333" t="s">
        <v>3042</v>
      </c>
    </row>
    <row r="2334" spans="1:50">
      <c r="A2334" s="1" t="s">
        <v>64</v>
      </c>
      <c r="B2334" t="s">
        <v>163</v>
      </c>
      <c r="C2334" t="s">
        <v>5544</v>
      </c>
      <c r="D2334" t="s">
        <v>169</v>
      </c>
      <c r="F2334" t="s">
        <v>7694</v>
      </c>
      <c r="G2334" t="s">
        <v>946</v>
      </c>
      <c r="H2334" t="s">
        <v>1243</v>
      </c>
      <c r="I2334" t="s">
        <v>11379</v>
      </c>
      <c r="J2334" t="s">
        <v>1643</v>
      </c>
      <c r="K2334">
        <v>10033</v>
      </c>
      <c r="L2334" t="s">
        <v>1670</v>
      </c>
      <c r="M2334" t="s">
        <v>1670</v>
      </c>
      <c r="O2334" t="s">
        <v>1939</v>
      </c>
      <c r="P2334" t="s">
        <v>1962</v>
      </c>
      <c r="R2334" t="s">
        <v>50</v>
      </c>
      <c r="S2334" t="s">
        <v>1670</v>
      </c>
      <c r="U2334" t="s">
        <v>1972</v>
      </c>
      <c r="W2334" t="s">
        <v>169</v>
      </c>
      <c r="X2334">
        <v>1454.57</v>
      </c>
      <c r="Y2334" t="s">
        <v>2008</v>
      </c>
      <c r="Z2334" t="s">
        <v>2016</v>
      </c>
      <c r="AB2334" t="s">
        <v>14689</v>
      </c>
      <c r="AD2334" t="s">
        <v>17090</v>
      </c>
      <c r="AE2334">
        <v>232</v>
      </c>
      <c r="AF2334" t="s">
        <v>2902</v>
      </c>
      <c r="AG2334" t="s">
        <v>1754</v>
      </c>
      <c r="AH2334">
        <v>10</v>
      </c>
      <c r="AI2334">
        <v>1</v>
      </c>
      <c r="AJ2334">
        <v>0</v>
      </c>
      <c r="AK2334">
        <v>123.56</v>
      </c>
      <c r="AN2334" t="s">
        <v>2927</v>
      </c>
      <c r="AO2334">
        <v>15000</v>
      </c>
      <c r="AU2334">
        <v>0.2</v>
      </c>
      <c r="AV2334" t="s">
        <v>206</v>
      </c>
      <c r="AW2334" t="s">
        <v>3042</v>
      </c>
    </row>
    <row r="2335" spans="1:50">
      <c r="A2335" s="1" t="s">
        <v>97</v>
      </c>
      <c r="B2335" t="s">
        <v>163</v>
      </c>
      <c r="C2335" t="s">
        <v>5545</v>
      </c>
      <c r="D2335" t="s">
        <v>201</v>
      </c>
      <c r="F2335" t="s">
        <v>7695</v>
      </c>
      <c r="G2335" t="s">
        <v>8924</v>
      </c>
      <c r="H2335" t="s">
        <v>1216</v>
      </c>
      <c r="I2335" t="s">
        <v>1522</v>
      </c>
      <c r="J2335" t="s">
        <v>1643</v>
      </c>
      <c r="K2335">
        <v>10034</v>
      </c>
      <c r="L2335" t="s">
        <v>1670</v>
      </c>
      <c r="M2335" t="s">
        <v>1670</v>
      </c>
      <c r="N2335" t="s">
        <v>11864</v>
      </c>
      <c r="O2335" t="s">
        <v>1939</v>
      </c>
      <c r="P2335" t="s">
        <v>1960</v>
      </c>
      <c r="R2335" t="s">
        <v>50</v>
      </c>
      <c r="S2335" t="s">
        <v>1670</v>
      </c>
      <c r="U2335" t="s">
        <v>1972</v>
      </c>
      <c r="W2335" t="s">
        <v>201</v>
      </c>
      <c r="X2335">
        <v>693</v>
      </c>
      <c r="Y2335" t="s">
        <v>2008</v>
      </c>
      <c r="Z2335" t="s">
        <v>2013</v>
      </c>
      <c r="AB2335" t="s">
        <v>14690</v>
      </c>
      <c r="AE2335">
        <v>67</v>
      </c>
      <c r="AF2335" t="s">
        <v>2902</v>
      </c>
      <c r="AG2335" t="s">
        <v>1754</v>
      </c>
      <c r="AH2335">
        <v>17</v>
      </c>
      <c r="AI2335">
        <v>1</v>
      </c>
      <c r="AJ2335">
        <v>0</v>
      </c>
      <c r="AK2335">
        <v>123.56</v>
      </c>
      <c r="AN2335" t="s">
        <v>2926</v>
      </c>
      <c r="AO2335">
        <v>15000</v>
      </c>
      <c r="AU2335">
        <v>1</v>
      </c>
      <c r="AV2335" t="s">
        <v>347</v>
      </c>
      <c r="AW2335" t="s">
        <v>3042</v>
      </c>
      <c r="AX2335" t="s">
        <v>18685</v>
      </c>
    </row>
    <row r="2336" spans="1:50">
      <c r="A2336" s="1" t="s">
        <v>68</v>
      </c>
      <c r="B2336" t="s">
        <v>163</v>
      </c>
      <c r="C2336" t="s">
        <v>5546</v>
      </c>
      <c r="D2336" t="s">
        <v>286</v>
      </c>
      <c r="F2336" t="s">
        <v>7663</v>
      </c>
      <c r="G2336" t="s">
        <v>8510</v>
      </c>
      <c r="H2336" t="s">
        <v>9507</v>
      </c>
      <c r="I2336">
        <v>5</v>
      </c>
      <c r="J2336" t="s">
        <v>1643</v>
      </c>
      <c r="K2336">
        <v>10034</v>
      </c>
      <c r="L2336" t="s">
        <v>1670</v>
      </c>
      <c r="M2336" t="s">
        <v>1670</v>
      </c>
      <c r="P2336" t="s">
        <v>1958</v>
      </c>
      <c r="R2336" t="s">
        <v>50</v>
      </c>
      <c r="S2336" t="s">
        <v>1670</v>
      </c>
      <c r="U2336" t="s">
        <v>1972</v>
      </c>
      <c r="W2336" t="s">
        <v>286</v>
      </c>
      <c r="X2336">
        <v>694.11</v>
      </c>
      <c r="Y2336" t="s">
        <v>2008</v>
      </c>
      <c r="Z2336" t="s">
        <v>2020</v>
      </c>
      <c r="AB2336" t="s">
        <v>14602</v>
      </c>
      <c r="AD2336" t="s">
        <v>17012</v>
      </c>
      <c r="AE2336">
        <v>25</v>
      </c>
      <c r="AF2336" t="s">
        <v>2902</v>
      </c>
      <c r="AG2336" t="s">
        <v>2919</v>
      </c>
      <c r="AH2336">
        <v>47</v>
      </c>
      <c r="AI2336">
        <v>2</v>
      </c>
      <c r="AJ2336">
        <v>0</v>
      </c>
      <c r="AK2336">
        <v>123.62</v>
      </c>
      <c r="AN2336" t="s">
        <v>2926</v>
      </c>
      <c r="AO2336">
        <v>20904</v>
      </c>
      <c r="AU2336">
        <v>6.2</v>
      </c>
      <c r="AV2336" t="s">
        <v>327</v>
      </c>
      <c r="AW2336" t="s">
        <v>3042</v>
      </c>
    </row>
    <row r="2337" spans="1:50">
      <c r="A2337" s="1" t="s">
        <v>74</v>
      </c>
      <c r="B2337" t="s">
        <v>163</v>
      </c>
      <c r="C2337" t="s">
        <v>5547</v>
      </c>
      <c r="D2337" t="s">
        <v>328</v>
      </c>
      <c r="F2337" t="s">
        <v>7696</v>
      </c>
      <c r="G2337" t="s">
        <v>8925</v>
      </c>
      <c r="H2337" t="s">
        <v>1131</v>
      </c>
      <c r="I2337" t="s">
        <v>1508</v>
      </c>
      <c r="J2337" t="s">
        <v>1641</v>
      </c>
      <c r="K2337">
        <v>10460</v>
      </c>
      <c r="L2337" t="s">
        <v>1670</v>
      </c>
      <c r="M2337" t="s">
        <v>1672</v>
      </c>
      <c r="N2337" t="s">
        <v>1691</v>
      </c>
      <c r="O2337" t="s">
        <v>1675</v>
      </c>
      <c r="P2337" t="s">
        <v>1959</v>
      </c>
      <c r="R2337" t="s">
        <v>50</v>
      </c>
      <c r="S2337" t="s">
        <v>1670</v>
      </c>
      <c r="U2337" t="s">
        <v>1972</v>
      </c>
      <c r="W2337" t="s">
        <v>1991</v>
      </c>
      <c r="X2337">
        <v>377</v>
      </c>
      <c r="Y2337" t="s">
        <v>2006</v>
      </c>
      <c r="Z2337" t="s">
        <v>2020</v>
      </c>
      <c r="AB2337" t="s">
        <v>13442</v>
      </c>
      <c r="AD2337" t="s">
        <v>17091</v>
      </c>
      <c r="AE2337">
        <v>248</v>
      </c>
      <c r="AF2337" t="s">
        <v>2904</v>
      </c>
      <c r="AG2337" t="s">
        <v>2017</v>
      </c>
      <c r="AH2337">
        <v>10</v>
      </c>
      <c r="AI2337">
        <v>1</v>
      </c>
      <c r="AJ2337">
        <v>0</v>
      </c>
      <c r="AK2337">
        <v>123.75</v>
      </c>
      <c r="AN2337" t="s">
        <v>2926</v>
      </c>
      <c r="AO2337">
        <v>15456</v>
      </c>
      <c r="AU2337" t="s">
        <v>13051</v>
      </c>
      <c r="AW2337" t="s">
        <v>3046</v>
      </c>
      <c r="AX2337" t="s">
        <v>18685</v>
      </c>
    </row>
    <row r="2338" spans="1:50">
      <c r="A2338" s="1" t="s">
        <v>96</v>
      </c>
      <c r="B2338" t="s">
        <v>164</v>
      </c>
      <c r="C2338" t="s">
        <v>5548</v>
      </c>
      <c r="D2338" t="s">
        <v>217</v>
      </c>
      <c r="E2338" t="s">
        <v>399</v>
      </c>
      <c r="F2338" t="s">
        <v>7471</v>
      </c>
      <c r="G2338" t="s">
        <v>8720</v>
      </c>
      <c r="H2338" t="s">
        <v>1276</v>
      </c>
      <c r="I2338">
        <v>2</v>
      </c>
      <c r="J2338" t="s">
        <v>1644</v>
      </c>
      <c r="K2338">
        <v>11238</v>
      </c>
      <c r="L2338" t="s">
        <v>1670</v>
      </c>
      <c r="M2338" t="s">
        <v>1670</v>
      </c>
      <c r="N2338" t="s">
        <v>12540</v>
      </c>
      <c r="O2338" t="s">
        <v>1945</v>
      </c>
      <c r="P2338" t="s">
        <v>1959</v>
      </c>
      <c r="Q2338" t="s">
        <v>1970</v>
      </c>
      <c r="R2338" t="s">
        <v>50</v>
      </c>
      <c r="S2338" t="s">
        <v>1671</v>
      </c>
      <c r="U2338" t="s">
        <v>1972</v>
      </c>
      <c r="W2338" t="s">
        <v>217</v>
      </c>
      <c r="X2338">
        <v>909</v>
      </c>
      <c r="Y2338" t="s">
        <v>2009</v>
      </c>
      <c r="Z2338" t="s">
        <v>2020</v>
      </c>
      <c r="AA2338" t="s">
        <v>2030</v>
      </c>
      <c r="AB2338" t="s">
        <v>14323</v>
      </c>
      <c r="AD2338" t="s">
        <v>16738</v>
      </c>
      <c r="AE2338">
        <v>29</v>
      </c>
      <c r="AF2338" t="s">
        <v>2902</v>
      </c>
      <c r="AH2338">
        <v>10</v>
      </c>
      <c r="AI2338">
        <v>2</v>
      </c>
      <c r="AJ2338">
        <v>0</v>
      </c>
      <c r="AK2338">
        <v>123.83</v>
      </c>
      <c r="AN2338" t="s">
        <v>2926</v>
      </c>
      <c r="AO2338">
        <v>20940</v>
      </c>
      <c r="AR2338" t="s">
        <v>2985</v>
      </c>
      <c r="AS2338" t="s">
        <v>2992</v>
      </c>
      <c r="AT2338" t="s">
        <v>18592</v>
      </c>
      <c r="AU2338">
        <v>5.45</v>
      </c>
      <c r="AV2338" t="s">
        <v>399</v>
      </c>
      <c r="AW2338" t="s">
        <v>96</v>
      </c>
      <c r="AX2338" t="s">
        <v>18685</v>
      </c>
    </row>
    <row r="2339" spans="1:50">
      <c r="A2339" s="1" t="s">
        <v>105</v>
      </c>
      <c r="B2339" t="s">
        <v>164</v>
      </c>
      <c r="C2339" t="s">
        <v>5549</v>
      </c>
      <c r="D2339" t="s">
        <v>294</v>
      </c>
      <c r="E2339" t="s">
        <v>405</v>
      </c>
      <c r="F2339" t="s">
        <v>758</v>
      </c>
      <c r="G2339" t="s">
        <v>8926</v>
      </c>
      <c r="H2339" t="s">
        <v>10024</v>
      </c>
      <c r="I2339" t="s">
        <v>1550</v>
      </c>
      <c r="J2339" t="s">
        <v>1641</v>
      </c>
      <c r="K2339">
        <v>10459</v>
      </c>
      <c r="L2339" t="s">
        <v>1670</v>
      </c>
      <c r="M2339" t="s">
        <v>1672</v>
      </c>
      <c r="N2339" t="s">
        <v>1691</v>
      </c>
      <c r="O2339" t="s">
        <v>1941</v>
      </c>
      <c r="P2339" t="s">
        <v>1958</v>
      </c>
      <c r="Q2339" t="s">
        <v>1965</v>
      </c>
      <c r="R2339" t="s">
        <v>50</v>
      </c>
      <c r="S2339" t="s">
        <v>1671</v>
      </c>
      <c r="U2339" t="s">
        <v>1972</v>
      </c>
      <c r="V2339" t="s">
        <v>1984</v>
      </c>
      <c r="W2339" t="s">
        <v>294</v>
      </c>
      <c r="X2339">
        <v>423</v>
      </c>
      <c r="Y2339" t="s">
        <v>2006</v>
      </c>
      <c r="Z2339" t="s">
        <v>2015</v>
      </c>
      <c r="AA2339" t="s">
        <v>2029</v>
      </c>
      <c r="AB2339" t="s">
        <v>14691</v>
      </c>
      <c r="AD2339" t="s">
        <v>17092</v>
      </c>
      <c r="AE2339" t="s">
        <v>13051</v>
      </c>
      <c r="AF2339" t="s">
        <v>2902</v>
      </c>
      <c r="AG2339" t="s">
        <v>1754</v>
      </c>
      <c r="AH2339">
        <v>14</v>
      </c>
      <c r="AI2339">
        <v>2</v>
      </c>
      <c r="AJ2339">
        <v>0</v>
      </c>
      <c r="AK2339">
        <v>124.19</v>
      </c>
      <c r="AN2339" t="s">
        <v>2926</v>
      </c>
      <c r="AO2339">
        <v>21000</v>
      </c>
      <c r="AP2339" t="s">
        <v>18344</v>
      </c>
      <c r="AU2339">
        <v>0.84</v>
      </c>
      <c r="AV2339" t="s">
        <v>294</v>
      </c>
      <c r="AW2339" t="s">
        <v>3067</v>
      </c>
      <c r="AX2339" t="s">
        <v>18685</v>
      </c>
    </row>
    <row r="2340" spans="1:50">
      <c r="A2340" s="1" t="s">
        <v>57</v>
      </c>
      <c r="B2340" t="s">
        <v>163</v>
      </c>
      <c r="C2340" t="s">
        <v>5550</v>
      </c>
      <c r="D2340" t="s">
        <v>182</v>
      </c>
      <c r="F2340" t="s">
        <v>7432</v>
      </c>
      <c r="G2340" t="s">
        <v>8927</v>
      </c>
      <c r="H2340" t="s">
        <v>1112</v>
      </c>
      <c r="I2340" t="s">
        <v>11380</v>
      </c>
      <c r="J2340" t="s">
        <v>1641</v>
      </c>
      <c r="K2340">
        <v>10453</v>
      </c>
      <c r="L2340" t="s">
        <v>1670</v>
      </c>
      <c r="M2340" t="s">
        <v>1670</v>
      </c>
      <c r="O2340" t="s">
        <v>1938</v>
      </c>
      <c r="P2340" t="s">
        <v>1961</v>
      </c>
      <c r="R2340" t="s">
        <v>50</v>
      </c>
      <c r="S2340" t="s">
        <v>1670</v>
      </c>
      <c r="U2340" t="s">
        <v>1972</v>
      </c>
      <c r="W2340" t="s">
        <v>283</v>
      </c>
      <c r="X2340">
        <v>802.4400000000001</v>
      </c>
      <c r="Y2340" t="s">
        <v>2006</v>
      </c>
      <c r="Z2340" t="s">
        <v>2015</v>
      </c>
      <c r="AB2340" t="s">
        <v>14692</v>
      </c>
      <c r="AD2340" t="s">
        <v>17093</v>
      </c>
      <c r="AE2340">
        <v>170</v>
      </c>
      <c r="AF2340" t="s">
        <v>2902</v>
      </c>
      <c r="AG2340" t="s">
        <v>1754</v>
      </c>
      <c r="AH2340">
        <v>30</v>
      </c>
      <c r="AI2340">
        <v>2</v>
      </c>
      <c r="AJ2340">
        <v>0</v>
      </c>
      <c r="AK2340">
        <v>124.19</v>
      </c>
      <c r="AN2340" t="s">
        <v>2926</v>
      </c>
      <c r="AO2340">
        <v>21000</v>
      </c>
      <c r="AU2340" t="s">
        <v>13051</v>
      </c>
      <c r="AW2340" t="s">
        <v>3047</v>
      </c>
    </row>
    <row r="2341" spans="1:50">
      <c r="A2341" s="1" t="s">
        <v>57</v>
      </c>
      <c r="B2341" t="s">
        <v>163</v>
      </c>
      <c r="C2341" t="s">
        <v>5551</v>
      </c>
      <c r="D2341" t="s">
        <v>182</v>
      </c>
      <c r="F2341" t="s">
        <v>7432</v>
      </c>
      <c r="G2341" t="s">
        <v>8927</v>
      </c>
      <c r="H2341" t="s">
        <v>1112</v>
      </c>
      <c r="I2341" t="s">
        <v>11380</v>
      </c>
      <c r="J2341" t="s">
        <v>1641</v>
      </c>
      <c r="K2341">
        <v>10453</v>
      </c>
      <c r="L2341" t="s">
        <v>1670</v>
      </c>
      <c r="M2341" t="s">
        <v>1670</v>
      </c>
      <c r="N2341" t="s">
        <v>1677</v>
      </c>
      <c r="O2341" t="s">
        <v>1939</v>
      </c>
      <c r="P2341" t="s">
        <v>1960</v>
      </c>
      <c r="R2341" t="s">
        <v>50</v>
      </c>
      <c r="S2341" t="s">
        <v>1670</v>
      </c>
      <c r="U2341" t="s">
        <v>1972</v>
      </c>
      <c r="W2341" t="s">
        <v>283</v>
      </c>
      <c r="X2341">
        <v>802.4400000000001</v>
      </c>
      <c r="Y2341" t="s">
        <v>2006</v>
      </c>
      <c r="Z2341" t="s">
        <v>2015</v>
      </c>
      <c r="AB2341" t="s">
        <v>14692</v>
      </c>
      <c r="AD2341" t="s">
        <v>17093</v>
      </c>
      <c r="AE2341">
        <v>170</v>
      </c>
      <c r="AF2341" t="s">
        <v>2902</v>
      </c>
      <c r="AG2341" t="s">
        <v>1754</v>
      </c>
      <c r="AH2341">
        <v>30</v>
      </c>
      <c r="AI2341">
        <v>2</v>
      </c>
      <c r="AJ2341">
        <v>0</v>
      </c>
      <c r="AK2341">
        <v>124.19</v>
      </c>
      <c r="AN2341" t="s">
        <v>2926</v>
      </c>
      <c r="AO2341">
        <v>21000</v>
      </c>
      <c r="AU2341">
        <v>0.5</v>
      </c>
      <c r="AV2341" t="s">
        <v>326</v>
      </c>
      <c r="AW2341" t="s">
        <v>3047</v>
      </c>
    </row>
    <row r="2342" spans="1:50">
      <c r="A2342" s="1" t="s">
        <v>134</v>
      </c>
      <c r="B2342" t="s">
        <v>164</v>
      </c>
      <c r="C2342" t="s">
        <v>5552</v>
      </c>
      <c r="D2342" t="s">
        <v>221</v>
      </c>
      <c r="E2342" t="s">
        <v>221</v>
      </c>
      <c r="F2342" t="s">
        <v>6996</v>
      </c>
      <c r="G2342" t="s">
        <v>8928</v>
      </c>
      <c r="H2342" t="s">
        <v>10445</v>
      </c>
      <c r="I2342" t="s">
        <v>1569</v>
      </c>
      <c r="J2342" t="s">
        <v>1643</v>
      </c>
      <c r="K2342">
        <v>10034</v>
      </c>
      <c r="L2342" t="s">
        <v>1670</v>
      </c>
      <c r="M2342" t="s">
        <v>1672</v>
      </c>
      <c r="O2342" t="s">
        <v>1675</v>
      </c>
      <c r="P2342" t="s">
        <v>1962</v>
      </c>
      <c r="Q2342" t="s">
        <v>1968</v>
      </c>
      <c r="R2342" t="s">
        <v>50</v>
      </c>
      <c r="S2342" t="s">
        <v>1671</v>
      </c>
      <c r="U2342" t="s">
        <v>1972</v>
      </c>
      <c r="W2342" t="s">
        <v>221</v>
      </c>
      <c r="X2342">
        <v>1098.91</v>
      </c>
      <c r="Y2342" t="s">
        <v>2008</v>
      </c>
      <c r="Z2342" t="s">
        <v>2013</v>
      </c>
      <c r="AA2342" t="s">
        <v>2030</v>
      </c>
      <c r="AB2342" t="s">
        <v>14693</v>
      </c>
      <c r="AC2342" t="s">
        <v>15273</v>
      </c>
      <c r="AD2342" t="s">
        <v>17094</v>
      </c>
      <c r="AE2342">
        <v>52</v>
      </c>
      <c r="AF2342" t="s">
        <v>2902</v>
      </c>
      <c r="AG2342" t="s">
        <v>2017</v>
      </c>
      <c r="AH2342">
        <v>18</v>
      </c>
      <c r="AI2342">
        <v>1</v>
      </c>
      <c r="AJ2342">
        <v>0</v>
      </c>
      <c r="AK2342">
        <v>124.8</v>
      </c>
      <c r="AN2342" t="s">
        <v>2926</v>
      </c>
      <c r="AO2342">
        <v>15588</v>
      </c>
      <c r="AU2342">
        <v>2</v>
      </c>
      <c r="AV2342" t="s">
        <v>221</v>
      </c>
      <c r="AW2342" t="s">
        <v>134</v>
      </c>
      <c r="AX2342" t="s">
        <v>18686</v>
      </c>
    </row>
    <row r="2343" spans="1:50">
      <c r="A2343" s="1" t="s">
        <v>134</v>
      </c>
      <c r="B2343" t="s">
        <v>164</v>
      </c>
      <c r="C2343" t="s">
        <v>5553</v>
      </c>
      <c r="D2343" t="s">
        <v>221</v>
      </c>
      <c r="E2343" t="s">
        <v>354</v>
      </c>
      <c r="F2343" t="s">
        <v>6996</v>
      </c>
      <c r="G2343" t="s">
        <v>8928</v>
      </c>
      <c r="H2343" t="s">
        <v>10445</v>
      </c>
      <c r="I2343" t="s">
        <v>1569</v>
      </c>
      <c r="J2343" t="s">
        <v>1643</v>
      </c>
      <c r="K2343">
        <v>10034</v>
      </c>
      <c r="L2343" t="s">
        <v>1670</v>
      </c>
      <c r="M2343" t="s">
        <v>1671</v>
      </c>
      <c r="O2343" t="s">
        <v>1945</v>
      </c>
      <c r="P2343" t="s">
        <v>1962</v>
      </c>
      <c r="Q2343" t="s">
        <v>1968</v>
      </c>
      <c r="R2343" t="s">
        <v>50</v>
      </c>
      <c r="S2343" t="s">
        <v>1671</v>
      </c>
      <c r="U2343" t="s">
        <v>1972</v>
      </c>
      <c r="W2343" t="s">
        <v>221</v>
      </c>
      <c r="X2343">
        <v>1077</v>
      </c>
      <c r="Y2343" t="s">
        <v>2008</v>
      </c>
      <c r="Z2343" t="s">
        <v>2013</v>
      </c>
      <c r="AA2343" t="s">
        <v>2030</v>
      </c>
      <c r="AB2343" t="s">
        <v>14693</v>
      </c>
      <c r="AC2343" t="s">
        <v>15273</v>
      </c>
      <c r="AD2343" t="s">
        <v>17094</v>
      </c>
      <c r="AE2343">
        <v>52</v>
      </c>
      <c r="AF2343" t="s">
        <v>2902</v>
      </c>
      <c r="AG2343" t="s">
        <v>2017</v>
      </c>
      <c r="AH2343">
        <v>18</v>
      </c>
      <c r="AI2343">
        <v>1</v>
      </c>
      <c r="AJ2343">
        <v>0</v>
      </c>
      <c r="AK2343">
        <v>124.8</v>
      </c>
      <c r="AO2343">
        <v>15588</v>
      </c>
      <c r="AU2343">
        <v>10.1</v>
      </c>
      <c r="AV2343" t="s">
        <v>275</v>
      </c>
      <c r="AW2343" t="s">
        <v>134</v>
      </c>
      <c r="AX2343" t="s">
        <v>18685</v>
      </c>
    </row>
    <row r="2344" spans="1:50">
      <c r="A2344" s="1" t="s">
        <v>103</v>
      </c>
      <c r="B2344" t="s">
        <v>164</v>
      </c>
      <c r="C2344" t="s">
        <v>5554</v>
      </c>
      <c r="D2344" t="s">
        <v>199</v>
      </c>
      <c r="E2344" t="s">
        <v>268</v>
      </c>
      <c r="F2344" t="s">
        <v>7697</v>
      </c>
      <c r="G2344" t="s">
        <v>8549</v>
      </c>
      <c r="H2344" t="s">
        <v>10446</v>
      </c>
      <c r="I2344" t="s">
        <v>1542</v>
      </c>
      <c r="J2344" t="s">
        <v>1644</v>
      </c>
      <c r="K2344">
        <v>11208</v>
      </c>
      <c r="L2344" t="s">
        <v>1670</v>
      </c>
      <c r="M2344" t="s">
        <v>1671</v>
      </c>
      <c r="N2344" t="s">
        <v>12541</v>
      </c>
      <c r="O2344" t="s">
        <v>1940</v>
      </c>
      <c r="P2344" t="s">
        <v>1958</v>
      </c>
      <c r="Q2344" t="s">
        <v>1965</v>
      </c>
      <c r="R2344" t="s">
        <v>50</v>
      </c>
      <c r="S2344" t="s">
        <v>1671</v>
      </c>
      <c r="U2344" t="s">
        <v>1972</v>
      </c>
      <c r="V2344" t="s">
        <v>1984</v>
      </c>
      <c r="W2344" t="s">
        <v>199</v>
      </c>
      <c r="X2344">
        <v>350</v>
      </c>
      <c r="Y2344" t="s">
        <v>2009</v>
      </c>
      <c r="Z2344" t="s">
        <v>2017</v>
      </c>
      <c r="AA2344" t="s">
        <v>2029</v>
      </c>
      <c r="AB2344" t="s">
        <v>2223</v>
      </c>
      <c r="AE2344">
        <v>3</v>
      </c>
      <c r="AF2344" t="s">
        <v>2903</v>
      </c>
      <c r="AG2344" t="s">
        <v>1754</v>
      </c>
      <c r="AH2344">
        <v>2</v>
      </c>
      <c r="AI2344">
        <v>1</v>
      </c>
      <c r="AJ2344">
        <v>0</v>
      </c>
      <c r="AK2344">
        <v>124.9</v>
      </c>
      <c r="AN2344" t="s">
        <v>2926</v>
      </c>
      <c r="AO2344">
        <v>15600</v>
      </c>
      <c r="AU2344">
        <v>2.5</v>
      </c>
      <c r="AV2344" t="s">
        <v>255</v>
      </c>
      <c r="AW2344" t="s">
        <v>3059</v>
      </c>
      <c r="AX2344" t="s">
        <v>18685</v>
      </c>
    </row>
    <row r="2345" spans="1:50">
      <c r="A2345" s="1" t="s">
        <v>99</v>
      </c>
      <c r="B2345" t="s">
        <v>164</v>
      </c>
      <c r="C2345" t="s">
        <v>5555</v>
      </c>
      <c r="D2345" t="s">
        <v>199</v>
      </c>
      <c r="E2345" t="s">
        <v>199</v>
      </c>
      <c r="F2345" t="s">
        <v>550</v>
      </c>
      <c r="G2345" t="s">
        <v>870</v>
      </c>
      <c r="H2345" t="s">
        <v>10447</v>
      </c>
      <c r="I2345" t="s">
        <v>11381</v>
      </c>
      <c r="J2345" t="s">
        <v>11746</v>
      </c>
      <c r="K2345">
        <v>11417</v>
      </c>
      <c r="L2345" t="s">
        <v>1670</v>
      </c>
      <c r="M2345" t="s">
        <v>1670</v>
      </c>
      <c r="N2345" t="s">
        <v>11921</v>
      </c>
      <c r="O2345" t="s">
        <v>1675</v>
      </c>
      <c r="P2345" t="s">
        <v>1958</v>
      </c>
      <c r="Q2345" t="s">
        <v>1971</v>
      </c>
      <c r="R2345" t="s">
        <v>51</v>
      </c>
      <c r="S2345" t="s">
        <v>1671</v>
      </c>
      <c r="U2345" t="s">
        <v>1972</v>
      </c>
      <c r="V2345" t="s">
        <v>1984</v>
      </c>
      <c r="W2345" t="s">
        <v>199</v>
      </c>
      <c r="X2345">
        <v>1900</v>
      </c>
      <c r="Y2345" t="s">
        <v>2007</v>
      </c>
      <c r="Z2345" t="s">
        <v>2012</v>
      </c>
      <c r="AA2345" t="s">
        <v>2029</v>
      </c>
      <c r="AB2345" t="s">
        <v>14694</v>
      </c>
      <c r="AC2345" t="s">
        <v>15091</v>
      </c>
      <c r="AD2345" t="s">
        <v>15077</v>
      </c>
      <c r="AE2345">
        <v>4</v>
      </c>
      <c r="AF2345" t="s">
        <v>2903</v>
      </c>
      <c r="AG2345" t="s">
        <v>1754</v>
      </c>
      <c r="AH2345">
        <v>4</v>
      </c>
      <c r="AI2345">
        <v>1</v>
      </c>
      <c r="AJ2345">
        <v>0</v>
      </c>
      <c r="AK2345">
        <v>124.9</v>
      </c>
      <c r="AL2345" t="s">
        <v>2923</v>
      </c>
      <c r="AM2345" t="s">
        <v>2924</v>
      </c>
      <c r="AN2345" t="s">
        <v>2927</v>
      </c>
      <c r="AO2345">
        <v>15600</v>
      </c>
      <c r="AU2345">
        <v>2.4</v>
      </c>
      <c r="AV2345" t="s">
        <v>3036</v>
      </c>
      <c r="AW2345" t="s">
        <v>99</v>
      </c>
    </row>
    <row r="2346" spans="1:50">
      <c r="A2346" s="1" t="s">
        <v>3170</v>
      </c>
      <c r="B2346" t="s">
        <v>163</v>
      </c>
      <c r="C2346" t="s">
        <v>5556</v>
      </c>
      <c r="D2346" t="s">
        <v>206</v>
      </c>
      <c r="F2346" t="s">
        <v>7698</v>
      </c>
      <c r="G2346" t="s">
        <v>8929</v>
      </c>
      <c r="H2346" t="s">
        <v>10448</v>
      </c>
      <c r="I2346">
        <v>8</v>
      </c>
      <c r="J2346" t="s">
        <v>1643</v>
      </c>
      <c r="K2346">
        <v>10128</v>
      </c>
      <c r="L2346" t="s">
        <v>1670</v>
      </c>
      <c r="M2346" t="s">
        <v>1672</v>
      </c>
      <c r="N2346" t="s">
        <v>12542</v>
      </c>
      <c r="O2346" t="s">
        <v>1936</v>
      </c>
      <c r="P2346" t="s">
        <v>1963</v>
      </c>
      <c r="R2346" t="s">
        <v>50</v>
      </c>
      <c r="S2346" t="s">
        <v>1671</v>
      </c>
      <c r="U2346" t="s">
        <v>1972</v>
      </c>
      <c r="V2346" t="s">
        <v>1987</v>
      </c>
      <c r="W2346" t="s">
        <v>206</v>
      </c>
      <c r="X2346">
        <v>1138.34</v>
      </c>
      <c r="Y2346" t="s">
        <v>2008</v>
      </c>
      <c r="Z2346" t="s">
        <v>2014</v>
      </c>
      <c r="AB2346" t="s">
        <v>14695</v>
      </c>
      <c r="AE2346">
        <v>20</v>
      </c>
      <c r="AG2346" t="s">
        <v>1754</v>
      </c>
      <c r="AH2346">
        <v>20</v>
      </c>
      <c r="AI2346">
        <v>1</v>
      </c>
      <c r="AJ2346">
        <v>0</v>
      </c>
      <c r="AK2346">
        <v>124.9</v>
      </c>
      <c r="AN2346" t="s">
        <v>2926</v>
      </c>
      <c r="AO2346">
        <v>15600</v>
      </c>
      <c r="AU2346">
        <v>1</v>
      </c>
      <c r="AV2346" t="s">
        <v>206</v>
      </c>
      <c r="AW2346" t="s">
        <v>3051</v>
      </c>
      <c r="AX2346" t="s">
        <v>18685</v>
      </c>
    </row>
    <row r="2347" spans="1:50">
      <c r="A2347" s="1" t="s">
        <v>162</v>
      </c>
      <c r="B2347" t="s">
        <v>163</v>
      </c>
      <c r="C2347" t="s">
        <v>5557</v>
      </c>
      <c r="D2347" t="s">
        <v>236</v>
      </c>
      <c r="F2347" t="s">
        <v>6976</v>
      </c>
      <c r="G2347" t="s">
        <v>7891</v>
      </c>
      <c r="H2347" t="s">
        <v>9890</v>
      </c>
      <c r="I2347" t="s">
        <v>11305</v>
      </c>
      <c r="J2347" t="s">
        <v>1645</v>
      </c>
      <c r="K2347">
        <v>11691</v>
      </c>
      <c r="L2347" t="s">
        <v>1670</v>
      </c>
      <c r="M2347" t="s">
        <v>1670</v>
      </c>
      <c r="N2347" t="s">
        <v>12543</v>
      </c>
      <c r="O2347" t="s">
        <v>1937</v>
      </c>
      <c r="P2347" t="s">
        <v>1959</v>
      </c>
      <c r="R2347" t="s">
        <v>50</v>
      </c>
      <c r="S2347" t="s">
        <v>1671</v>
      </c>
      <c r="U2347" t="s">
        <v>1972</v>
      </c>
      <c r="V2347" t="s">
        <v>1985</v>
      </c>
      <c r="W2347" t="s">
        <v>236</v>
      </c>
      <c r="X2347">
        <v>1020</v>
      </c>
      <c r="Y2347" t="s">
        <v>2007</v>
      </c>
      <c r="Z2347" t="s">
        <v>2020</v>
      </c>
      <c r="AB2347" t="s">
        <v>14696</v>
      </c>
      <c r="AD2347" t="s">
        <v>17095</v>
      </c>
      <c r="AE2347">
        <v>231</v>
      </c>
      <c r="AF2347" t="s">
        <v>2906</v>
      </c>
      <c r="AG2347" t="s">
        <v>1754</v>
      </c>
      <c r="AH2347">
        <v>7</v>
      </c>
      <c r="AI2347">
        <v>1</v>
      </c>
      <c r="AJ2347">
        <v>0</v>
      </c>
      <c r="AK2347">
        <v>124.9</v>
      </c>
      <c r="AN2347" t="s">
        <v>2926</v>
      </c>
      <c r="AO2347">
        <v>15600</v>
      </c>
      <c r="AU2347">
        <v>1</v>
      </c>
      <c r="AV2347" t="s">
        <v>236</v>
      </c>
      <c r="AW2347" t="s">
        <v>3044</v>
      </c>
    </row>
    <row r="2348" spans="1:50">
      <c r="A2348" s="1" t="s">
        <v>74</v>
      </c>
      <c r="B2348" t="s">
        <v>163</v>
      </c>
      <c r="C2348" t="s">
        <v>5558</v>
      </c>
      <c r="D2348" t="s">
        <v>230</v>
      </c>
      <c r="F2348" t="s">
        <v>7269</v>
      </c>
      <c r="G2348" t="s">
        <v>8930</v>
      </c>
      <c r="H2348" t="s">
        <v>1131</v>
      </c>
      <c r="I2348" t="s">
        <v>1567</v>
      </c>
      <c r="J2348" t="s">
        <v>1641</v>
      </c>
      <c r="K2348">
        <v>10460</v>
      </c>
      <c r="L2348" t="s">
        <v>1670</v>
      </c>
      <c r="M2348" t="s">
        <v>1672</v>
      </c>
      <c r="O2348" t="s">
        <v>1675</v>
      </c>
      <c r="P2348" t="s">
        <v>1959</v>
      </c>
      <c r="R2348" t="s">
        <v>50</v>
      </c>
      <c r="S2348" t="s">
        <v>1670</v>
      </c>
      <c r="U2348" t="s">
        <v>1972</v>
      </c>
      <c r="W2348" t="s">
        <v>1991</v>
      </c>
      <c r="X2348">
        <v>1600</v>
      </c>
      <c r="Y2348" t="s">
        <v>2006</v>
      </c>
      <c r="Z2348" t="s">
        <v>2015</v>
      </c>
      <c r="AB2348" t="s">
        <v>14697</v>
      </c>
      <c r="AD2348" t="s">
        <v>17096</v>
      </c>
      <c r="AE2348">
        <v>168</v>
      </c>
      <c r="AF2348" t="s">
        <v>2902</v>
      </c>
      <c r="AG2348" t="s">
        <v>1754</v>
      </c>
      <c r="AH2348">
        <v>18</v>
      </c>
      <c r="AI2348">
        <v>1</v>
      </c>
      <c r="AJ2348">
        <v>0</v>
      </c>
      <c r="AK2348">
        <v>124.9</v>
      </c>
      <c r="AN2348" t="s">
        <v>2926</v>
      </c>
      <c r="AO2348">
        <v>15600</v>
      </c>
      <c r="AU2348">
        <v>1.5</v>
      </c>
      <c r="AV2348" t="s">
        <v>7866</v>
      </c>
      <c r="AW2348" t="s">
        <v>3045</v>
      </c>
      <c r="AX2348" t="s">
        <v>18685</v>
      </c>
    </row>
    <row r="2349" spans="1:50">
      <c r="A2349" s="1" t="s">
        <v>3172</v>
      </c>
      <c r="B2349" t="s">
        <v>164</v>
      </c>
      <c r="C2349" t="s">
        <v>5559</v>
      </c>
      <c r="D2349" t="s">
        <v>236</v>
      </c>
      <c r="E2349" t="s">
        <v>253</v>
      </c>
      <c r="F2349" t="s">
        <v>6976</v>
      </c>
      <c r="G2349" t="s">
        <v>7891</v>
      </c>
      <c r="H2349" t="s">
        <v>9890</v>
      </c>
      <c r="I2349" t="s">
        <v>11305</v>
      </c>
      <c r="J2349" t="s">
        <v>1645</v>
      </c>
      <c r="K2349">
        <v>11691</v>
      </c>
      <c r="L2349" t="s">
        <v>1670</v>
      </c>
      <c r="M2349" t="s">
        <v>1670</v>
      </c>
      <c r="N2349" t="s">
        <v>12544</v>
      </c>
      <c r="O2349" t="s">
        <v>1936</v>
      </c>
      <c r="P2349" t="s">
        <v>1960</v>
      </c>
      <c r="Q2349" t="s">
        <v>1969</v>
      </c>
      <c r="R2349" t="s">
        <v>50</v>
      </c>
      <c r="S2349" t="s">
        <v>1671</v>
      </c>
      <c r="U2349" t="s">
        <v>1972</v>
      </c>
      <c r="V2349" t="s">
        <v>1983</v>
      </c>
      <c r="W2349" t="s">
        <v>277</v>
      </c>
      <c r="X2349">
        <v>1174</v>
      </c>
      <c r="Y2349" t="s">
        <v>2007</v>
      </c>
      <c r="Z2349" t="s">
        <v>2025</v>
      </c>
      <c r="AA2349" t="s">
        <v>2032</v>
      </c>
      <c r="AB2349" t="s">
        <v>14696</v>
      </c>
      <c r="AD2349" t="s">
        <v>17095</v>
      </c>
      <c r="AE2349">
        <v>232</v>
      </c>
      <c r="AF2349" t="s">
        <v>2906</v>
      </c>
      <c r="AG2349" t="s">
        <v>1754</v>
      </c>
      <c r="AH2349">
        <v>9</v>
      </c>
      <c r="AI2349">
        <v>1</v>
      </c>
      <c r="AJ2349">
        <v>0</v>
      </c>
      <c r="AK2349">
        <v>124.9</v>
      </c>
      <c r="AN2349" t="s">
        <v>2926</v>
      </c>
      <c r="AO2349">
        <v>15600</v>
      </c>
      <c r="AQ2349" t="s">
        <v>2978</v>
      </c>
      <c r="AR2349" t="s">
        <v>2982</v>
      </c>
      <c r="AS2349" t="s">
        <v>2992</v>
      </c>
      <c r="AT2349" t="s">
        <v>18593</v>
      </c>
      <c r="AU2349">
        <v>1.8</v>
      </c>
      <c r="AV2349" t="s">
        <v>253</v>
      </c>
      <c r="AW2349" t="s">
        <v>3172</v>
      </c>
    </row>
    <row r="2350" spans="1:50">
      <c r="A2350" s="1" t="s">
        <v>61</v>
      </c>
      <c r="B2350" t="s">
        <v>163</v>
      </c>
      <c r="C2350" t="s">
        <v>5560</v>
      </c>
      <c r="D2350" t="s">
        <v>364</v>
      </c>
      <c r="F2350" t="s">
        <v>463</v>
      </c>
      <c r="G2350" t="s">
        <v>8931</v>
      </c>
      <c r="H2350" t="s">
        <v>9387</v>
      </c>
      <c r="I2350" t="s">
        <v>1522</v>
      </c>
      <c r="J2350" t="s">
        <v>1644</v>
      </c>
      <c r="K2350">
        <v>11226</v>
      </c>
      <c r="L2350" t="s">
        <v>1670</v>
      </c>
      <c r="M2350" t="s">
        <v>1672</v>
      </c>
      <c r="N2350" t="s">
        <v>11999</v>
      </c>
      <c r="O2350" t="s">
        <v>1939</v>
      </c>
      <c r="P2350" t="s">
        <v>1960</v>
      </c>
      <c r="R2350" t="s">
        <v>50</v>
      </c>
      <c r="S2350" t="s">
        <v>1670</v>
      </c>
      <c r="U2350" t="s">
        <v>1972</v>
      </c>
      <c r="V2350" t="s">
        <v>1984</v>
      </c>
      <c r="W2350" t="s">
        <v>364</v>
      </c>
      <c r="X2350">
        <v>965</v>
      </c>
      <c r="Y2350" t="s">
        <v>2009</v>
      </c>
      <c r="Z2350" t="s">
        <v>2016</v>
      </c>
      <c r="AB2350" t="s">
        <v>14698</v>
      </c>
      <c r="AD2350" t="s">
        <v>17097</v>
      </c>
      <c r="AE2350">
        <v>36</v>
      </c>
      <c r="AF2350" t="s">
        <v>2902</v>
      </c>
      <c r="AH2350">
        <v>1</v>
      </c>
      <c r="AI2350">
        <v>1</v>
      </c>
      <c r="AJ2350">
        <v>0</v>
      </c>
      <c r="AK2350">
        <v>124.9</v>
      </c>
      <c r="AN2350" t="s">
        <v>18045</v>
      </c>
      <c r="AO2350">
        <v>15600</v>
      </c>
      <c r="AU2350">
        <v>0.3</v>
      </c>
      <c r="AV2350" t="s">
        <v>364</v>
      </c>
      <c r="AW2350" t="s">
        <v>69</v>
      </c>
    </row>
    <row r="2351" spans="1:50">
      <c r="A2351" s="1" t="s">
        <v>84</v>
      </c>
      <c r="B2351" t="s">
        <v>163</v>
      </c>
      <c r="C2351" t="s">
        <v>5561</v>
      </c>
      <c r="D2351" t="s">
        <v>310</v>
      </c>
      <c r="F2351" t="s">
        <v>687</v>
      </c>
      <c r="G2351" t="s">
        <v>8051</v>
      </c>
      <c r="H2351" t="s">
        <v>10449</v>
      </c>
      <c r="I2351" t="s">
        <v>11382</v>
      </c>
      <c r="J2351" t="s">
        <v>1644</v>
      </c>
      <c r="K2351">
        <v>11208</v>
      </c>
      <c r="L2351" t="s">
        <v>1670</v>
      </c>
      <c r="M2351" t="s">
        <v>1670</v>
      </c>
      <c r="N2351" t="s">
        <v>12545</v>
      </c>
      <c r="O2351" t="s">
        <v>1940</v>
      </c>
      <c r="P2351" t="s">
        <v>1960</v>
      </c>
      <c r="R2351" t="s">
        <v>50</v>
      </c>
      <c r="S2351" t="s">
        <v>1671</v>
      </c>
      <c r="U2351" t="s">
        <v>1972</v>
      </c>
      <c r="V2351" t="s">
        <v>1984</v>
      </c>
      <c r="W2351" t="s">
        <v>266</v>
      </c>
      <c r="X2351">
        <v>800</v>
      </c>
      <c r="Y2351" t="s">
        <v>2009</v>
      </c>
      <c r="Z2351" t="s">
        <v>2014</v>
      </c>
      <c r="AB2351" t="s">
        <v>14699</v>
      </c>
      <c r="AC2351" t="s">
        <v>1754</v>
      </c>
      <c r="AD2351" t="s">
        <v>17098</v>
      </c>
      <c r="AE2351">
        <v>3</v>
      </c>
      <c r="AF2351" t="s">
        <v>2903</v>
      </c>
      <c r="AG2351" t="s">
        <v>2916</v>
      </c>
      <c r="AH2351">
        <v>1</v>
      </c>
      <c r="AI2351">
        <v>1</v>
      </c>
      <c r="AJ2351">
        <v>0</v>
      </c>
      <c r="AK2351">
        <v>124.9</v>
      </c>
      <c r="AN2351" t="s">
        <v>2926</v>
      </c>
      <c r="AO2351">
        <v>15600</v>
      </c>
      <c r="AU2351">
        <v>17.2</v>
      </c>
      <c r="AV2351" t="s">
        <v>361</v>
      </c>
      <c r="AW2351" t="s">
        <v>3069</v>
      </c>
    </row>
    <row r="2352" spans="1:50">
      <c r="A2352" s="1" t="s">
        <v>3205</v>
      </c>
      <c r="B2352" t="s">
        <v>163</v>
      </c>
      <c r="C2352" t="s">
        <v>5562</v>
      </c>
      <c r="D2352" t="s">
        <v>328</v>
      </c>
      <c r="F2352" t="s">
        <v>7298</v>
      </c>
      <c r="G2352" t="s">
        <v>8932</v>
      </c>
      <c r="H2352" t="s">
        <v>10450</v>
      </c>
      <c r="I2352" t="s">
        <v>11383</v>
      </c>
      <c r="J2352" t="s">
        <v>1641</v>
      </c>
      <c r="K2352">
        <v>10457</v>
      </c>
      <c r="L2352" t="s">
        <v>1670</v>
      </c>
      <c r="M2352" t="s">
        <v>1672</v>
      </c>
      <c r="N2352" t="s">
        <v>12546</v>
      </c>
      <c r="O2352" t="s">
        <v>1936</v>
      </c>
      <c r="P2352" t="s">
        <v>1960</v>
      </c>
      <c r="R2352" t="s">
        <v>50</v>
      </c>
      <c r="S2352" t="s">
        <v>1671</v>
      </c>
      <c r="U2352" t="s">
        <v>1972</v>
      </c>
      <c r="W2352" t="s">
        <v>328</v>
      </c>
      <c r="X2352">
        <v>3519</v>
      </c>
      <c r="Y2352" t="s">
        <v>2006</v>
      </c>
      <c r="Z2352" t="s">
        <v>2011</v>
      </c>
      <c r="AB2352" t="s">
        <v>14700</v>
      </c>
      <c r="AD2352" t="s">
        <v>17099</v>
      </c>
      <c r="AE2352">
        <v>84</v>
      </c>
      <c r="AF2352" t="s">
        <v>2902</v>
      </c>
      <c r="AG2352" t="s">
        <v>2915</v>
      </c>
      <c r="AH2352">
        <v>31</v>
      </c>
      <c r="AI2352">
        <v>1</v>
      </c>
      <c r="AJ2352">
        <v>0</v>
      </c>
      <c r="AK2352">
        <v>124.9</v>
      </c>
      <c r="AN2352" t="s">
        <v>2926</v>
      </c>
      <c r="AO2352">
        <v>15600</v>
      </c>
      <c r="AU2352">
        <v>2.4</v>
      </c>
      <c r="AV2352" t="s">
        <v>289</v>
      </c>
      <c r="AW2352" t="s">
        <v>3045</v>
      </c>
      <c r="AX2352" t="s">
        <v>18685</v>
      </c>
    </row>
    <row r="2353" spans="1:50">
      <c r="A2353" s="1" t="s">
        <v>100</v>
      </c>
      <c r="B2353" t="s">
        <v>164</v>
      </c>
      <c r="C2353" t="s">
        <v>5563</v>
      </c>
      <c r="D2353" t="s">
        <v>344</v>
      </c>
      <c r="E2353" t="s">
        <v>252</v>
      </c>
      <c r="F2353" t="s">
        <v>7699</v>
      </c>
      <c r="G2353" t="s">
        <v>784</v>
      </c>
      <c r="H2353" t="s">
        <v>10451</v>
      </c>
      <c r="I2353" t="s">
        <v>1508</v>
      </c>
      <c r="J2353" t="s">
        <v>1643</v>
      </c>
      <c r="K2353">
        <v>10034</v>
      </c>
      <c r="L2353" t="s">
        <v>1670</v>
      </c>
      <c r="M2353" t="s">
        <v>1670</v>
      </c>
      <c r="O2353" t="s">
        <v>1675</v>
      </c>
      <c r="P2353" t="s">
        <v>1958</v>
      </c>
      <c r="Q2353" t="s">
        <v>1965</v>
      </c>
      <c r="R2353" t="s">
        <v>50</v>
      </c>
      <c r="S2353" t="s">
        <v>1671</v>
      </c>
      <c r="U2353" t="s">
        <v>1972</v>
      </c>
      <c r="W2353" t="s">
        <v>344</v>
      </c>
      <c r="X2353">
        <v>1270</v>
      </c>
      <c r="Y2353" t="s">
        <v>2008</v>
      </c>
      <c r="Z2353" t="s">
        <v>2013</v>
      </c>
      <c r="AA2353" t="s">
        <v>2029</v>
      </c>
      <c r="AB2353" t="s">
        <v>14701</v>
      </c>
      <c r="AD2353" t="s">
        <v>17100</v>
      </c>
      <c r="AE2353">
        <v>52</v>
      </c>
      <c r="AF2353" t="s">
        <v>2902</v>
      </c>
      <c r="AG2353" t="s">
        <v>1754</v>
      </c>
      <c r="AH2353">
        <v>22</v>
      </c>
      <c r="AI2353">
        <v>3</v>
      </c>
      <c r="AJ2353">
        <v>0</v>
      </c>
      <c r="AK2353">
        <v>125.12</v>
      </c>
      <c r="AN2353" t="s">
        <v>2926</v>
      </c>
      <c r="AO2353">
        <v>26000</v>
      </c>
      <c r="AU2353">
        <v>0.1</v>
      </c>
      <c r="AV2353" t="s">
        <v>252</v>
      </c>
      <c r="AW2353" t="s">
        <v>3042</v>
      </c>
      <c r="AX2353" t="s">
        <v>18685</v>
      </c>
    </row>
    <row r="2354" spans="1:50">
      <c r="A2354" s="1" t="s">
        <v>64</v>
      </c>
      <c r="B2354" t="s">
        <v>164</v>
      </c>
      <c r="C2354" t="s">
        <v>5564</v>
      </c>
      <c r="D2354" t="s">
        <v>258</v>
      </c>
      <c r="E2354" t="s">
        <v>220</v>
      </c>
      <c r="F2354" t="s">
        <v>6811</v>
      </c>
      <c r="G2354" t="s">
        <v>8518</v>
      </c>
      <c r="H2354" t="s">
        <v>9968</v>
      </c>
      <c r="I2354" t="s">
        <v>1551</v>
      </c>
      <c r="J2354" t="s">
        <v>1643</v>
      </c>
      <c r="K2354">
        <v>10034</v>
      </c>
      <c r="L2354" t="s">
        <v>1670</v>
      </c>
      <c r="M2354" t="s">
        <v>1670</v>
      </c>
      <c r="O2354" t="s">
        <v>1941</v>
      </c>
      <c r="P2354" t="s">
        <v>1962</v>
      </c>
      <c r="Q2354" t="s">
        <v>1968</v>
      </c>
      <c r="R2354" t="s">
        <v>50</v>
      </c>
      <c r="S2354" t="s">
        <v>1671</v>
      </c>
      <c r="U2354" t="s">
        <v>1972</v>
      </c>
      <c r="W2354" t="s">
        <v>258</v>
      </c>
      <c r="X2354">
        <v>149</v>
      </c>
      <c r="Y2354" t="s">
        <v>2008</v>
      </c>
      <c r="Z2354" t="s">
        <v>2015</v>
      </c>
      <c r="AA2354" t="s">
        <v>2029</v>
      </c>
      <c r="AB2354" t="s">
        <v>13992</v>
      </c>
      <c r="AD2354" t="s">
        <v>16428</v>
      </c>
      <c r="AE2354">
        <v>95</v>
      </c>
      <c r="AF2354" t="s">
        <v>2902</v>
      </c>
      <c r="AG2354" t="s">
        <v>2922</v>
      </c>
      <c r="AH2354">
        <v>22</v>
      </c>
      <c r="AI2354">
        <v>2</v>
      </c>
      <c r="AJ2354">
        <v>0</v>
      </c>
      <c r="AK2354">
        <v>125.37</v>
      </c>
      <c r="AN2354" t="s">
        <v>2927</v>
      </c>
      <c r="AO2354">
        <v>21200</v>
      </c>
      <c r="AU2354">
        <v>1.7</v>
      </c>
      <c r="AV2354" t="s">
        <v>322</v>
      </c>
      <c r="AW2354" t="s">
        <v>3075</v>
      </c>
    </row>
    <row r="2355" spans="1:50">
      <c r="A2355" s="1" t="s">
        <v>73</v>
      </c>
      <c r="B2355" t="s">
        <v>164</v>
      </c>
      <c r="C2355" t="s">
        <v>5565</v>
      </c>
      <c r="D2355" t="s">
        <v>245</v>
      </c>
      <c r="E2355" t="s">
        <v>245</v>
      </c>
      <c r="F2355" t="s">
        <v>7110</v>
      </c>
      <c r="G2355" t="s">
        <v>8933</v>
      </c>
      <c r="H2355" t="s">
        <v>10452</v>
      </c>
      <c r="I2355" t="s">
        <v>11384</v>
      </c>
      <c r="J2355" t="s">
        <v>11751</v>
      </c>
      <c r="K2355">
        <v>11375</v>
      </c>
      <c r="L2355" t="s">
        <v>1670</v>
      </c>
      <c r="M2355" t="s">
        <v>1670</v>
      </c>
      <c r="N2355" t="s">
        <v>12547</v>
      </c>
      <c r="O2355" t="s">
        <v>1936</v>
      </c>
      <c r="P2355" t="s">
        <v>1958</v>
      </c>
      <c r="Q2355" t="s">
        <v>1965</v>
      </c>
      <c r="R2355" t="s">
        <v>50</v>
      </c>
      <c r="S2355" t="s">
        <v>1671</v>
      </c>
      <c r="U2355" t="s">
        <v>1972</v>
      </c>
      <c r="V2355" t="s">
        <v>1984</v>
      </c>
      <c r="W2355" t="s">
        <v>245</v>
      </c>
      <c r="X2355">
        <v>2066</v>
      </c>
      <c r="Y2355" t="s">
        <v>2007</v>
      </c>
      <c r="Z2355" t="s">
        <v>2014</v>
      </c>
      <c r="AA2355" t="s">
        <v>2029</v>
      </c>
      <c r="AB2355" t="s">
        <v>14702</v>
      </c>
      <c r="AD2355" t="s">
        <v>17101</v>
      </c>
      <c r="AE2355">
        <v>425</v>
      </c>
      <c r="AF2355" t="s">
        <v>2902</v>
      </c>
      <c r="AG2355" t="s">
        <v>1754</v>
      </c>
      <c r="AH2355">
        <v>25</v>
      </c>
      <c r="AI2355">
        <v>1</v>
      </c>
      <c r="AJ2355">
        <v>0</v>
      </c>
      <c r="AK2355">
        <v>125.44</v>
      </c>
      <c r="AN2355" t="s">
        <v>18046</v>
      </c>
      <c r="AO2355">
        <v>15228</v>
      </c>
      <c r="AU2355">
        <v>0.7</v>
      </c>
      <c r="AV2355" t="s">
        <v>245</v>
      </c>
      <c r="AW2355" t="s">
        <v>3044</v>
      </c>
    </row>
    <row r="2356" spans="1:50">
      <c r="A2356" s="1" t="s">
        <v>3155</v>
      </c>
      <c r="B2356" t="s">
        <v>164</v>
      </c>
      <c r="C2356" t="s">
        <v>5566</v>
      </c>
      <c r="D2356" t="s">
        <v>304</v>
      </c>
      <c r="E2356" t="s">
        <v>254</v>
      </c>
      <c r="F2356" t="s">
        <v>7236</v>
      </c>
      <c r="G2356" t="s">
        <v>936</v>
      </c>
      <c r="H2356" t="s">
        <v>10439</v>
      </c>
      <c r="I2356" t="s">
        <v>1488</v>
      </c>
      <c r="J2356" t="s">
        <v>1644</v>
      </c>
      <c r="K2356">
        <v>11233</v>
      </c>
      <c r="L2356" t="s">
        <v>1670</v>
      </c>
      <c r="M2356" t="s">
        <v>1670</v>
      </c>
      <c r="N2356" t="s">
        <v>12536</v>
      </c>
      <c r="O2356" t="s">
        <v>1936</v>
      </c>
      <c r="P2356" t="s">
        <v>1960</v>
      </c>
      <c r="Q2356" t="s">
        <v>1969</v>
      </c>
      <c r="R2356" t="s">
        <v>50</v>
      </c>
      <c r="S2356" t="s">
        <v>1671</v>
      </c>
      <c r="U2356" t="s">
        <v>1972</v>
      </c>
      <c r="W2356" t="s">
        <v>330</v>
      </c>
      <c r="X2356">
        <v>1950</v>
      </c>
      <c r="Y2356" t="s">
        <v>2009</v>
      </c>
      <c r="Z2356" t="s">
        <v>2011</v>
      </c>
      <c r="AA2356" t="s">
        <v>2032</v>
      </c>
      <c r="AB2356" t="s">
        <v>14683</v>
      </c>
      <c r="AD2356" t="s">
        <v>17085</v>
      </c>
      <c r="AE2356">
        <v>4</v>
      </c>
      <c r="AF2356" t="s">
        <v>2903</v>
      </c>
      <c r="AG2356" t="s">
        <v>1754</v>
      </c>
      <c r="AH2356" t="s">
        <v>13051</v>
      </c>
      <c r="AI2356">
        <v>1</v>
      </c>
      <c r="AJ2356">
        <v>0</v>
      </c>
      <c r="AK2356">
        <v>125.93</v>
      </c>
      <c r="AN2356" t="s">
        <v>2926</v>
      </c>
      <c r="AO2356">
        <v>15288</v>
      </c>
      <c r="AU2356">
        <v>7.5</v>
      </c>
      <c r="AV2356" t="s">
        <v>338</v>
      </c>
      <c r="AW2356" t="s">
        <v>3059</v>
      </c>
    </row>
    <row r="2357" spans="1:50">
      <c r="A2357" s="1" t="s">
        <v>60</v>
      </c>
      <c r="B2357" t="s">
        <v>163</v>
      </c>
      <c r="C2357" t="s">
        <v>5567</v>
      </c>
      <c r="D2357" t="s">
        <v>194</v>
      </c>
      <c r="F2357" t="s">
        <v>6850</v>
      </c>
      <c r="G2357" t="s">
        <v>8934</v>
      </c>
      <c r="H2357" t="s">
        <v>10453</v>
      </c>
      <c r="I2357" t="s">
        <v>1521</v>
      </c>
      <c r="J2357" t="s">
        <v>1645</v>
      </c>
      <c r="K2357">
        <v>11691</v>
      </c>
      <c r="L2357" t="s">
        <v>1670</v>
      </c>
      <c r="M2357" t="s">
        <v>1670</v>
      </c>
      <c r="N2357" t="s">
        <v>12548</v>
      </c>
      <c r="O2357" t="s">
        <v>1940</v>
      </c>
      <c r="P2357" t="s">
        <v>1958</v>
      </c>
      <c r="R2357" t="s">
        <v>50</v>
      </c>
      <c r="S2357" t="s">
        <v>1671</v>
      </c>
      <c r="U2357" t="s">
        <v>1972</v>
      </c>
      <c r="V2357" t="s">
        <v>1984</v>
      </c>
      <c r="W2357" t="s">
        <v>250</v>
      </c>
      <c r="X2357">
        <v>1500</v>
      </c>
      <c r="Y2357" t="s">
        <v>2007</v>
      </c>
      <c r="Z2357" t="s">
        <v>2014</v>
      </c>
      <c r="AB2357" t="s">
        <v>14703</v>
      </c>
      <c r="AD2357" t="s">
        <v>17102</v>
      </c>
      <c r="AE2357">
        <v>2</v>
      </c>
      <c r="AF2357" t="s">
        <v>2903</v>
      </c>
      <c r="AG2357" t="s">
        <v>2915</v>
      </c>
      <c r="AH2357">
        <v>15</v>
      </c>
      <c r="AI2357">
        <v>3</v>
      </c>
      <c r="AJ2357">
        <v>0</v>
      </c>
      <c r="AK2357">
        <v>126.29</v>
      </c>
      <c r="AN2357" t="s">
        <v>2926</v>
      </c>
      <c r="AO2357">
        <v>26244</v>
      </c>
      <c r="AU2357">
        <v>2</v>
      </c>
      <c r="AV2357" t="s">
        <v>395</v>
      </c>
      <c r="AW2357" t="s">
        <v>89</v>
      </c>
    </row>
    <row r="2358" spans="1:50">
      <c r="A2358" s="1" t="s">
        <v>99</v>
      </c>
      <c r="B2358" t="s">
        <v>164</v>
      </c>
      <c r="C2358" t="s">
        <v>5568</v>
      </c>
      <c r="D2358" t="s">
        <v>330</v>
      </c>
      <c r="E2358" t="s">
        <v>359</v>
      </c>
      <c r="F2358" t="s">
        <v>7700</v>
      </c>
      <c r="G2358" t="s">
        <v>8935</v>
      </c>
      <c r="H2358" t="s">
        <v>10454</v>
      </c>
      <c r="I2358" t="s">
        <v>11385</v>
      </c>
      <c r="J2358" t="s">
        <v>1665</v>
      </c>
      <c r="K2358">
        <v>11374</v>
      </c>
      <c r="L2358" t="s">
        <v>1670</v>
      </c>
      <c r="M2358" t="s">
        <v>1670</v>
      </c>
      <c r="N2358" t="s">
        <v>12549</v>
      </c>
      <c r="O2358" t="s">
        <v>1940</v>
      </c>
      <c r="P2358" t="s">
        <v>1958</v>
      </c>
      <c r="Q2358" t="s">
        <v>1965</v>
      </c>
      <c r="R2358" t="s">
        <v>50</v>
      </c>
      <c r="S2358" t="s">
        <v>1671</v>
      </c>
      <c r="U2358" t="s">
        <v>1972</v>
      </c>
      <c r="V2358" t="s">
        <v>1984</v>
      </c>
      <c r="W2358" t="s">
        <v>330</v>
      </c>
      <c r="X2358">
        <v>800</v>
      </c>
      <c r="Y2358" t="s">
        <v>2007</v>
      </c>
      <c r="Z2358" t="s">
        <v>2014</v>
      </c>
      <c r="AA2358" t="s">
        <v>2029</v>
      </c>
      <c r="AB2358" t="s">
        <v>14704</v>
      </c>
      <c r="AD2358" t="s">
        <v>17103</v>
      </c>
      <c r="AE2358">
        <v>65</v>
      </c>
      <c r="AF2358" t="s">
        <v>2904</v>
      </c>
      <c r="AG2358" t="s">
        <v>1754</v>
      </c>
      <c r="AH2358">
        <v>3</v>
      </c>
      <c r="AI2358">
        <v>2</v>
      </c>
      <c r="AJ2358">
        <v>0</v>
      </c>
      <c r="AK2358">
        <v>126.34</v>
      </c>
      <c r="AN2358" t="s">
        <v>2926</v>
      </c>
      <c r="AO2358">
        <v>20796</v>
      </c>
      <c r="AU2358">
        <v>0.84</v>
      </c>
      <c r="AV2358" t="s">
        <v>330</v>
      </c>
      <c r="AW2358" t="s">
        <v>99</v>
      </c>
    </row>
    <row r="2359" spans="1:50">
      <c r="A2359" s="1" t="s">
        <v>3174</v>
      </c>
      <c r="B2359" t="s">
        <v>164</v>
      </c>
      <c r="C2359" t="s">
        <v>5569</v>
      </c>
      <c r="D2359" t="s">
        <v>370</v>
      </c>
      <c r="E2359" t="s">
        <v>311</v>
      </c>
      <c r="F2359" t="s">
        <v>6845</v>
      </c>
      <c r="G2359" t="s">
        <v>806</v>
      </c>
      <c r="H2359" t="s">
        <v>9793</v>
      </c>
      <c r="I2359">
        <v>31</v>
      </c>
      <c r="J2359" t="s">
        <v>1643</v>
      </c>
      <c r="K2359">
        <v>10029</v>
      </c>
      <c r="L2359" t="s">
        <v>1670</v>
      </c>
      <c r="M2359" t="s">
        <v>1670</v>
      </c>
      <c r="O2359" t="s">
        <v>1675</v>
      </c>
      <c r="P2359" t="s">
        <v>1958</v>
      </c>
      <c r="Q2359" t="s">
        <v>1965</v>
      </c>
      <c r="R2359" t="s">
        <v>50</v>
      </c>
      <c r="S2359" t="s">
        <v>1671</v>
      </c>
      <c r="U2359" t="s">
        <v>1972</v>
      </c>
      <c r="V2359" t="s">
        <v>1984</v>
      </c>
      <c r="W2359" t="s">
        <v>264</v>
      </c>
      <c r="X2359">
        <v>196.64</v>
      </c>
      <c r="Y2359" t="s">
        <v>2008</v>
      </c>
      <c r="Z2359" t="s">
        <v>2027</v>
      </c>
      <c r="AA2359" t="s">
        <v>2029</v>
      </c>
      <c r="AB2359" t="s">
        <v>14705</v>
      </c>
      <c r="AD2359" t="s">
        <v>17104</v>
      </c>
      <c r="AE2359">
        <v>33</v>
      </c>
      <c r="AF2359" t="s">
        <v>2908</v>
      </c>
      <c r="AG2359" t="s">
        <v>1754</v>
      </c>
      <c r="AH2359">
        <v>55</v>
      </c>
      <c r="AI2359">
        <v>2</v>
      </c>
      <c r="AJ2359">
        <v>0</v>
      </c>
      <c r="AK2359">
        <v>126.34</v>
      </c>
      <c r="AN2359" t="s">
        <v>2927</v>
      </c>
      <c r="AO2359">
        <v>20796</v>
      </c>
      <c r="AU2359">
        <v>1.7</v>
      </c>
      <c r="AV2359" t="s">
        <v>264</v>
      </c>
      <c r="AW2359" t="s">
        <v>3083</v>
      </c>
    </row>
    <row r="2360" spans="1:50">
      <c r="A2360" s="1" t="s">
        <v>52</v>
      </c>
      <c r="B2360" t="s">
        <v>164</v>
      </c>
      <c r="C2360" t="s">
        <v>5570</v>
      </c>
      <c r="D2360" t="s">
        <v>304</v>
      </c>
      <c r="E2360" t="s">
        <v>350</v>
      </c>
      <c r="F2360" t="s">
        <v>544</v>
      </c>
      <c r="G2360" t="s">
        <v>8838</v>
      </c>
      <c r="H2360" t="s">
        <v>10349</v>
      </c>
      <c r="I2360" t="s">
        <v>11058</v>
      </c>
      <c r="J2360" t="s">
        <v>1641</v>
      </c>
      <c r="K2360">
        <v>10452</v>
      </c>
      <c r="L2360" t="s">
        <v>1670</v>
      </c>
      <c r="M2360" t="s">
        <v>1670</v>
      </c>
      <c r="O2360" t="s">
        <v>1940</v>
      </c>
      <c r="P2360" t="s">
        <v>1958</v>
      </c>
      <c r="Q2360" t="s">
        <v>1965</v>
      </c>
      <c r="R2360" t="s">
        <v>50</v>
      </c>
      <c r="S2360" t="s">
        <v>1671</v>
      </c>
      <c r="U2360" t="s">
        <v>1972</v>
      </c>
      <c r="W2360" t="s">
        <v>304</v>
      </c>
      <c r="X2360">
        <v>770.73</v>
      </c>
      <c r="Y2360" t="s">
        <v>2006</v>
      </c>
      <c r="Z2360" t="s">
        <v>2015</v>
      </c>
      <c r="AA2360" t="s">
        <v>2029</v>
      </c>
      <c r="AB2360" t="s">
        <v>14546</v>
      </c>
      <c r="AD2360" t="s">
        <v>16955</v>
      </c>
      <c r="AE2360">
        <v>100</v>
      </c>
      <c r="AF2360" t="s">
        <v>2908</v>
      </c>
      <c r="AG2360" t="s">
        <v>2919</v>
      </c>
      <c r="AH2360">
        <v>38</v>
      </c>
      <c r="AI2360">
        <v>2</v>
      </c>
      <c r="AJ2360">
        <v>0</v>
      </c>
      <c r="AK2360">
        <v>126.37</v>
      </c>
      <c r="AN2360" t="s">
        <v>2927</v>
      </c>
      <c r="AO2360">
        <v>20800</v>
      </c>
      <c r="AU2360">
        <v>1.5</v>
      </c>
      <c r="AV2360" t="s">
        <v>271</v>
      </c>
      <c r="AW2360" t="s">
        <v>3046</v>
      </c>
    </row>
    <row r="2361" spans="1:50">
      <c r="A2361" s="1" t="s">
        <v>3164</v>
      </c>
      <c r="B2361" t="s">
        <v>164</v>
      </c>
      <c r="C2361" t="s">
        <v>5571</v>
      </c>
      <c r="D2361" t="s">
        <v>2004</v>
      </c>
      <c r="E2361" t="s">
        <v>207</v>
      </c>
      <c r="F2361" t="s">
        <v>6943</v>
      </c>
      <c r="G2361" t="s">
        <v>7534</v>
      </c>
      <c r="H2361" t="s">
        <v>10455</v>
      </c>
      <c r="I2361">
        <v>3</v>
      </c>
      <c r="J2361" t="s">
        <v>1643</v>
      </c>
      <c r="K2361">
        <v>10027</v>
      </c>
      <c r="L2361" t="s">
        <v>1670</v>
      </c>
      <c r="M2361" t="s">
        <v>1670</v>
      </c>
      <c r="N2361" t="s">
        <v>12550</v>
      </c>
      <c r="O2361" t="s">
        <v>1940</v>
      </c>
      <c r="P2361" t="s">
        <v>1958</v>
      </c>
      <c r="Q2361" t="s">
        <v>1965</v>
      </c>
      <c r="R2361" t="s">
        <v>50</v>
      </c>
      <c r="S2361" t="s">
        <v>1671</v>
      </c>
      <c r="U2361" t="s">
        <v>1972</v>
      </c>
      <c r="W2361" t="s">
        <v>352</v>
      </c>
      <c r="X2361">
        <v>1090</v>
      </c>
      <c r="Y2361" t="s">
        <v>2008</v>
      </c>
      <c r="Z2361" t="s">
        <v>2023</v>
      </c>
      <c r="AA2361" t="s">
        <v>2029</v>
      </c>
      <c r="AB2361" t="s">
        <v>14706</v>
      </c>
      <c r="AD2361" t="s">
        <v>17105</v>
      </c>
      <c r="AE2361" t="s">
        <v>13051</v>
      </c>
      <c r="AF2361" t="s">
        <v>2913</v>
      </c>
      <c r="AG2361" t="s">
        <v>1754</v>
      </c>
      <c r="AH2361">
        <v>4</v>
      </c>
      <c r="AI2361">
        <v>2</v>
      </c>
      <c r="AJ2361">
        <v>0</v>
      </c>
      <c r="AK2361">
        <v>126.37</v>
      </c>
      <c r="AN2361" t="s">
        <v>2926</v>
      </c>
      <c r="AO2361">
        <v>20800</v>
      </c>
      <c r="AU2361">
        <v>0.3</v>
      </c>
      <c r="AV2361" t="s">
        <v>216</v>
      </c>
      <c r="AW2361" t="s">
        <v>3048</v>
      </c>
    </row>
    <row r="2362" spans="1:50">
      <c r="A2362" s="1" t="s">
        <v>52</v>
      </c>
      <c r="B2362" t="s">
        <v>164</v>
      </c>
      <c r="C2362" t="s">
        <v>5572</v>
      </c>
      <c r="D2362" t="s">
        <v>376</v>
      </c>
      <c r="E2362" t="s">
        <v>350</v>
      </c>
      <c r="F2362" t="s">
        <v>544</v>
      </c>
      <c r="G2362" t="s">
        <v>8838</v>
      </c>
      <c r="H2362" t="s">
        <v>10349</v>
      </c>
      <c r="I2362" t="s">
        <v>11058</v>
      </c>
      <c r="J2362" t="s">
        <v>1641</v>
      </c>
      <c r="K2362">
        <v>10452</v>
      </c>
      <c r="L2362" t="s">
        <v>1670</v>
      </c>
      <c r="M2362" t="s">
        <v>1670</v>
      </c>
      <c r="O2362" t="s">
        <v>1945</v>
      </c>
      <c r="P2362" t="s">
        <v>1962</v>
      </c>
      <c r="Q2362" t="s">
        <v>1968</v>
      </c>
      <c r="R2362" t="s">
        <v>50</v>
      </c>
      <c r="S2362" t="s">
        <v>1671</v>
      </c>
      <c r="U2362" t="s">
        <v>1972</v>
      </c>
      <c r="V2362" t="s">
        <v>1984</v>
      </c>
      <c r="W2362" t="s">
        <v>376</v>
      </c>
      <c r="X2362">
        <v>770.72</v>
      </c>
      <c r="Y2362" t="s">
        <v>2006</v>
      </c>
      <c r="Z2362" t="s">
        <v>2015</v>
      </c>
      <c r="AA2362" t="s">
        <v>2030</v>
      </c>
      <c r="AB2362" t="s">
        <v>14546</v>
      </c>
      <c r="AD2362" t="s">
        <v>16955</v>
      </c>
      <c r="AE2362">
        <v>100</v>
      </c>
      <c r="AF2362" t="s">
        <v>2902</v>
      </c>
      <c r="AG2362" t="s">
        <v>2919</v>
      </c>
      <c r="AH2362">
        <v>38</v>
      </c>
      <c r="AI2362">
        <v>2</v>
      </c>
      <c r="AJ2362">
        <v>0</v>
      </c>
      <c r="AK2362">
        <v>126.37</v>
      </c>
      <c r="AN2362" t="s">
        <v>2927</v>
      </c>
      <c r="AO2362">
        <v>20800</v>
      </c>
      <c r="AP2362" t="s">
        <v>18329</v>
      </c>
      <c r="AU2362">
        <v>0.5</v>
      </c>
      <c r="AV2362" t="s">
        <v>341</v>
      </c>
      <c r="AW2362" t="s">
        <v>52</v>
      </c>
    </row>
    <row r="2363" spans="1:50">
      <c r="A2363" s="1" t="s">
        <v>105</v>
      </c>
      <c r="B2363" t="s">
        <v>163</v>
      </c>
      <c r="C2363" t="s">
        <v>5573</v>
      </c>
      <c r="D2363" t="s">
        <v>2005</v>
      </c>
      <c r="F2363" t="s">
        <v>6954</v>
      </c>
      <c r="G2363" t="s">
        <v>8742</v>
      </c>
      <c r="H2363" t="s">
        <v>10456</v>
      </c>
      <c r="I2363" t="s">
        <v>1482</v>
      </c>
      <c r="J2363" t="s">
        <v>1641</v>
      </c>
      <c r="K2363">
        <v>10452</v>
      </c>
      <c r="L2363" t="s">
        <v>1670</v>
      </c>
      <c r="M2363" t="s">
        <v>1670</v>
      </c>
      <c r="O2363" t="s">
        <v>1940</v>
      </c>
      <c r="P2363" t="s">
        <v>1960</v>
      </c>
      <c r="R2363" t="s">
        <v>50</v>
      </c>
      <c r="S2363" t="s">
        <v>1671</v>
      </c>
      <c r="U2363" t="s">
        <v>1972</v>
      </c>
      <c r="V2363" t="s">
        <v>1984</v>
      </c>
      <c r="W2363" t="s">
        <v>1990</v>
      </c>
      <c r="X2363">
        <v>1175</v>
      </c>
      <c r="Y2363" t="s">
        <v>2006</v>
      </c>
      <c r="Z2363" t="s">
        <v>2015</v>
      </c>
      <c r="AB2363" t="s">
        <v>14707</v>
      </c>
      <c r="AD2363" t="s">
        <v>17106</v>
      </c>
      <c r="AE2363">
        <v>67</v>
      </c>
      <c r="AF2363" t="s">
        <v>2902</v>
      </c>
      <c r="AG2363" t="s">
        <v>1754</v>
      </c>
      <c r="AH2363">
        <v>3</v>
      </c>
      <c r="AI2363">
        <v>1</v>
      </c>
      <c r="AJ2363">
        <v>0</v>
      </c>
      <c r="AK2363">
        <v>126.52</v>
      </c>
      <c r="AN2363" t="s">
        <v>2926</v>
      </c>
      <c r="AO2363">
        <v>15360</v>
      </c>
      <c r="AU2363">
        <v>37.7</v>
      </c>
      <c r="AV2363" t="s">
        <v>397</v>
      </c>
      <c r="AW2363" t="s">
        <v>3047</v>
      </c>
    </row>
    <row r="2364" spans="1:50">
      <c r="A2364" s="1" t="s">
        <v>129</v>
      </c>
      <c r="B2364" t="s">
        <v>164</v>
      </c>
      <c r="C2364" t="s">
        <v>5574</v>
      </c>
      <c r="D2364" t="s">
        <v>166</v>
      </c>
      <c r="E2364" t="s">
        <v>359</v>
      </c>
      <c r="F2364" t="s">
        <v>7701</v>
      </c>
      <c r="G2364" t="s">
        <v>8936</v>
      </c>
      <c r="H2364" t="s">
        <v>1248</v>
      </c>
      <c r="I2364" t="s">
        <v>1487</v>
      </c>
      <c r="J2364" t="s">
        <v>1644</v>
      </c>
      <c r="K2364">
        <v>11213</v>
      </c>
      <c r="L2364" t="s">
        <v>1670</v>
      </c>
      <c r="M2364" t="s">
        <v>1670</v>
      </c>
      <c r="O2364" t="s">
        <v>1937</v>
      </c>
      <c r="P2364" t="s">
        <v>1962</v>
      </c>
      <c r="Q2364" t="s">
        <v>1968</v>
      </c>
      <c r="R2364" t="s">
        <v>50</v>
      </c>
      <c r="S2364" t="s">
        <v>1670</v>
      </c>
      <c r="U2364" t="s">
        <v>1972</v>
      </c>
      <c r="W2364" t="s">
        <v>323</v>
      </c>
      <c r="X2364">
        <v>1507.16</v>
      </c>
      <c r="Y2364" t="s">
        <v>2009</v>
      </c>
      <c r="Z2364" t="s">
        <v>2015</v>
      </c>
      <c r="AA2364" t="s">
        <v>2031</v>
      </c>
      <c r="AB2364" t="s">
        <v>14708</v>
      </c>
      <c r="AC2364" t="s">
        <v>15153</v>
      </c>
      <c r="AD2364" t="s">
        <v>17107</v>
      </c>
      <c r="AE2364">
        <v>19</v>
      </c>
      <c r="AF2364" t="s">
        <v>2902</v>
      </c>
      <c r="AG2364" t="s">
        <v>2915</v>
      </c>
      <c r="AH2364">
        <v>22</v>
      </c>
      <c r="AI2364">
        <v>4</v>
      </c>
      <c r="AJ2364">
        <v>0</v>
      </c>
      <c r="AK2364">
        <v>127.13</v>
      </c>
      <c r="AM2364" t="s">
        <v>18032</v>
      </c>
      <c r="AN2364" t="s">
        <v>2926</v>
      </c>
      <c r="AO2364">
        <v>31909.8</v>
      </c>
      <c r="AP2364" t="s">
        <v>2953</v>
      </c>
      <c r="AU2364">
        <v>141.4</v>
      </c>
      <c r="AV2364" t="s">
        <v>359</v>
      </c>
      <c r="AW2364" t="s">
        <v>3060</v>
      </c>
    </row>
    <row r="2365" spans="1:50">
      <c r="A2365" s="1" t="s">
        <v>3144</v>
      </c>
      <c r="B2365" t="s">
        <v>164</v>
      </c>
      <c r="C2365" t="s">
        <v>5575</v>
      </c>
      <c r="D2365" t="s">
        <v>178</v>
      </c>
      <c r="E2365" t="s">
        <v>294</v>
      </c>
      <c r="F2365" t="s">
        <v>724</v>
      </c>
      <c r="G2365" t="s">
        <v>780</v>
      </c>
      <c r="H2365" t="s">
        <v>10457</v>
      </c>
      <c r="I2365" t="s">
        <v>1484</v>
      </c>
      <c r="J2365" t="s">
        <v>1641</v>
      </c>
      <c r="K2365">
        <v>10453</v>
      </c>
      <c r="L2365" t="s">
        <v>1670</v>
      </c>
      <c r="M2365" t="s">
        <v>1670</v>
      </c>
      <c r="O2365" t="s">
        <v>1955</v>
      </c>
      <c r="P2365" t="s">
        <v>1959</v>
      </c>
      <c r="Q2365" t="s">
        <v>1966</v>
      </c>
      <c r="R2365" t="s">
        <v>50</v>
      </c>
      <c r="S2365" t="s">
        <v>1671</v>
      </c>
      <c r="U2365" t="s">
        <v>1973</v>
      </c>
      <c r="W2365" t="s">
        <v>178</v>
      </c>
      <c r="X2365">
        <v>1453</v>
      </c>
      <c r="Y2365" t="s">
        <v>2006</v>
      </c>
      <c r="Z2365" t="s">
        <v>2014</v>
      </c>
      <c r="AA2365" t="s">
        <v>2029</v>
      </c>
      <c r="AB2365" t="s">
        <v>14709</v>
      </c>
      <c r="AC2365" t="s">
        <v>15274</v>
      </c>
      <c r="AD2365" t="s">
        <v>17108</v>
      </c>
      <c r="AE2365">
        <v>22</v>
      </c>
      <c r="AF2365" t="s">
        <v>2902</v>
      </c>
      <c r="AG2365" t="s">
        <v>2915</v>
      </c>
      <c r="AH2365">
        <v>4</v>
      </c>
      <c r="AI2365">
        <v>1</v>
      </c>
      <c r="AJ2365">
        <v>0</v>
      </c>
      <c r="AK2365">
        <v>127.22</v>
      </c>
      <c r="AN2365" t="s">
        <v>2927</v>
      </c>
      <c r="AO2365">
        <v>15444</v>
      </c>
      <c r="AR2365" t="s">
        <v>2017</v>
      </c>
      <c r="AS2365" t="s">
        <v>2992</v>
      </c>
      <c r="AT2365" t="s">
        <v>18591</v>
      </c>
      <c r="AU2365">
        <v>1.25</v>
      </c>
      <c r="AV2365" t="s">
        <v>210</v>
      </c>
      <c r="AW2365" t="s">
        <v>18655</v>
      </c>
    </row>
    <row r="2366" spans="1:50">
      <c r="A2366" s="1" t="s">
        <v>74</v>
      </c>
      <c r="B2366" t="s">
        <v>163</v>
      </c>
      <c r="C2366" t="s">
        <v>5576</v>
      </c>
      <c r="D2366" t="s">
        <v>306</v>
      </c>
      <c r="F2366" t="s">
        <v>7696</v>
      </c>
      <c r="G2366" t="s">
        <v>8925</v>
      </c>
      <c r="H2366" t="s">
        <v>1131</v>
      </c>
      <c r="I2366" t="s">
        <v>1508</v>
      </c>
      <c r="J2366" t="s">
        <v>1641</v>
      </c>
      <c r="K2366">
        <v>10460</v>
      </c>
      <c r="L2366" t="s">
        <v>1670</v>
      </c>
      <c r="M2366" t="s">
        <v>1670</v>
      </c>
      <c r="N2366" t="s">
        <v>1692</v>
      </c>
      <c r="O2366" t="s">
        <v>1939</v>
      </c>
      <c r="P2366" t="s">
        <v>1960</v>
      </c>
      <c r="R2366" t="s">
        <v>50</v>
      </c>
      <c r="S2366" t="s">
        <v>1670</v>
      </c>
      <c r="U2366" t="s">
        <v>1972</v>
      </c>
      <c r="W2366" t="s">
        <v>283</v>
      </c>
      <c r="X2366">
        <v>377</v>
      </c>
      <c r="Y2366" t="s">
        <v>2006</v>
      </c>
      <c r="Z2366" t="s">
        <v>2015</v>
      </c>
      <c r="AB2366" t="s">
        <v>13442</v>
      </c>
      <c r="AD2366" t="s">
        <v>17091</v>
      </c>
      <c r="AE2366">
        <v>168</v>
      </c>
      <c r="AF2366" t="s">
        <v>2904</v>
      </c>
      <c r="AG2366" t="s">
        <v>2017</v>
      </c>
      <c r="AH2366">
        <v>10</v>
      </c>
      <c r="AI2366">
        <v>1</v>
      </c>
      <c r="AJ2366">
        <v>0</v>
      </c>
      <c r="AK2366">
        <v>127.31</v>
      </c>
      <c r="AN2366" t="s">
        <v>2926</v>
      </c>
      <c r="AO2366">
        <v>15456</v>
      </c>
      <c r="AU2366" t="s">
        <v>13051</v>
      </c>
      <c r="AW2366" t="s">
        <v>3046</v>
      </c>
    </row>
    <row r="2367" spans="1:50">
      <c r="A2367" s="1" t="s">
        <v>145</v>
      </c>
      <c r="B2367" t="s">
        <v>164</v>
      </c>
      <c r="C2367" t="s">
        <v>5577</v>
      </c>
      <c r="D2367" t="s">
        <v>3039</v>
      </c>
      <c r="E2367" t="s">
        <v>3039</v>
      </c>
      <c r="F2367" t="s">
        <v>7702</v>
      </c>
      <c r="G2367" t="s">
        <v>8937</v>
      </c>
      <c r="H2367" t="s">
        <v>9974</v>
      </c>
      <c r="I2367" t="s">
        <v>1509</v>
      </c>
      <c r="J2367" t="s">
        <v>1644</v>
      </c>
      <c r="K2367">
        <v>11212</v>
      </c>
      <c r="L2367" t="s">
        <v>1670</v>
      </c>
      <c r="M2367" t="s">
        <v>1672</v>
      </c>
      <c r="O2367" t="s">
        <v>1675</v>
      </c>
      <c r="P2367" t="s">
        <v>1962</v>
      </c>
      <c r="Q2367" t="s">
        <v>1968</v>
      </c>
      <c r="R2367" t="s">
        <v>50</v>
      </c>
      <c r="S2367" t="s">
        <v>1670</v>
      </c>
      <c r="U2367" t="s">
        <v>1972</v>
      </c>
      <c r="W2367" t="s">
        <v>269</v>
      </c>
      <c r="X2367">
        <v>1326</v>
      </c>
      <c r="Y2367" t="s">
        <v>2009</v>
      </c>
      <c r="Z2367" t="s">
        <v>2020</v>
      </c>
      <c r="AA2367" t="s">
        <v>2031</v>
      </c>
      <c r="AB2367" t="s">
        <v>14710</v>
      </c>
      <c r="AD2367" t="s">
        <v>17109</v>
      </c>
      <c r="AE2367">
        <v>4</v>
      </c>
      <c r="AF2367" t="s">
        <v>2903</v>
      </c>
      <c r="AG2367" t="s">
        <v>1754</v>
      </c>
      <c r="AH2367">
        <v>6</v>
      </c>
      <c r="AI2367">
        <v>2</v>
      </c>
      <c r="AJ2367">
        <v>0</v>
      </c>
      <c r="AK2367">
        <v>127.74</v>
      </c>
      <c r="AN2367" t="s">
        <v>2926</v>
      </c>
      <c r="AO2367">
        <v>21600</v>
      </c>
      <c r="AU2367">
        <v>0.5</v>
      </c>
      <c r="AV2367" t="s">
        <v>3039</v>
      </c>
      <c r="AW2367" t="s">
        <v>3060</v>
      </c>
      <c r="AX2367" t="s">
        <v>18685</v>
      </c>
    </row>
    <row r="2368" spans="1:50">
      <c r="A2368" s="1" t="s">
        <v>58</v>
      </c>
      <c r="B2368" t="s">
        <v>163</v>
      </c>
      <c r="C2368" t="s">
        <v>5578</v>
      </c>
      <c r="D2368" t="s">
        <v>283</v>
      </c>
      <c r="F2368" t="s">
        <v>420</v>
      </c>
      <c r="G2368" t="s">
        <v>780</v>
      </c>
      <c r="H2368" t="s">
        <v>10458</v>
      </c>
      <c r="I2368">
        <v>2</v>
      </c>
      <c r="J2368" t="s">
        <v>1641</v>
      </c>
      <c r="K2368">
        <v>10457</v>
      </c>
      <c r="L2368" t="s">
        <v>1670</v>
      </c>
      <c r="M2368" t="s">
        <v>1672</v>
      </c>
      <c r="N2368" t="s">
        <v>12551</v>
      </c>
      <c r="O2368" t="s">
        <v>1956</v>
      </c>
      <c r="P2368" t="s">
        <v>1961</v>
      </c>
      <c r="R2368" t="s">
        <v>50</v>
      </c>
      <c r="S2368" t="s">
        <v>1671</v>
      </c>
      <c r="U2368" t="s">
        <v>13033</v>
      </c>
      <c r="V2368" t="s">
        <v>1984</v>
      </c>
      <c r="W2368" t="s">
        <v>13036</v>
      </c>
      <c r="X2368">
        <v>0.01</v>
      </c>
      <c r="Y2368" t="s">
        <v>2006</v>
      </c>
      <c r="Z2368" t="s">
        <v>2020</v>
      </c>
      <c r="AB2368" t="s">
        <v>14711</v>
      </c>
      <c r="AD2368" t="s">
        <v>17110</v>
      </c>
      <c r="AE2368">
        <v>1</v>
      </c>
      <c r="AF2368" t="s">
        <v>2904</v>
      </c>
      <c r="AG2368" t="s">
        <v>2915</v>
      </c>
      <c r="AH2368" t="s">
        <v>13051</v>
      </c>
      <c r="AI2368">
        <v>2</v>
      </c>
      <c r="AJ2368">
        <v>0</v>
      </c>
      <c r="AK2368">
        <v>127.74</v>
      </c>
      <c r="AN2368" t="s">
        <v>2926</v>
      </c>
      <c r="AO2368">
        <v>21600</v>
      </c>
      <c r="AU2368">
        <v>10.5</v>
      </c>
      <c r="AV2368" t="s">
        <v>396</v>
      </c>
      <c r="AW2368" t="s">
        <v>3046</v>
      </c>
      <c r="AX2368" t="s">
        <v>18685</v>
      </c>
    </row>
    <row r="2369" spans="1:50">
      <c r="A2369" s="1" t="s">
        <v>145</v>
      </c>
      <c r="B2369" t="s">
        <v>163</v>
      </c>
      <c r="C2369" t="s">
        <v>5579</v>
      </c>
      <c r="D2369" t="s">
        <v>3039</v>
      </c>
      <c r="F2369" t="s">
        <v>7702</v>
      </c>
      <c r="G2369" t="s">
        <v>8937</v>
      </c>
      <c r="H2369" t="s">
        <v>9974</v>
      </c>
      <c r="I2369" t="s">
        <v>1509</v>
      </c>
      <c r="J2369" t="s">
        <v>1644</v>
      </c>
      <c r="K2369">
        <v>11212</v>
      </c>
      <c r="L2369" t="s">
        <v>1670</v>
      </c>
      <c r="M2369" t="s">
        <v>1672</v>
      </c>
      <c r="N2369" t="s">
        <v>12210</v>
      </c>
      <c r="O2369" t="s">
        <v>1952</v>
      </c>
      <c r="P2369" t="s">
        <v>1960</v>
      </c>
      <c r="R2369" t="s">
        <v>50</v>
      </c>
      <c r="S2369" t="s">
        <v>1670</v>
      </c>
      <c r="U2369" t="s">
        <v>1972</v>
      </c>
      <c r="V2369" t="s">
        <v>1984</v>
      </c>
      <c r="W2369" t="s">
        <v>249</v>
      </c>
      <c r="X2369">
        <v>1326</v>
      </c>
      <c r="Y2369" t="s">
        <v>2009</v>
      </c>
      <c r="Z2369" t="s">
        <v>2020</v>
      </c>
      <c r="AB2369" t="s">
        <v>14710</v>
      </c>
      <c r="AD2369" t="s">
        <v>17109</v>
      </c>
      <c r="AE2369">
        <v>4</v>
      </c>
      <c r="AF2369" t="s">
        <v>2903</v>
      </c>
      <c r="AG2369" t="s">
        <v>1754</v>
      </c>
      <c r="AH2369">
        <v>6</v>
      </c>
      <c r="AI2369">
        <v>2</v>
      </c>
      <c r="AJ2369">
        <v>0</v>
      </c>
      <c r="AK2369">
        <v>127.74</v>
      </c>
      <c r="AN2369" t="s">
        <v>2926</v>
      </c>
      <c r="AO2369">
        <v>21600</v>
      </c>
      <c r="AU2369">
        <v>0.5</v>
      </c>
      <c r="AV2369" t="s">
        <v>1995</v>
      </c>
      <c r="AW2369" t="s">
        <v>3060</v>
      </c>
      <c r="AX2369" t="s">
        <v>18685</v>
      </c>
    </row>
    <row r="2370" spans="1:50">
      <c r="A2370" s="1" t="s">
        <v>123</v>
      </c>
      <c r="B2370" t="s">
        <v>164</v>
      </c>
      <c r="C2370" t="s">
        <v>5580</v>
      </c>
      <c r="D2370" t="s">
        <v>271</v>
      </c>
      <c r="E2370" t="s">
        <v>295</v>
      </c>
      <c r="F2370" t="s">
        <v>469</v>
      </c>
      <c r="G2370" t="s">
        <v>8938</v>
      </c>
      <c r="H2370" t="s">
        <v>10459</v>
      </c>
      <c r="J2370" t="s">
        <v>1641</v>
      </c>
      <c r="K2370">
        <v>10453</v>
      </c>
      <c r="L2370" t="s">
        <v>1670</v>
      </c>
      <c r="M2370" t="s">
        <v>1670</v>
      </c>
      <c r="O2370" t="s">
        <v>1675</v>
      </c>
      <c r="P2370" t="s">
        <v>1958</v>
      </c>
      <c r="Q2370" t="s">
        <v>1966</v>
      </c>
      <c r="R2370" t="s">
        <v>50</v>
      </c>
      <c r="U2370" t="s">
        <v>1972</v>
      </c>
      <c r="W2370" t="s">
        <v>271</v>
      </c>
      <c r="X2370">
        <v>751.88</v>
      </c>
      <c r="Y2370" t="s">
        <v>2006</v>
      </c>
      <c r="Z2370" t="s">
        <v>2013</v>
      </c>
      <c r="AA2370" t="s">
        <v>13062</v>
      </c>
      <c r="AB2370" t="s">
        <v>14712</v>
      </c>
      <c r="AD2370" t="s">
        <v>17111</v>
      </c>
      <c r="AE2370" t="s">
        <v>13051</v>
      </c>
      <c r="AF2370" t="s">
        <v>2902</v>
      </c>
      <c r="AH2370">
        <v>28</v>
      </c>
      <c r="AI2370">
        <v>1</v>
      </c>
      <c r="AJ2370">
        <v>0</v>
      </c>
      <c r="AK2370">
        <v>127.91</v>
      </c>
      <c r="AN2370" t="s">
        <v>2926</v>
      </c>
      <c r="AO2370">
        <v>15528</v>
      </c>
      <c r="AU2370">
        <v>0.1</v>
      </c>
      <c r="AV2370" t="s">
        <v>295</v>
      </c>
      <c r="AW2370" t="s">
        <v>123</v>
      </c>
    </row>
    <row r="2371" spans="1:50">
      <c r="A2371" s="1" t="s">
        <v>53</v>
      </c>
      <c r="B2371" t="s">
        <v>164</v>
      </c>
      <c r="C2371" t="s">
        <v>5581</v>
      </c>
      <c r="D2371" t="s">
        <v>379</v>
      </c>
      <c r="E2371" t="s">
        <v>337</v>
      </c>
      <c r="F2371" t="s">
        <v>6868</v>
      </c>
      <c r="G2371" t="s">
        <v>8939</v>
      </c>
      <c r="H2371" t="s">
        <v>10460</v>
      </c>
      <c r="I2371" t="s">
        <v>11386</v>
      </c>
      <c r="J2371" t="s">
        <v>1662</v>
      </c>
      <c r="K2371">
        <v>11104</v>
      </c>
      <c r="L2371" t="s">
        <v>1670</v>
      </c>
      <c r="M2371" t="s">
        <v>1672</v>
      </c>
      <c r="N2371" t="s">
        <v>1687</v>
      </c>
      <c r="O2371" t="s">
        <v>1675</v>
      </c>
      <c r="P2371" t="s">
        <v>1958</v>
      </c>
      <c r="Q2371" t="s">
        <v>1965</v>
      </c>
      <c r="R2371" t="s">
        <v>51</v>
      </c>
      <c r="S2371" t="s">
        <v>1671</v>
      </c>
      <c r="U2371" t="s">
        <v>1980</v>
      </c>
      <c r="V2371" t="s">
        <v>1984</v>
      </c>
      <c r="W2371" t="s">
        <v>337</v>
      </c>
      <c r="X2371">
        <v>1186.17</v>
      </c>
      <c r="Y2371" t="s">
        <v>2007</v>
      </c>
      <c r="Z2371" t="s">
        <v>2012</v>
      </c>
      <c r="AA2371" t="s">
        <v>2029</v>
      </c>
      <c r="AB2371" t="s">
        <v>2249</v>
      </c>
      <c r="AC2371" t="s">
        <v>1754</v>
      </c>
      <c r="AD2371" t="s">
        <v>17112</v>
      </c>
      <c r="AE2371">
        <v>79</v>
      </c>
      <c r="AF2371" t="s">
        <v>2902</v>
      </c>
      <c r="AG2371" t="s">
        <v>1754</v>
      </c>
      <c r="AH2371">
        <v>27</v>
      </c>
      <c r="AI2371">
        <v>1</v>
      </c>
      <c r="AJ2371">
        <v>0</v>
      </c>
      <c r="AK2371">
        <v>128.1</v>
      </c>
      <c r="AL2371" t="s">
        <v>2923</v>
      </c>
      <c r="AM2371" t="s">
        <v>2924</v>
      </c>
      <c r="AN2371" t="s">
        <v>2926</v>
      </c>
      <c r="AO2371">
        <v>16000</v>
      </c>
      <c r="AU2371">
        <v>1.2</v>
      </c>
      <c r="AV2371" t="s">
        <v>337</v>
      </c>
      <c r="AW2371" t="s">
        <v>53</v>
      </c>
      <c r="AX2371" t="s">
        <v>18685</v>
      </c>
    </row>
    <row r="2372" spans="1:50">
      <c r="A2372" s="1" t="s">
        <v>3151</v>
      </c>
      <c r="B2372" t="s">
        <v>164</v>
      </c>
      <c r="C2372" t="s">
        <v>5582</v>
      </c>
      <c r="D2372" t="s">
        <v>223</v>
      </c>
      <c r="E2372" t="s">
        <v>271</v>
      </c>
      <c r="F2372" t="s">
        <v>7697</v>
      </c>
      <c r="G2372" t="s">
        <v>8549</v>
      </c>
      <c r="H2372" t="s">
        <v>10446</v>
      </c>
      <c r="I2372" t="s">
        <v>1542</v>
      </c>
      <c r="J2372" t="s">
        <v>1644</v>
      </c>
      <c r="K2372">
        <v>11208</v>
      </c>
      <c r="L2372" t="s">
        <v>1670</v>
      </c>
      <c r="M2372" t="s">
        <v>1670</v>
      </c>
      <c r="N2372" t="s">
        <v>12541</v>
      </c>
      <c r="O2372" t="s">
        <v>1940</v>
      </c>
      <c r="P2372" t="s">
        <v>1958</v>
      </c>
      <c r="Q2372" t="s">
        <v>1965</v>
      </c>
      <c r="R2372" t="s">
        <v>50</v>
      </c>
      <c r="S2372" t="s">
        <v>1671</v>
      </c>
      <c r="U2372" t="s">
        <v>1972</v>
      </c>
      <c r="W2372" t="s">
        <v>271</v>
      </c>
      <c r="X2372">
        <v>215</v>
      </c>
      <c r="Y2372" t="s">
        <v>2009</v>
      </c>
      <c r="Z2372" t="s">
        <v>2014</v>
      </c>
      <c r="AA2372" t="s">
        <v>2029</v>
      </c>
      <c r="AB2372" t="s">
        <v>14713</v>
      </c>
      <c r="AD2372" t="s">
        <v>17113</v>
      </c>
      <c r="AE2372">
        <v>3</v>
      </c>
      <c r="AF2372" t="s">
        <v>2903</v>
      </c>
      <c r="AH2372">
        <v>1</v>
      </c>
      <c r="AI2372">
        <v>1</v>
      </c>
      <c r="AJ2372">
        <v>0</v>
      </c>
      <c r="AK2372">
        <v>128.5</v>
      </c>
      <c r="AN2372" t="s">
        <v>2926</v>
      </c>
      <c r="AO2372">
        <v>15600</v>
      </c>
      <c r="AU2372">
        <v>3.6</v>
      </c>
      <c r="AV2372" t="s">
        <v>307</v>
      </c>
      <c r="AW2372" t="s">
        <v>110</v>
      </c>
    </row>
    <row r="2373" spans="1:50">
      <c r="A2373" s="1" t="s">
        <v>3142</v>
      </c>
      <c r="B2373" t="s">
        <v>164</v>
      </c>
      <c r="C2373" t="s">
        <v>5583</v>
      </c>
      <c r="D2373" t="s">
        <v>251</v>
      </c>
      <c r="E2373" t="s">
        <v>6137</v>
      </c>
      <c r="F2373" t="s">
        <v>7703</v>
      </c>
      <c r="G2373" t="s">
        <v>870</v>
      </c>
      <c r="H2373" t="s">
        <v>10461</v>
      </c>
      <c r="I2373" t="s">
        <v>1508</v>
      </c>
      <c r="J2373" t="s">
        <v>1641</v>
      </c>
      <c r="K2373">
        <v>10459</v>
      </c>
      <c r="L2373" t="s">
        <v>1670</v>
      </c>
      <c r="M2373" t="s">
        <v>1670</v>
      </c>
      <c r="N2373" t="s">
        <v>12552</v>
      </c>
      <c r="O2373" t="s">
        <v>1936</v>
      </c>
      <c r="P2373" t="s">
        <v>1958</v>
      </c>
      <c r="Q2373" t="s">
        <v>1965</v>
      </c>
      <c r="R2373" t="s">
        <v>50</v>
      </c>
      <c r="S2373" t="s">
        <v>1671</v>
      </c>
      <c r="U2373" t="s">
        <v>1972</v>
      </c>
      <c r="V2373" t="s">
        <v>1984</v>
      </c>
      <c r="W2373" t="s">
        <v>251</v>
      </c>
      <c r="X2373">
        <v>1854</v>
      </c>
      <c r="Y2373" t="s">
        <v>2006</v>
      </c>
      <c r="Z2373" t="s">
        <v>2024</v>
      </c>
      <c r="AA2373" t="s">
        <v>2029</v>
      </c>
      <c r="AB2373" t="s">
        <v>14410</v>
      </c>
      <c r="AD2373" t="s">
        <v>17114</v>
      </c>
      <c r="AE2373">
        <v>37</v>
      </c>
      <c r="AF2373" t="s">
        <v>2909</v>
      </c>
      <c r="AG2373" t="s">
        <v>2915</v>
      </c>
      <c r="AH2373">
        <v>26</v>
      </c>
      <c r="AI2373">
        <v>1</v>
      </c>
      <c r="AJ2373">
        <v>0</v>
      </c>
      <c r="AK2373">
        <v>128.5</v>
      </c>
      <c r="AN2373" t="s">
        <v>2926</v>
      </c>
      <c r="AO2373">
        <v>15600</v>
      </c>
      <c r="AU2373">
        <v>2</v>
      </c>
      <c r="AV2373" t="s">
        <v>321</v>
      </c>
      <c r="AW2373" t="s">
        <v>18658</v>
      </c>
    </row>
    <row r="2374" spans="1:50">
      <c r="A2374" s="1" t="s">
        <v>122</v>
      </c>
      <c r="B2374" t="s">
        <v>164</v>
      </c>
      <c r="C2374" t="s">
        <v>5584</v>
      </c>
      <c r="D2374" t="s">
        <v>180</v>
      </c>
      <c r="E2374" t="s">
        <v>330</v>
      </c>
      <c r="F2374" t="s">
        <v>7704</v>
      </c>
      <c r="G2374" t="s">
        <v>1092</v>
      </c>
      <c r="H2374" t="s">
        <v>10462</v>
      </c>
      <c r="I2374" t="s">
        <v>11120</v>
      </c>
      <c r="J2374" t="s">
        <v>1641</v>
      </c>
      <c r="K2374">
        <v>10457</v>
      </c>
      <c r="L2374" t="s">
        <v>1670</v>
      </c>
      <c r="M2374" t="s">
        <v>1670</v>
      </c>
      <c r="O2374" t="s">
        <v>1675</v>
      </c>
      <c r="P2374" t="s">
        <v>1958</v>
      </c>
      <c r="Q2374" t="s">
        <v>1965</v>
      </c>
      <c r="R2374" t="s">
        <v>50</v>
      </c>
      <c r="S2374" t="s">
        <v>1671</v>
      </c>
      <c r="T2374" t="s">
        <v>13032</v>
      </c>
      <c r="U2374" t="s">
        <v>1972</v>
      </c>
      <c r="W2374" t="s">
        <v>250</v>
      </c>
      <c r="X2374">
        <v>1200</v>
      </c>
      <c r="Y2374" t="s">
        <v>2006</v>
      </c>
      <c r="Z2374" t="s">
        <v>2015</v>
      </c>
      <c r="AA2374" t="s">
        <v>2029</v>
      </c>
      <c r="AB2374" t="s">
        <v>14714</v>
      </c>
      <c r="AE2374">
        <v>108</v>
      </c>
      <c r="AF2374" t="s">
        <v>2909</v>
      </c>
      <c r="AH2374">
        <v>39</v>
      </c>
      <c r="AI2374">
        <v>1</v>
      </c>
      <c r="AJ2374">
        <v>0</v>
      </c>
      <c r="AK2374">
        <v>128.5</v>
      </c>
      <c r="AN2374" t="s">
        <v>2926</v>
      </c>
      <c r="AO2374">
        <v>15600</v>
      </c>
      <c r="AU2374">
        <v>0.2</v>
      </c>
      <c r="AV2374" t="s">
        <v>330</v>
      </c>
      <c r="AW2374" t="s">
        <v>3203</v>
      </c>
    </row>
    <row r="2375" spans="1:50">
      <c r="A2375" s="1" t="s">
        <v>114</v>
      </c>
      <c r="B2375" t="s">
        <v>164</v>
      </c>
      <c r="C2375" t="s">
        <v>5585</v>
      </c>
      <c r="D2375" t="s">
        <v>180</v>
      </c>
      <c r="E2375" t="s">
        <v>243</v>
      </c>
      <c r="F2375" t="s">
        <v>7705</v>
      </c>
      <c r="G2375" t="s">
        <v>8332</v>
      </c>
      <c r="H2375" t="s">
        <v>10463</v>
      </c>
      <c r="I2375" t="s">
        <v>1488</v>
      </c>
      <c r="J2375" t="s">
        <v>1641</v>
      </c>
      <c r="K2375">
        <v>10457</v>
      </c>
      <c r="L2375" t="s">
        <v>1670</v>
      </c>
      <c r="M2375" t="s">
        <v>1670</v>
      </c>
      <c r="N2375" t="s">
        <v>1754</v>
      </c>
      <c r="O2375" t="s">
        <v>1675</v>
      </c>
      <c r="P2375" t="s">
        <v>1958</v>
      </c>
      <c r="Q2375" t="s">
        <v>1965</v>
      </c>
      <c r="R2375" t="s">
        <v>50</v>
      </c>
      <c r="S2375" t="s">
        <v>1671</v>
      </c>
      <c r="U2375" t="s">
        <v>1972</v>
      </c>
      <c r="W2375" t="s">
        <v>180</v>
      </c>
      <c r="X2375">
        <v>679.25</v>
      </c>
      <c r="Y2375" t="s">
        <v>2006</v>
      </c>
      <c r="Z2375" t="s">
        <v>2013</v>
      </c>
      <c r="AA2375" t="s">
        <v>2029</v>
      </c>
      <c r="AB2375" t="s">
        <v>14715</v>
      </c>
      <c r="AD2375" t="s">
        <v>17115</v>
      </c>
      <c r="AE2375">
        <v>25</v>
      </c>
      <c r="AF2375" t="s">
        <v>2902</v>
      </c>
      <c r="AG2375" t="s">
        <v>2919</v>
      </c>
      <c r="AH2375">
        <v>47</v>
      </c>
      <c r="AI2375">
        <v>1</v>
      </c>
      <c r="AJ2375">
        <v>0</v>
      </c>
      <c r="AK2375">
        <v>128.5</v>
      </c>
      <c r="AN2375" t="s">
        <v>2926</v>
      </c>
      <c r="AO2375">
        <v>15600</v>
      </c>
      <c r="AU2375">
        <v>0.7</v>
      </c>
      <c r="AV2375" t="s">
        <v>180</v>
      </c>
      <c r="AW2375" t="s">
        <v>114</v>
      </c>
    </row>
    <row r="2376" spans="1:50">
      <c r="A2376" s="1" t="s">
        <v>3158</v>
      </c>
      <c r="B2376" t="s">
        <v>164</v>
      </c>
      <c r="C2376" t="s">
        <v>5586</v>
      </c>
      <c r="D2376" t="s">
        <v>184</v>
      </c>
      <c r="E2376" t="s">
        <v>349</v>
      </c>
      <c r="F2376" t="s">
        <v>7241</v>
      </c>
      <c r="G2376" t="s">
        <v>8135</v>
      </c>
      <c r="H2376" t="s">
        <v>9773</v>
      </c>
      <c r="I2376" t="s">
        <v>1491</v>
      </c>
      <c r="J2376" t="s">
        <v>1643</v>
      </c>
      <c r="K2376">
        <v>10034</v>
      </c>
      <c r="L2376" t="s">
        <v>1670</v>
      </c>
      <c r="M2376" t="s">
        <v>1670</v>
      </c>
      <c r="N2376" t="s">
        <v>12553</v>
      </c>
      <c r="O2376" t="s">
        <v>1936</v>
      </c>
      <c r="P2376" t="s">
        <v>1958</v>
      </c>
      <c r="Q2376" t="s">
        <v>1965</v>
      </c>
      <c r="R2376" t="s">
        <v>50</v>
      </c>
      <c r="S2376" t="s">
        <v>1671</v>
      </c>
      <c r="U2376" t="s">
        <v>1972</v>
      </c>
      <c r="W2376" t="s">
        <v>169</v>
      </c>
      <c r="X2376">
        <v>1320</v>
      </c>
      <c r="Y2376" t="s">
        <v>2008</v>
      </c>
      <c r="Z2376" t="s">
        <v>2013</v>
      </c>
      <c r="AA2376" t="s">
        <v>2029</v>
      </c>
      <c r="AB2376" t="s">
        <v>13741</v>
      </c>
      <c r="AD2376" t="s">
        <v>16205</v>
      </c>
      <c r="AE2376">
        <v>200</v>
      </c>
      <c r="AF2376" t="s">
        <v>2902</v>
      </c>
      <c r="AG2376" t="s">
        <v>1754</v>
      </c>
      <c r="AH2376">
        <v>20</v>
      </c>
      <c r="AI2376">
        <v>1</v>
      </c>
      <c r="AJ2376">
        <v>0</v>
      </c>
      <c r="AK2376">
        <v>128.5</v>
      </c>
      <c r="AN2376" t="s">
        <v>2926</v>
      </c>
      <c r="AO2376">
        <v>15600</v>
      </c>
      <c r="AU2376">
        <v>2.5</v>
      </c>
      <c r="AV2376" t="s">
        <v>173</v>
      </c>
      <c r="AW2376" t="s">
        <v>18654</v>
      </c>
    </row>
    <row r="2377" spans="1:50">
      <c r="A2377" s="1" t="s">
        <v>123</v>
      </c>
      <c r="B2377" t="s">
        <v>163</v>
      </c>
      <c r="C2377" t="s">
        <v>5587</v>
      </c>
      <c r="D2377" t="s">
        <v>270</v>
      </c>
      <c r="F2377" t="s">
        <v>7706</v>
      </c>
      <c r="G2377" t="s">
        <v>8940</v>
      </c>
      <c r="H2377" t="s">
        <v>10464</v>
      </c>
      <c r="I2377" t="s">
        <v>1508</v>
      </c>
      <c r="J2377" t="s">
        <v>1641</v>
      </c>
      <c r="K2377">
        <v>10459</v>
      </c>
      <c r="L2377" t="s">
        <v>1670</v>
      </c>
      <c r="M2377" t="s">
        <v>1670</v>
      </c>
      <c r="O2377" t="s">
        <v>1941</v>
      </c>
      <c r="P2377" t="s">
        <v>1958</v>
      </c>
      <c r="R2377" t="s">
        <v>50</v>
      </c>
      <c r="S2377" t="s">
        <v>1671</v>
      </c>
      <c r="U2377" t="s">
        <v>1972</v>
      </c>
      <c r="W2377" t="s">
        <v>270</v>
      </c>
      <c r="X2377">
        <v>186</v>
      </c>
      <c r="Y2377" t="s">
        <v>2006</v>
      </c>
      <c r="Z2377" t="s">
        <v>2013</v>
      </c>
      <c r="AB2377" t="s">
        <v>14113</v>
      </c>
      <c r="AD2377" t="s">
        <v>17116</v>
      </c>
      <c r="AE2377">
        <v>21</v>
      </c>
      <c r="AF2377" t="s">
        <v>2909</v>
      </c>
      <c r="AG2377" t="s">
        <v>2915</v>
      </c>
      <c r="AH2377">
        <v>20</v>
      </c>
      <c r="AI2377">
        <v>1</v>
      </c>
      <c r="AJ2377">
        <v>0</v>
      </c>
      <c r="AK2377">
        <v>128.5</v>
      </c>
      <c r="AN2377" t="s">
        <v>2926</v>
      </c>
      <c r="AO2377">
        <v>15600</v>
      </c>
      <c r="AU2377">
        <v>0.6</v>
      </c>
      <c r="AV2377" t="s">
        <v>270</v>
      </c>
      <c r="AW2377" t="s">
        <v>123</v>
      </c>
    </row>
    <row r="2378" spans="1:50">
      <c r="A2378" s="1" t="s">
        <v>74</v>
      </c>
      <c r="B2378" t="s">
        <v>164</v>
      </c>
      <c r="C2378" t="s">
        <v>5588</v>
      </c>
      <c r="D2378" t="s">
        <v>345</v>
      </c>
      <c r="E2378" t="s">
        <v>272</v>
      </c>
      <c r="F2378" t="s">
        <v>7707</v>
      </c>
      <c r="G2378" t="s">
        <v>1000</v>
      </c>
      <c r="H2378" t="s">
        <v>10465</v>
      </c>
      <c r="I2378">
        <v>701</v>
      </c>
      <c r="J2378" t="s">
        <v>1641</v>
      </c>
      <c r="K2378">
        <v>10462</v>
      </c>
      <c r="L2378" t="s">
        <v>1670</v>
      </c>
      <c r="M2378" t="s">
        <v>1670</v>
      </c>
      <c r="N2378" t="s">
        <v>12554</v>
      </c>
      <c r="O2378" t="s">
        <v>1936</v>
      </c>
      <c r="P2378" t="s">
        <v>1962</v>
      </c>
      <c r="Q2378" t="s">
        <v>1965</v>
      </c>
      <c r="R2378" t="s">
        <v>50</v>
      </c>
      <c r="S2378" t="s">
        <v>1671</v>
      </c>
      <c r="U2378" t="s">
        <v>1972</v>
      </c>
      <c r="V2378" t="s">
        <v>1986</v>
      </c>
      <c r="W2378" t="s">
        <v>1990</v>
      </c>
      <c r="X2378">
        <v>1166</v>
      </c>
      <c r="Y2378" t="s">
        <v>2006</v>
      </c>
      <c r="Z2378" t="s">
        <v>2017</v>
      </c>
      <c r="AA2378" t="s">
        <v>2029</v>
      </c>
      <c r="AB2378" t="s">
        <v>14716</v>
      </c>
      <c r="AD2378" t="s">
        <v>17117</v>
      </c>
      <c r="AE2378" t="s">
        <v>13051</v>
      </c>
      <c r="AF2378" t="s">
        <v>2902</v>
      </c>
      <c r="AH2378">
        <v>2</v>
      </c>
      <c r="AI2378">
        <v>1</v>
      </c>
      <c r="AJ2378">
        <v>0</v>
      </c>
      <c r="AK2378">
        <v>128.5</v>
      </c>
      <c r="AN2378" t="s">
        <v>2926</v>
      </c>
      <c r="AO2378">
        <v>15600</v>
      </c>
      <c r="AU2378">
        <v>5.9</v>
      </c>
      <c r="AV2378" t="s">
        <v>243</v>
      </c>
      <c r="AW2378" t="s">
        <v>3053</v>
      </c>
    </row>
    <row r="2379" spans="1:50">
      <c r="A2379" s="1" t="s">
        <v>3203</v>
      </c>
      <c r="B2379" t="s">
        <v>164</v>
      </c>
      <c r="C2379" t="s">
        <v>5589</v>
      </c>
      <c r="D2379" t="s">
        <v>370</v>
      </c>
      <c r="E2379" t="s">
        <v>6160</v>
      </c>
      <c r="F2379" t="s">
        <v>7706</v>
      </c>
      <c r="G2379" t="s">
        <v>770</v>
      </c>
      <c r="H2379" t="s">
        <v>10464</v>
      </c>
      <c r="I2379" t="s">
        <v>1508</v>
      </c>
      <c r="J2379" t="s">
        <v>1641</v>
      </c>
      <c r="K2379">
        <v>10459</v>
      </c>
      <c r="L2379" t="s">
        <v>1670</v>
      </c>
      <c r="M2379" t="s">
        <v>1670</v>
      </c>
      <c r="O2379" t="s">
        <v>1941</v>
      </c>
      <c r="P2379" t="s">
        <v>1962</v>
      </c>
      <c r="Q2379" t="s">
        <v>1968</v>
      </c>
      <c r="R2379" t="s">
        <v>50</v>
      </c>
      <c r="S2379" t="s">
        <v>1671</v>
      </c>
      <c r="U2379" t="s">
        <v>1972</v>
      </c>
      <c r="W2379" t="s">
        <v>6160</v>
      </c>
      <c r="X2379" t="s">
        <v>13051</v>
      </c>
      <c r="Y2379" t="s">
        <v>2006</v>
      </c>
      <c r="Z2379" t="s">
        <v>2015</v>
      </c>
      <c r="AA2379" t="s">
        <v>2029</v>
      </c>
      <c r="AB2379" t="s">
        <v>14113</v>
      </c>
      <c r="AD2379" t="s">
        <v>17118</v>
      </c>
      <c r="AE2379">
        <v>40</v>
      </c>
      <c r="AF2379" t="s">
        <v>2909</v>
      </c>
      <c r="AH2379">
        <v>20</v>
      </c>
      <c r="AI2379">
        <v>1</v>
      </c>
      <c r="AJ2379">
        <v>0</v>
      </c>
      <c r="AK2379">
        <v>128.5</v>
      </c>
      <c r="AN2379" t="s">
        <v>2926</v>
      </c>
      <c r="AO2379">
        <v>15600</v>
      </c>
      <c r="AU2379">
        <v>2</v>
      </c>
      <c r="AV2379" t="s">
        <v>6160</v>
      </c>
      <c r="AW2379" t="s">
        <v>3203</v>
      </c>
    </row>
    <row r="2380" spans="1:50">
      <c r="A2380" s="1" t="s">
        <v>90</v>
      </c>
      <c r="B2380" t="s">
        <v>164</v>
      </c>
      <c r="C2380" t="s">
        <v>5590</v>
      </c>
      <c r="D2380" t="s">
        <v>309</v>
      </c>
      <c r="E2380" t="s">
        <v>301</v>
      </c>
      <c r="F2380" t="s">
        <v>7708</v>
      </c>
      <c r="G2380" t="s">
        <v>8941</v>
      </c>
      <c r="H2380" t="s">
        <v>10466</v>
      </c>
      <c r="I2380" t="s">
        <v>11387</v>
      </c>
      <c r="J2380" t="s">
        <v>1646</v>
      </c>
      <c r="K2380">
        <v>10302</v>
      </c>
      <c r="L2380" t="s">
        <v>1670</v>
      </c>
      <c r="M2380" t="s">
        <v>1670</v>
      </c>
      <c r="P2380" t="s">
        <v>12753</v>
      </c>
      <c r="Q2380" t="s">
        <v>1969</v>
      </c>
      <c r="R2380" t="s">
        <v>51</v>
      </c>
      <c r="S2380" t="s">
        <v>1671</v>
      </c>
      <c r="U2380" t="s">
        <v>1972</v>
      </c>
      <c r="W2380" t="s">
        <v>309</v>
      </c>
      <c r="X2380" t="s">
        <v>13051</v>
      </c>
      <c r="Y2380" t="s">
        <v>2010</v>
      </c>
      <c r="Z2380" t="s">
        <v>2012</v>
      </c>
      <c r="AA2380" t="s">
        <v>2032</v>
      </c>
      <c r="AB2380" t="s">
        <v>14717</v>
      </c>
      <c r="AD2380" t="s">
        <v>17119</v>
      </c>
      <c r="AE2380" t="s">
        <v>13051</v>
      </c>
      <c r="AH2380" t="s">
        <v>13051</v>
      </c>
      <c r="AI2380">
        <v>1</v>
      </c>
      <c r="AJ2380">
        <v>0</v>
      </c>
      <c r="AK2380">
        <v>128.5</v>
      </c>
      <c r="AL2380" t="s">
        <v>2923</v>
      </c>
      <c r="AM2380" t="s">
        <v>2924</v>
      </c>
      <c r="AO2380">
        <v>15600</v>
      </c>
      <c r="AU2380">
        <v>13.7</v>
      </c>
      <c r="AV2380" t="s">
        <v>237</v>
      </c>
      <c r="AW2380" t="s">
        <v>112</v>
      </c>
    </row>
    <row r="2381" spans="1:50">
      <c r="A2381" s="1" t="s">
        <v>61</v>
      </c>
      <c r="B2381" t="s">
        <v>164</v>
      </c>
      <c r="C2381" t="s">
        <v>5591</v>
      </c>
      <c r="D2381" t="s">
        <v>311</v>
      </c>
      <c r="E2381" t="s">
        <v>271</v>
      </c>
      <c r="F2381" t="s">
        <v>7480</v>
      </c>
      <c r="G2381" t="s">
        <v>909</v>
      </c>
      <c r="H2381" t="s">
        <v>1464</v>
      </c>
      <c r="I2381" t="s">
        <v>1525</v>
      </c>
      <c r="J2381" t="s">
        <v>1644</v>
      </c>
      <c r="K2381">
        <v>11226</v>
      </c>
      <c r="L2381" t="s">
        <v>1670</v>
      </c>
      <c r="M2381" t="s">
        <v>1670</v>
      </c>
      <c r="O2381" t="s">
        <v>1939</v>
      </c>
      <c r="P2381" t="s">
        <v>1963</v>
      </c>
      <c r="Q2381" t="s">
        <v>1966</v>
      </c>
      <c r="R2381" t="s">
        <v>50</v>
      </c>
      <c r="S2381" t="s">
        <v>1670</v>
      </c>
      <c r="U2381" t="s">
        <v>1972</v>
      </c>
      <c r="W2381" t="s">
        <v>218</v>
      </c>
      <c r="X2381">
        <v>900</v>
      </c>
      <c r="Y2381" t="s">
        <v>2009</v>
      </c>
      <c r="Z2381" t="s">
        <v>2015</v>
      </c>
      <c r="AA2381" t="s">
        <v>2042</v>
      </c>
      <c r="AB2381" t="s">
        <v>14718</v>
      </c>
      <c r="AE2381">
        <v>48</v>
      </c>
      <c r="AF2381" t="s">
        <v>2902</v>
      </c>
      <c r="AG2381" t="s">
        <v>2915</v>
      </c>
      <c r="AH2381">
        <v>30</v>
      </c>
      <c r="AI2381">
        <v>1</v>
      </c>
      <c r="AJ2381">
        <v>0</v>
      </c>
      <c r="AK2381">
        <v>128.5</v>
      </c>
      <c r="AN2381" t="s">
        <v>2926</v>
      </c>
      <c r="AO2381">
        <v>15600</v>
      </c>
      <c r="AU2381">
        <v>1.3</v>
      </c>
      <c r="AV2381" t="s">
        <v>356</v>
      </c>
      <c r="AW2381" t="s">
        <v>61</v>
      </c>
    </row>
    <row r="2382" spans="1:50">
      <c r="A2382" s="1" t="s">
        <v>3139</v>
      </c>
      <c r="B2382" t="s">
        <v>164</v>
      </c>
      <c r="C2382" t="s">
        <v>5592</v>
      </c>
      <c r="D2382" t="s">
        <v>252</v>
      </c>
      <c r="E2382" t="s">
        <v>178</v>
      </c>
      <c r="F2382" t="s">
        <v>473</v>
      </c>
      <c r="G2382" t="s">
        <v>864</v>
      </c>
      <c r="H2382" t="s">
        <v>10467</v>
      </c>
      <c r="I2382">
        <v>20</v>
      </c>
      <c r="J2382" t="s">
        <v>1641</v>
      </c>
      <c r="K2382">
        <v>10468</v>
      </c>
      <c r="L2382" t="s">
        <v>1670</v>
      </c>
      <c r="M2382" t="s">
        <v>1670</v>
      </c>
      <c r="O2382" t="s">
        <v>1945</v>
      </c>
      <c r="P2382" t="s">
        <v>1959</v>
      </c>
      <c r="Q2382" t="s">
        <v>1970</v>
      </c>
      <c r="R2382" t="s">
        <v>50</v>
      </c>
      <c r="S2382" t="s">
        <v>1671</v>
      </c>
      <c r="U2382" t="s">
        <v>1980</v>
      </c>
      <c r="W2382" t="s">
        <v>252</v>
      </c>
      <c r="X2382">
        <v>788.84</v>
      </c>
      <c r="Y2382" t="s">
        <v>2006</v>
      </c>
      <c r="Z2382" t="s">
        <v>2013</v>
      </c>
      <c r="AA2382" t="s">
        <v>2030</v>
      </c>
      <c r="AB2382" t="s">
        <v>14719</v>
      </c>
      <c r="AD2382" t="s">
        <v>17120</v>
      </c>
      <c r="AE2382">
        <v>28</v>
      </c>
      <c r="AF2382" t="s">
        <v>2902</v>
      </c>
      <c r="AH2382">
        <v>29</v>
      </c>
      <c r="AI2382">
        <v>1</v>
      </c>
      <c r="AJ2382">
        <v>0</v>
      </c>
      <c r="AK2382">
        <v>128.5</v>
      </c>
      <c r="AN2382" t="s">
        <v>2927</v>
      </c>
      <c r="AO2382">
        <v>15600</v>
      </c>
      <c r="AT2382" t="s">
        <v>18545</v>
      </c>
      <c r="AU2382">
        <v>0.4</v>
      </c>
      <c r="AV2382" t="s">
        <v>252</v>
      </c>
      <c r="AW2382" t="s">
        <v>3064</v>
      </c>
    </row>
    <row r="2383" spans="1:50">
      <c r="A2383" s="1" t="s">
        <v>111</v>
      </c>
      <c r="B2383" t="s">
        <v>163</v>
      </c>
      <c r="C2383" t="s">
        <v>5593</v>
      </c>
      <c r="D2383" t="s">
        <v>6205</v>
      </c>
      <c r="F2383" t="s">
        <v>7709</v>
      </c>
      <c r="G2383" t="s">
        <v>897</v>
      </c>
      <c r="H2383" t="s">
        <v>1260</v>
      </c>
      <c r="I2383" t="s">
        <v>1517</v>
      </c>
      <c r="J2383" t="s">
        <v>1641</v>
      </c>
      <c r="K2383">
        <v>10453</v>
      </c>
      <c r="L2383" t="s">
        <v>1670</v>
      </c>
      <c r="M2383" t="s">
        <v>1670</v>
      </c>
      <c r="O2383" t="s">
        <v>1675</v>
      </c>
      <c r="P2383" t="s">
        <v>1959</v>
      </c>
      <c r="R2383" t="s">
        <v>50</v>
      </c>
      <c r="S2383" t="s">
        <v>1670</v>
      </c>
      <c r="U2383" t="s">
        <v>1972</v>
      </c>
      <c r="W2383" t="s">
        <v>222</v>
      </c>
      <c r="X2383">
        <v>1100</v>
      </c>
      <c r="Y2383" t="s">
        <v>2006</v>
      </c>
      <c r="Z2383" t="s">
        <v>2015</v>
      </c>
      <c r="AB2383" t="s">
        <v>14720</v>
      </c>
      <c r="AD2383" t="s">
        <v>17121</v>
      </c>
      <c r="AE2383">
        <v>44</v>
      </c>
      <c r="AF2383" t="s">
        <v>2902</v>
      </c>
      <c r="AG2383" t="s">
        <v>1754</v>
      </c>
      <c r="AH2383">
        <v>1</v>
      </c>
      <c r="AI2383">
        <v>1</v>
      </c>
      <c r="AJ2383">
        <v>0</v>
      </c>
      <c r="AK2383">
        <v>128.5</v>
      </c>
      <c r="AN2383" t="s">
        <v>2926</v>
      </c>
      <c r="AO2383">
        <v>15600</v>
      </c>
      <c r="AU2383" t="s">
        <v>13051</v>
      </c>
      <c r="AW2383" t="s">
        <v>3047</v>
      </c>
      <c r="AX2383" t="s">
        <v>18685</v>
      </c>
    </row>
    <row r="2384" spans="1:50">
      <c r="A2384" s="1" t="s">
        <v>111</v>
      </c>
      <c r="B2384" t="s">
        <v>163</v>
      </c>
      <c r="C2384" t="s">
        <v>5594</v>
      </c>
      <c r="D2384" t="s">
        <v>231</v>
      </c>
      <c r="F2384" t="s">
        <v>7709</v>
      </c>
      <c r="G2384" t="s">
        <v>897</v>
      </c>
      <c r="H2384" t="s">
        <v>1260</v>
      </c>
      <c r="I2384" t="s">
        <v>1517</v>
      </c>
      <c r="J2384" t="s">
        <v>1641</v>
      </c>
      <c r="K2384">
        <v>10453</v>
      </c>
      <c r="L2384" t="s">
        <v>1670</v>
      </c>
      <c r="M2384" t="s">
        <v>1670</v>
      </c>
      <c r="O2384" t="s">
        <v>1938</v>
      </c>
      <c r="P2384" t="s">
        <v>1961</v>
      </c>
      <c r="R2384" t="s">
        <v>50</v>
      </c>
      <c r="S2384" t="s">
        <v>1670</v>
      </c>
      <c r="U2384" t="s">
        <v>1972</v>
      </c>
      <c r="W2384" t="s">
        <v>283</v>
      </c>
      <c r="X2384">
        <v>1100</v>
      </c>
      <c r="Y2384" t="s">
        <v>2006</v>
      </c>
      <c r="Z2384" t="s">
        <v>2015</v>
      </c>
      <c r="AB2384" t="s">
        <v>14720</v>
      </c>
      <c r="AD2384" t="s">
        <v>17121</v>
      </c>
      <c r="AE2384">
        <v>44</v>
      </c>
      <c r="AF2384" t="s">
        <v>2902</v>
      </c>
      <c r="AG2384" t="s">
        <v>1754</v>
      </c>
      <c r="AH2384">
        <v>1</v>
      </c>
      <c r="AI2384">
        <v>1</v>
      </c>
      <c r="AJ2384">
        <v>0</v>
      </c>
      <c r="AK2384">
        <v>128.5</v>
      </c>
      <c r="AN2384" t="s">
        <v>2926</v>
      </c>
      <c r="AO2384">
        <v>15600</v>
      </c>
      <c r="AU2384" t="s">
        <v>13051</v>
      </c>
      <c r="AW2384" t="s">
        <v>3047</v>
      </c>
    </row>
    <row r="2385" spans="1:50">
      <c r="A2385" s="1" t="s">
        <v>125</v>
      </c>
      <c r="B2385" t="s">
        <v>163</v>
      </c>
      <c r="C2385" t="s">
        <v>5595</v>
      </c>
      <c r="D2385" t="s">
        <v>187</v>
      </c>
      <c r="F2385" t="s">
        <v>415</v>
      </c>
      <c r="G2385" t="s">
        <v>8942</v>
      </c>
      <c r="H2385" t="s">
        <v>9824</v>
      </c>
      <c r="I2385" t="s">
        <v>11388</v>
      </c>
      <c r="J2385" t="s">
        <v>1644</v>
      </c>
      <c r="K2385">
        <v>11233</v>
      </c>
      <c r="L2385" t="s">
        <v>1670</v>
      </c>
      <c r="M2385" t="s">
        <v>1671</v>
      </c>
      <c r="N2385" t="s">
        <v>12094</v>
      </c>
      <c r="O2385" t="s">
        <v>1940</v>
      </c>
      <c r="P2385" t="s">
        <v>1960</v>
      </c>
      <c r="R2385" t="s">
        <v>50</v>
      </c>
      <c r="S2385" t="s">
        <v>1671</v>
      </c>
      <c r="U2385" t="s">
        <v>1972</v>
      </c>
      <c r="V2385" t="s">
        <v>1987</v>
      </c>
      <c r="W2385" t="s">
        <v>1990</v>
      </c>
      <c r="X2385">
        <v>50</v>
      </c>
      <c r="Y2385" t="s">
        <v>2009</v>
      </c>
      <c r="Z2385" t="s">
        <v>2014</v>
      </c>
      <c r="AB2385" t="s">
        <v>14240</v>
      </c>
      <c r="AC2385" t="s">
        <v>2904</v>
      </c>
      <c r="AD2385" t="s">
        <v>17122</v>
      </c>
      <c r="AE2385">
        <v>3</v>
      </c>
      <c r="AF2385" t="s">
        <v>2903</v>
      </c>
      <c r="AG2385" t="s">
        <v>18016</v>
      </c>
      <c r="AH2385" t="s">
        <v>13051</v>
      </c>
      <c r="AI2385">
        <v>1</v>
      </c>
      <c r="AJ2385">
        <v>0</v>
      </c>
      <c r="AK2385">
        <v>128.5</v>
      </c>
      <c r="AN2385" t="s">
        <v>2926</v>
      </c>
      <c r="AO2385">
        <v>15600</v>
      </c>
      <c r="AU2385">
        <v>0.5</v>
      </c>
      <c r="AV2385" t="s">
        <v>383</v>
      </c>
      <c r="AW2385" t="s">
        <v>3060</v>
      </c>
    </row>
    <row r="2386" spans="1:50">
      <c r="A2386" s="1" t="s">
        <v>107</v>
      </c>
      <c r="B2386" t="s">
        <v>163</v>
      </c>
      <c r="C2386" t="s">
        <v>5596</v>
      </c>
      <c r="D2386" t="s">
        <v>359</v>
      </c>
      <c r="F2386" t="s">
        <v>582</v>
      </c>
      <c r="G2386" t="s">
        <v>8943</v>
      </c>
      <c r="H2386" t="s">
        <v>9969</v>
      </c>
      <c r="I2386" t="s">
        <v>11389</v>
      </c>
      <c r="J2386" t="s">
        <v>1644</v>
      </c>
      <c r="K2386">
        <v>11206</v>
      </c>
      <c r="L2386" t="s">
        <v>1670</v>
      </c>
      <c r="M2386" t="s">
        <v>1670</v>
      </c>
      <c r="N2386" t="s">
        <v>12555</v>
      </c>
      <c r="O2386" t="s">
        <v>1936</v>
      </c>
      <c r="P2386" t="s">
        <v>1960</v>
      </c>
      <c r="R2386" t="s">
        <v>50</v>
      </c>
      <c r="S2386" t="s">
        <v>1671</v>
      </c>
      <c r="U2386" t="s">
        <v>1972</v>
      </c>
      <c r="W2386" t="s">
        <v>359</v>
      </c>
      <c r="X2386">
        <v>296</v>
      </c>
      <c r="Y2386" t="s">
        <v>2009</v>
      </c>
      <c r="Z2386" t="s">
        <v>2020</v>
      </c>
      <c r="AB2386" t="s">
        <v>14721</v>
      </c>
      <c r="AD2386" t="s">
        <v>17123</v>
      </c>
      <c r="AE2386">
        <v>272</v>
      </c>
      <c r="AF2386" t="s">
        <v>2902</v>
      </c>
      <c r="AG2386" t="s">
        <v>2915</v>
      </c>
      <c r="AH2386">
        <v>8</v>
      </c>
      <c r="AI2386">
        <v>1</v>
      </c>
      <c r="AJ2386">
        <v>0</v>
      </c>
      <c r="AK2386">
        <v>128.5</v>
      </c>
      <c r="AN2386" t="s">
        <v>2926</v>
      </c>
      <c r="AO2386">
        <v>15600</v>
      </c>
      <c r="AP2386" t="s">
        <v>18134</v>
      </c>
      <c r="AU2386">
        <v>16.8</v>
      </c>
      <c r="AV2386" t="s">
        <v>249</v>
      </c>
      <c r="AW2386" t="s">
        <v>3059</v>
      </c>
    </row>
    <row r="2387" spans="1:50">
      <c r="A2387" s="1" t="s">
        <v>74</v>
      </c>
      <c r="B2387" t="s">
        <v>163</v>
      </c>
      <c r="C2387" t="s">
        <v>5597</v>
      </c>
      <c r="D2387" t="s">
        <v>341</v>
      </c>
      <c r="F2387" t="s">
        <v>7269</v>
      </c>
      <c r="G2387" t="s">
        <v>8930</v>
      </c>
      <c r="H2387" t="s">
        <v>1131</v>
      </c>
      <c r="I2387" t="s">
        <v>1567</v>
      </c>
      <c r="J2387" t="s">
        <v>1641</v>
      </c>
      <c r="K2387">
        <v>10460</v>
      </c>
      <c r="L2387" t="s">
        <v>1670</v>
      </c>
      <c r="M2387" t="s">
        <v>1670</v>
      </c>
      <c r="N2387" t="s">
        <v>1692</v>
      </c>
      <c r="O2387" t="s">
        <v>1939</v>
      </c>
      <c r="P2387" t="s">
        <v>1960</v>
      </c>
      <c r="R2387" t="s">
        <v>50</v>
      </c>
      <c r="S2387" t="s">
        <v>1670</v>
      </c>
      <c r="U2387" t="s">
        <v>1972</v>
      </c>
      <c r="W2387" t="s">
        <v>283</v>
      </c>
      <c r="X2387">
        <v>1600</v>
      </c>
      <c r="Y2387" t="s">
        <v>2006</v>
      </c>
      <c r="Z2387" t="s">
        <v>2015</v>
      </c>
      <c r="AB2387" t="s">
        <v>14697</v>
      </c>
      <c r="AD2387" t="s">
        <v>17096</v>
      </c>
      <c r="AE2387">
        <v>168</v>
      </c>
      <c r="AF2387" t="s">
        <v>2902</v>
      </c>
      <c r="AG2387" t="s">
        <v>1754</v>
      </c>
      <c r="AH2387">
        <v>18</v>
      </c>
      <c r="AI2387">
        <v>1</v>
      </c>
      <c r="AJ2387">
        <v>0</v>
      </c>
      <c r="AK2387">
        <v>128.5</v>
      </c>
      <c r="AN2387" t="s">
        <v>2926</v>
      </c>
      <c r="AO2387">
        <v>15600</v>
      </c>
      <c r="AU2387">
        <v>0.5</v>
      </c>
      <c r="AV2387" t="s">
        <v>193</v>
      </c>
      <c r="AW2387" t="s">
        <v>3046</v>
      </c>
    </row>
    <row r="2388" spans="1:50">
      <c r="A2388" s="1" t="s">
        <v>111</v>
      </c>
      <c r="B2388" t="s">
        <v>163</v>
      </c>
      <c r="C2388" t="s">
        <v>5598</v>
      </c>
      <c r="D2388" t="s">
        <v>231</v>
      </c>
      <c r="F2388" t="s">
        <v>7709</v>
      </c>
      <c r="G2388" t="s">
        <v>897</v>
      </c>
      <c r="H2388" t="s">
        <v>1260</v>
      </c>
      <c r="I2388" t="s">
        <v>1517</v>
      </c>
      <c r="J2388" t="s">
        <v>1641</v>
      </c>
      <c r="K2388">
        <v>10453</v>
      </c>
      <c r="L2388" t="s">
        <v>1670</v>
      </c>
      <c r="M2388" t="s">
        <v>1670</v>
      </c>
      <c r="N2388" t="s">
        <v>1778</v>
      </c>
      <c r="O2388" t="s">
        <v>1939</v>
      </c>
      <c r="P2388" t="s">
        <v>1960</v>
      </c>
      <c r="R2388" t="s">
        <v>50</v>
      </c>
      <c r="S2388" t="s">
        <v>1670</v>
      </c>
      <c r="U2388" t="s">
        <v>1972</v>
      </c>
      <c r="W2388" t="s">
        <v>283</v>
      </c>
      <c r="X2388">
        <v>1100</v>
      </c>
      <c r="Y2388" t="s">
        <v>2006</v>
      </c>
      <c r="Z2388" t="s">
        <v>2015</v>
      </c>
      <c r="AB2388" t="s">
        <v>14720</v>
      </c>
      <c r="AD2388" t="s">
        <v>17121</v>
      </c>
      <c r="AE2388">
        <v>44</v>
      </c>
      <c r="AF2388" t="s">
        <v>2902</v>
      </c>
      <c r="AG2388" t="s">
        <v>1754</v>
      </c>
      <c r="AH2388">
        <v>1</v>
      </c>
      <c r="AI2388">
        <v>1</v>
      </c>
      <c r="AJ2388">
        <v>0</v>
      </c>
      <c r="AK2388">
        <v>128.5</v>
      </c>
      <c r="AN2388" t="s">
        <v>2926</v>
      </c>
      <c r="AO2388">
        <v>15600</v>
      </c>
      <c r="AU2388" t="s">
        <v>13051</v>
      </c>
      <c r="AW2388" t="s">
        <v>3047</v>
      </c>
    </row>
    <row r="2389" spans="1:50">
      <c r="A2389" s="1" t="s">
        <v>142</v>
      </c>
      <c r="B2389" t="s">
        <v>163</v>
      </c>
      <c r="C2389" t="s">
        <v>5599</v>
      </c>
      <c r="D2389" t="s">
        <v>241</v>
      </c>
      <c r="F2389" t="s">
        <v>7257</v>
      </c>
      <c r="G2389" t="s">
        <v>8913</v>
      </c>
      <c r="H2389" t="s">
        <v>10468</v>
      </c>
      <c r="I2389" t="s">
        <v>1589</v>
      </c>
      <c r="J2389" t="s">
        <v>1641</v>
      </c>
      <c r="K2389">
        <v>10453</v>
      </c>
      <c r="L2389" t="s">
        <v>1670</v>
      </c>
      <c r="M2389" t="s">
        <v>1670</v>
      </c>
      <c r="N2389" t="s">
        <v>12556</v>
      </c>
      <c r="O2389" t="s">
        <v>1936</v>
      </c>
      <c r="P2389" t="s">
        <v>1960</v>
      </c>
      <c r="R2389" t="s">
        <v>50</v>
      </c>
      <c r="S2389" t="s">
        <v>1671</v>
      </c>
      <c r="U2389" t="s">
        <v>1972</v>
      </c>
      <c r="V2389" t="s">
        <v>1987</v>
      </c>
      <c r="W2389" t="s">
        <v>358</v>
      </c>
      <c r="X2389">
        <v>1285</v>
      </c>
      <c r="Y2389" t="s">
        <v>2006</v>
      </c>
      <c r="Z2389" t="s">
        <v>2024</v>
      </c>
      <c r="AB2389" t="s">
        <v>14722</v>
      </c>
      <c r="AD2389" t="s">
        <v>17124</v>
      </c>
      <c r="AE2389">
        <v>48</v>
      </c>
      <c r="AF2389" t="s">
        <v>2902</v>
      </c>
      <c r="AG2389" t="s">
        <v>1754</v>
      </c>
      <c r="AH2389">
        <v>8</v>
      </c>
      <c r="AI2389">
        <v>1</v>
      </c>
      <c r="AJ2389">
        <v>0</v>
      </c>
      <c r="AK2389">
        <v>128.5</v>
      </c>
      <c r="AN2389" t="s">
        <v>2927</v>
      </c>
      <c r="AO2389">
        <v>15600</v>
      </c>
      <c r="AU2389">
        <v>16.35</v>
      </c>
      <c r="AV2389" t="s">
        <v>304</v>
      </c>
      <c r="AW2389" t="s">
        <v>18658</v>
      </c>
    </row>
    <row r="2390" spans="1:50">
      <c r="A2390" s="1" t="s">
        <v>91</v>
      </c>
      <c r="B2390" t="s">
        <v>163</v>
      </c>
      <c r="C2390" t="s">
        <v>5600</v>
      </c>
      <c r="D2390" t="s">
        <v>259</v>
      </c>
      <c r="F2390" t="s">
        <v>7710</v>
      </c>
      <c r="G2390" t="s">
        <v>803</v>
      </c>
      <c r="H2390" t="s">
        <v>10469</v>
      </c>
      <c r="I2390">
        <v>54</v>
      </c>
      <c r="J2390" t="s">
        <v>1643</v>
      </c>
      <c r="K2390">
        <v>10034</v>
      </c>
      <c r="L2390" t="s">
        <v>1670</v>
      </c>
      <c r="M2390" t="s">
        <v>1672</v>
      </c>
      <c r="N2390" t="s">
        <v>12557</v>
      </c>
      <c r="O2390" t="s">
        <v>1939</v>
      </c>
      <c r="P2390" t="s">
        <v>1960</v>
      </c>
      <c r="R2390" t="s">
        <v>50</v>
      </c>
      <c r="S2390" t="s">
        <v>1671</v>
      </c>
      <c r="U2390" t="s">
        <v>1972</v>
      </c>
      <c r="W2390" t="s">
        <v>1992</v>
      </c>
      <c r="X2390">
        <v>819.0700000000001</v>
      </c>
      <c r="Y2390" t="s">
        <v>2008</v>
      </c>
      <c r="Z2390" t="s">
        <v>2020</v>
      </c>
      <c r="AB2390" t="s">
        <v>13152</v>
      </c>
      <c r="AD2390" t="s">
        <v>17125</v>
      </c>
      <c r="AE2390">
        <v>53</v>
      </c>
      <c r="AF2390" t="s">
        <v>2902</v>
      </c>
      <c r="AG2390" t="s">
        <v>1754</v>
      </c>
      <c r="AH2390" t="s">
        <v>13051</v>
      </c>
      <c r="AI2390">
        <v>1</v>
      </c>
      <c r="AJ2390">
        <v>0</v>
      </c>
      <c r="AK2390">
        <v>128.5</v>
      </c>
      <c r="AN2390" t="s">
        <v>2926</v>
      </c>
      <c r="AO2390">
        <v>15600</v>
      </c>
      <c r="AU2390">
        <v>25.7</v>
      </c>
      <c r="AV2390" t="s">
        <v>3039</v>
      </c>
      <c r="AW2390" t="s">
        <v>3042</v>
      </c>
    </row>
    <row r="2391" spans="1:50">
      <c r="A2391" s="1" t="s">
        <v>69</v>
      </c>
      <c r="B2391" t="s">
        <v>163</v>
      </c>
      <c r="C2391" t="s">
        <v>5601</v>
      </c>
      <c r="D2391" t="s">
        <v>2343</v>
      </c>
      <c r="F2391" t="s">
        <v>7650</v>
      </c>
      <c r="G2391" t="s">
        <v>8944</v>
      </c>
      <c r="H2391" t="s">
        <v>10470</v>
      </c>
      <c r="I2391" t="s">
        <v>11390</v>
      </c>
      <c r="J2391" t="s">
        <v>1644</v>
      </c>
      <c r="K2391">
        <v>11225</v>
      </c>
      <c r="L2391" t="s">
        <v>1670</v>
      </c>
      <c r="M2391" t="s">
        <v>1670</v>
      </c>
      <c r="O2391" t="s">
        <v>1941</v>
      </c>
      <c r="P2391" t="s">
        <v>1959</v>
      </c>
      <c r="R2391" t="s">
        <v>50</v>
      </c>
      <c r="U2391" t="s">
        <v>1972</v>
      </c>
      <c r="W2391" t="s">
        <v>352</v>
      </c>
      <c r="X2391">
        <v>1151.62</v>
      </c>
      <c r="Y2391" t="s">
        <v>2009</v>
      </c>
      <c r="Z2391" t="s">
        <v>2015</v>
      </c>
      <c r="AB2391" t="s">
        <v>14723</v>
      </c>
      <c r="AD2391" t="s">
        <v>17126</v>
      </c>
      <c r="AE2391">
        <v>21</v>
      </c>
      <c r="AF2391" t="s">
        <v>2908</v>
      </c>
      <c r="AG2391" t="s">
        <v>1754</v>
      </c>
      <c r="AH2391">
        <v>33</v>
      </c>
      <c r="AI2391">
        <v>3</v>
      </c>
      <c r="AJ2391">
        <v>0</v>
      </c>
      <c r="AK2391">
        <v>129.07</v>
      </c>
      <c r="AN2391" t="s">
        <v>2926</v>
      </c>
      <c r="AO2391">
        <v>26820</v>
      </c>
      <c r="AU2391">
        <v>1.7</v>
      </c>
      <c r="AV2391" t="s">
        <v>305</v>
      </c>
      <c r="AW2391" t="s">
        <v>3079</v>
      </c>
    </row>
    <row r="2392" spans="1:50">
      <c r="A2392" s="1" t="s">
        <v>71</v>
      </c>
      <c r="B2392" t="s">
        <v>163</v>
      </c>
      <c r="C2392" t="s">
        <v>5602</v>
      </c>
      <c r="D2392" t="s">
        <v>188</v>
      </c>
      <c r="F2392" t="s">
        <v>6803</v>
      </c>
      <c r="G2392" t="s">
        <v>8945</v>
      </c>
      <c r="H2392" t="s">
        <v>10471</v>
      </c>
      <c r="I2392" t="s">
        <v>11391</v>
      </c>
      <c r="J2392" t="s">
        <v>1646</v>
      </c>
      <c r="K2392">
        <v>10304</v>
      </c>
      <c r="L2392" t="s">
        <v>1670</v>
      </c>
      <c r="M2392" t="s">
        <v>1672</v>
      </c>
      <c r="N2392" t="s">
        <v>12558</v>
      </c>
      <c r="O2392" t="s">
        <v>1940</v>
      </c>
      <c r="P2392" t="s">
        <v>1960</v>
      </c>
      <c r="R2392" t="s">
        <v>50</v>
      </c>
      <c r="S2392" t="s">
        <v>1671</v>
      </c>
      <c r="U2392" t="s">
        <v>1972</v>
      </c>
      <c r="V2392" t="s">
        <v>1984</v>
      </c>
      <c r="W2392" t="s">
        <v>188</v>
      </c>
      <c r="X2392">
        <v>2000</v>
      </c>
      <c r="Y2392" t="s">
        <v>2010</v>
      </c>
      <c r="Z2392" t="s">
        <v>2026</v>
      </c>
      <c r="AB2392" t="s">
        <v>14724</v>
      </c>
      <c r="AD2392" t="s">
        <v>17127</v>
      </c>
      <c r="AE2392">
        <v>5</v>
      </c>
      <c r="AF2392" t="s">
        <v>2903</v>
      </c>
      <c r="AG2392" t="s">
        <v>1754</v>
      </c>
      <c r="AH2392">
        <v>-1</v>
      </c>
      <c r="AI2392">
        <v>2</v>
      </c>
      <c r="AJ2392">
        <v>0</v>
      </c>
      <c r="AK2392">
        <v>129.15</v>
      </c>
      <c r="AN2392" t="s">
        <v>2926</v>
      </c>
      <c r="AO2392">
        <v>21840</v>
      </c>
      <c r="AU2392">
        <v>11.1</v>
      </c>
      <c r="AV2392" t="s">
        <v>346</v>
      </c>
      <c r="AW2392" t="s">
        <v>3050</v>
      </c>
      <c r="AX2392" t="s">
        <v>18685</v>
      </c>
    </row>
    <row r="2393" spans="1:50">
      <c r="A2393" s="1" t="s">
        <v>73</v>
      </c>
      <c r="B2393" t="s">
        <v>163</v>
      </c>
      <c r="C2393" t="s">
        <v>5603</v>
      </c>
      <c r="D2393" t="s">
        <v>295</v>
      </c>
      <c r="F2393" t="s">
        <v>7122</v>
      </c>
      <c r="G2393" t="s">
        <v>1008</v>
      </c>
      <c r="H2393" t="s">
        <v>1293</v>
      </c>
      <c r="I2393" t="s">
        <v>11392</v>
      </c>
      <c r="J2393" t="s">
        <v>1645</v>
      </c>
      <c r="K2393">
        <v>11691</v>
      </c>
      <c r="L2393" t="s">
        <v>1670</v>
      </c>
      <c r="M2393" t="s">
        <v>1670</v>
      </c>
      <c r="O2393" t="s">
        <v>1938</v>
      </c>
      <c r="P2393" t="s">
        <v>1962</v>
      </c>
      <c r="R2393" t="s">
        <v>50</v>
      </c>
      <c r="S2393" t="s">
        <v>1670</v>
      </c>
      <c r="U2393" t="s">
        <v>1972</v>
      </c>
      <c r="W2393" t="s">
        <v>295</v>
      </c>
      <c r="X2393">
        <v>637</v>
      </c>
      <c r="Y2393" t="s">
        <v>2007</v>
      </c>
      <c r="Z2393" t="s">
        <v>2014</v>
      </c>
      <c r="AB2393" t="s">
        <v>14725</v>
      </c>
      <c r="AD2393" t="s">
        <v>17128</v>
      </c>
      <c r="AE2393">
        <v>43</v>
      </c>
      <c r="AH2393">
        <v>30</v>
      </c>
      <c r="AI2393">
        <v>5</v>
      </c>
      <c r="AJ2393">
        <v>0</v>
      </c>
      <c r="AK2393">
        <v>129.27</v>
      </c>
      <c r="AN2393" t="s">
        <v>2926</v>
      </c>
      <c r="AO2393">
        <v>39000</v>
      </c>
      <c r="AU2393" t="s">
        <v>13051</v>
      </c>
      <c r="AW2393" t="s">
        <v>3073</v>
      </c>
    </row>
    <row r="2394" spans="1:50">
      <c r="A2394" s="1" t="s">
        <v>73</v>
      </c>
      <c r="B2394" t="s">
        <v>163</v>
      </c>
      <c r="C2394" t="s">
        <v>5604</v>
      </c>
      <c r="D2394" t="s">
        <v>295</v>
      </c>
      <c r="F2394" t="s">
        <v>7122</v>
      </c>
      <c r="G2394" t="s">
        <v>1008</v>
      </c>
      <c r="H2394" t="s">
        <v>1293</v>
      </c>
      <c r="I2394" t="s">
        <v>11392</v>
      </c>
      <c r="J2394" t="s">
        <v>1645</v>
      </c>
      <c r="K2394">
        <v>11691</v>
      </c>
      <c r="L2394" t="s">
        <v>1670</v>
      </c>
      <c r="M2394" t="s">
        <v>1670</v>
      </c>
      <c r="O2394" t="s">
        <v>1941</v>
      </c>
      <c r="P2394" t="s">
        <v>1962</v>
      </c>
      <c r="R2394" t="s">
        <v>50</v>
      </c>
      <c r="S2394" t="s">
        <v>1670</v>
      </c>
      <c r="U2394" t="s">
        <v>1972</v>
      </c>
      <c r="W2394" t="s">
        <v>295</v>
      </c>
      <c r="X2394">
        <v>637</v>
      </c>
      <c r="Y2394" t="s">
        <v>2007</v>
      </c>
      <c r="AB2394" t="s">
        <v>14725</v>
      </c>
      <c r="AD2394" t="s">
        <v>17128</v>
      </c>
      <c r="AE2394">
        <v>43</v>
      </c>
      <c r="AH2394">
        <v>30</v>
      </c>
      <c r="AI2394">
        <v>5</v>
      </c>
      <c r="AJ2394">
        <v>0</v>
      </c>
      <c r="AK2394">
        <v>129.27</v>
      </c>
      <c r="AN2394" t="s">
        <v>2926</v>
      </c>
      <c r="AO2394">
        <v>39000</v>
      </c>
      <c r="AU2394" t="s">
        <v>13051</v>
      </c>
      <c r="AW2394" t="s">
        <v>3073</v>
      </c>
    </row>
    <row r="2395" spans="1:50">
      <c r="A2395" s="1" t="s">
        <v>95</v>
      </c>
      <c r="B2395" t="s">
        <v>164</v>
      </c>
      <c r="C2395" t="s">
        <v>5605</v>
      </c>
      <c r="D2395" t="s">
        <v>339</v>
      </c>
      <c r="E2395" t="s">
        <v>220</v>
      </c>
      <c r="F2395" t="s">
        <v>7519</v>
      </c>
      <c r="G2395" t="s">
        <v>7644</v>
      </c>
      <c r="H2395" t="s">
        <v>10472</v>
      </c>
      <c r="I2395" t="s">
        <v>11126</v>
      </c>
      <c r="J2395" t="s">
        <v>1641</v>
      </c>
      <c r="K2395">
        <v>10468</v>
      </c>
      <c r="L2395" t="s">
        <v>1670</v>
      </c>
      <c r="M2395" t="s">
        <v>1670</v>
      </c>
      <c r="O2395" t="s">
        <v>1675</v>
      </c>
      <c r="P2395" t="s">
        <v>1958</v>
      </c>
      <c r="Q2395" t="s">
        <v>1965</v>
      </c>
      <c r="R2395" t="s">
        <v>50</v>
      </c>
      <c r="S2395" t="s">
        <v>1671</v>
      </c>
      <c r="U2395" t="s">
        <v>1972</v>
      </c>
      <c r="W2395" t="s">
        <v>339</v>
      </c>
      <c r="X2395">
        <v>1029</v>
      </c>
      <c r="Y2395" t="s">
        <v>2006</v>
      </c>
      <c r="Z2395" t="s">
        <v>2015</v>
      </c>
      <c r="AA2395" t="s">
        <v>2029</v>
      </c>
      <c r="AB2395" t="s">
        <v>14726</v>
      </c>
      <c r="AD2395" t="s">
        <v>15077</v>
      </c>
      <c r="AE2395" t="s">
        <v>13051</v>
      </c>
      <c r="AF2395" t="s">
        <v>2902</v>
      </c>
      <c r="AG2395" t="s">
        <v>1754</v>
      </c>
      <c r="AH2395">
        <v>40</v>
      </c>
      <c r="AI2395">
        <v>1</v>
      </c>
      <c r="AJ2395">
        <v>0</v>
      </c>
      <c r="AK2395">
        <v>129.51</v>
      </c>
      <c r="AN2395" t="s">
        <v>2926</v>
      </c>
      <c r="AO2395">
        <v>16176</v>
      </c>
      <c r="AU2395">
        <v>1.25</v>
      </c>
      <c r="AV2395" t="s">
        <v>339</v>
      </c>
      <c r="AW2395" t="s">
        <v>95</v>
      </c>
    </row>
    <row r="2396" spans="1:50">
      <c r="A2396" s="1" t="s">
        <v>61</v>
      </c>
      <c r="B2396" t="s">
        <v>163</v>
      </c>
      <c r="C2396" t="s">
        <v>5606</v>
      </c>
      <c r="D2396" t="s">
        <v>192</v>
      </c>
      <c r="F2396" t="s">
        <v>6946</v>
      </c>
      <c r="G2396" t="s">
        <v>8487</v>
      </c>
      <c r="H2396" t="s">
        <v>10473</v>
      </c>
      <c r="I2396" t="s">
        <v>1507</v>
      </c>
      <c r="J2396" t="s">
        <v>1644</v>
      </c>
      <c r="K2396">
        <v>11236</v>
      </c>
      <c r="L2396" t="s">
        <v>1670</v>
      </c>
      <c r="M2396" t="s">
        <v>1670</v>
      </c>
      <c r="O2396" t="s">
        <v>1943</v>
      </c>
      <c r="P2396" t="s">
        <v>1959</v>
      </c>
      <c r="R2396" t="s">
        <v>50</v>
      </c>
      <c r="S2396" t="s">
        <v>1671</v>
      </c>
      <c r="U2396" t="s">
        <v>1972</v>
      </c>
      <c r="W2396" t="s">
        <v>192</v>
      </c>
      <c r="X2396">
        <v>1289.69</v>
      </c>
      <c r="Y2396" t="s">
        <v>2009</v>
      </c>
      <c r="Z2396" t="s">
        <v>2020</v>
      </c>
      <c r="AB2396" t="s">
        <v>14727</v>
      </c>
      <c r="AC2396" t="s">
        <v>15275</v>
      </c>
      <c r="AD2396" t="s">
        <v>17129</v>
      </c>
      <c r="AE2396">
        <v>37</v>
      </c>
      <c r="AF2396" t="s">
        <v>2902</v>
      </c>
      <c r="AG2396" t="s">
        <v>2915</v>
      </c>
      <c r="AH2396">
        <v>5</v>
      </c>
      <c r="AI2396">
        <v>1</v>
      </c>
      <c r="AJ2396">
        <v>0</v>
      </c>
      <c r="AK2396">
        <v>129.93</v>
      </c>
      <c r="AN2396" t="s">
        <v>2926</v>
      </c>
      <c r="AO2396">
        <v>15774</v>
      </c>
      <c r="AR2396" t="s">
        <v>2985</v>
      </c>
      <c r="AS2396" t="s">
        <v>2992</v>
      </c>
      <c r="AT2396" t="s">
        <v>18594</v>
      </c>
      <c r="AU2396">
        <v>17.1</v>
      </c>
      <c r="AV2396" t="s">
        <v>365</v>
      </c>
      <c r="AW2396" t="s">
        <v>3049</v>
      </c>
    </row>
    <row r="2397" spans="1:50">
      <c r="A2397" s="1" t="s">
        <v>61</v>
      </c>
      <c r="B2397" t="s">
        <v>163</v>
      </c>
      <c r="C2397" t="s">
        <v>5607</v>
      </c>
      <c r="D2397" t="s">
        <v>192</v>
      </c>
      <c r="F2397" t="s">
        <v>6946</v>
      </c>
      <c r="G2397" t="s">
        <v>8487</v>
      </c>
      <c r="H2397" t="s">
        <v>10473</v>
      </c>
      <c r="I2397" t="s">
        <v>1507</v>
      </c>
      <c r="J2397" t="s">
        <v>1644</v>
      </c>
      <c r="K2397">
        <v>11236</v>
      </c>
      <c r="L2397" t="s">
        <v>1670</v>
      </c>
      <c r="M2397" t="s">
        <v>1670</v>
      </c>
      <c r="N2397" t="s">
        <v>12559</v>
      </c>
      <c r="O2397" t="s">
        <v>1956</v>
      </c>
      <c r="P2397" t="s">
        <v>1961</v>
      </c>
      <c r="R2397" t="s">
        <v>50</v>
      </c>
      <c r="S2397" t="s">
        <v>1671</v>
      </c>
      <c r="U2397" t="s">
        <v>1972</v>
      </c>
      <c r="W2397" t="s">
        <v>192</v>
      </c>
      <c r="X2397">
        <v>1289.69</v>
      </c>
      <c r="Y2397" t="s">
        <v>2009</v>
      </c>
      <c r="Z2397" t="s">
        <v>2020</v>
      </c>
      <c r="AB2397" t="s">
        <v>14727</v>
      </c>
      <c r="AC2397" t="s">
        <v>15275</v>
      </c>
      <c r="AD2397" t="s">
        <v>17129</v>
      </c>
      <c r="AE2397">
        <v>37</v>
      </c>
      <c r="AF2397" t="s">
        <v>2902</v>
      </c>
      <c r="AG2397" t="s">
        <v>2915</v>
      </c>
      <c r="AH2397">
        <v>5</v>
      </c>
      <c r="AI2397">
        <v>1</v>
      </c>
      <c r="AJ2397">
        <v>0</v>
      </c>
      <c r="AK2397">
        <v>129.93</v>
      </c>
      <c r="AN2397" t="s">
        <v>2926</v>
      </c>
      <c r="AO2397">
        <v>15774</v>
      </c>
      <c r="AU2397">
        <v>75.40000000000001</v>
      </c>
      <c r="AV2397" t="s">
        <v>397</v>
      </c>
      <c r="AW2397" t="s">
        <v>3049</v>
      </c>
    </row>
    <row r="2398" spans="1:50">
      <c r="A2398" s="1" t="s">
        <v>61</v>
      </c>
      <c r="B2398" t="s">
        <v>163</v>
      </c>
      <c r="C2398" t="s">
        <v>5608</v>
      </c>
      <c r="D2398" t="s">
        <v>291</v>
      </c>
      <c r="F2398" t="s">
        <v>724</v>
      </c>
      <c r="G2398" t="s">
        <v>7464</v>
      </c>
      <c r="H2398" t="s">
        <v>10474</v>
      </c>
      <c r="I2398" t="s">
        <v>1569</v>
      </c>
      <c r="J2398" t="s">
        <v>1644</v>
      </c>
      <c r="K2398">
        <v>11214</v>
      </c>
      <c r="L2398" t="s">
        <v>1670</v>
      </c>
      <c r="M2398" t="s">
        <v>1672</v>
      </c>
      <c r="N2398" t="s">
        <v>1754</v>
      </c>
      <c r="O2398" t="s">
        <v>1675</v>
      </c>
      <c r="P2398" t="s">
        <v>1960</v>
      </c>
      <c r="R2398" t="s">
        <v>50</v>
      </c>
      <c r="S2398" t="s">
        <v>1671</v>
      </c>
      <c r="U2398" t="s">
        <v>1972</v>
      </c>
      <c r="V2398" t="s">
        <v>1984</v>
      </c>
      <c r="W2398" t="s">
        <v>291</v>
      </c>
      <c r="X2398">
        <v>1997.8</v>
      </c>
      <c r="Y2398" t="s">
        <v>2009</v>
      </c>
      <c r="Z2398" t="s">
        <v>2015</v>
      </c>
      <c r="AB2398" t="s">
        <v>13926</v>
      </c>
      <c r="AD2398" t="s">
        <v>17130</v>
      </c>
      <c r="AE2398" t="s">
        <v>13051</v>
      </c>
      <c r="AF2398" t="s">
        <v>2902</v>
      </c>
      <c r="AH2398">
        <v>7</v>
      </c>
      <c r="AI2398">
        <v>2</v>
      </c>
      <c r="AJ2398">
        <v>0</v>
      </c>
      <c r="AK2398">
        <v>130.27</v>
      </c>
      <c r="AN2398" t="s">
        <v>2926</v>
      </c>
      <c r="AO2398">
        <v>22029.13</v>
      </c>
      <c r="AU2398">
        <v>2.6</v>
      </c>
      <c r="AV2398" t="s">
        <v>405</v>
      </c>
      <c r="AW2398" t="s">
        <v>158</v>
      </c>
    </row>
    <row r="2399" spans="1:50">
      <c r="A2399" s="1" t="s">
        <v>75</v>
      </c>
      <c r="B2399" t="s">
        <v>164</v>
      </c>
      <c r="C2399" t="s">
        <v>5609</v>
      </c>
      <c r="D2399" t="s">
        <v>259</v>
      </c>
      <c r="E2399" t="s">
        <v>253</v>
      </c>
      <c r="F2399" t="s">
        <v>7543</v>
      </c>
      <c r="G2399" t="s">
        <v>840</v>
      </c>
      <c r="H2399" t="s">
        <v>10475</v>
      </c>
      <c r="I2399">
        <v>407</v>
      </c>
      <c r="J2399" t="s">
        <v>1643</v>
      </c>
      <c r="K2399">
        <v>10029</v>
      </c>
      <c r="L2399" t="s">
        <v>1670</v>
      </c>
      <c r="M2399" t="s">
        <v>1670</v>
      </c>
      <c r="O2399" t="s">
        <v>1675</v>
      </c>
      <c r="P2399" t="s">
        <v>1958</v>
      </c>
      <c r="Q2399" t="s">
        <v>1965</v>
      </c>
      <c r="R2399" t="s">
        <v>50</v>
      </c>
      <c r="S2399" t="s">
        <v>1671</v>
      </c>
      <c r="U2399" t="s">
        <v>1972</v>
      </c>
      <c r="V2399" t="s">
        <v>1984</v>
      </c>
      <c r="W2399" t="s">
        <v>300</v>
      </c>
      <c r="X2399">
        <v>1412</v>
      </c>
      <c r="Y2399" t="s">
        <v>2008</v>
      </c>
      <c r="Z2399" t="s">
        <v>2026</v>
      </c>
      <c r="AA2399" t="s">
        <v>2029</v>
      </c>
      <c r="AB2399" t="s">
        <v>14728</v>
      </c>
      <c r="AD2399" t="s">
        <v>17131</v>
      </c>
      <c r="AE2399">
        <v>71</v>
      </c>
      <c r="AF2399" t="s">
        <v>2904</v>
      </c>
      <c r="AG2399" t="s">
        <v>2915</v>
      </c>
      <c r="AH2399">
        <v>20</v>
      </c>
      <c r="AI2399">
        <v>2</v>
      </c>
      <c r="AJ2399">
        <v>0</v>
      </c>
      <c r="AK2399">
        <v>130.57</v>
      </c>
      <c r="AN2399" t="s">
        <v>2927</v>
      </c>
      <c r="AO2399">
        <v>21492</v>
      </c>
      <c r="AU2399">
        <v>2.75</v>
      </c>
      <c r="AV2399" t="s">
        <v>358</v>
      </c>
      <c r="AW2399" t="s">
        <v>3084</v>
      </c>
    </row>
    <row r="2400" spans="1:50">
      <c r="A2400" s="1" t="s">
        <v>94</v>
      </c>
      <c r="B2400" t="s">
        <v>164</v>
      </c>
      <c r="C2400" t="s">
        <v>5610</v>
      </c>
      <c r="D2400" t="s">
        <v>247</v>
      </c>
      <c r="E2400" t="s">
        <v>356</v>
      </c>
      <c r="F2400" t="s">
        <v>6935</v>
      </c>
      <c r="G2400" t="s">
        <v>8946</v>
      </c>
      <c r="H2400" t="s">
        <v>9637</v>
      </c>
      <c r="I2400" t="s">
        <v>1487</v>
      </c>
      <c r="J2400" t="s">
        <v>1643</v>
      </c>
      <c r="K2400">
        <v>10033</v>
      </c>
      <c r="L2400" t="s">
        <v>1670</v>
      </c>
      <c r="M2400" t="s">
        <v>1670</v>
      </c>
      <c r="P2400" t="s">
        <v>1958</v>
      </c>
      <c r="Q2400" t="s">
        <v>1965</v>
      </c>
      <c r="R2400" t="s">
        <v>50</v>
      </c>
      <c r="S2400" t="s">
        <v>1671</v>
      </c>
      <c r="U2400" t="s">
        <v>1972</v>
      </c>
      <c r="W2400" t="s">
        <v>247</v>
      </c>
      <c r="X2400">
        <v>1519</v>
      </c>
      <c r="Y2400" t="s">
        <v>2008</v>
      </c>
      <c r="Z2400" t="s">
        <v>2028</v>
      </c>
      <c r="AA2400" t="s">
        <v>2029</v>
      </c>
      <c r="AB2400" t="s">
        <v>14729</v>
      </c>
      <c r="AD2400" t="s">
        <v>17132</v>
      </c>
      <c r="AE2400">
        <v>60</v>
      </c>
      <c r="AF2400" t="s">
        <v>2902</v>
      </c>
      <c r="AG2400" t="s">
        <v>1754</v>
      </c>
      <c r="AH2400">
        <v>10</v>
      </c>
      <c r="AI2400">
        <v>1</v>
      </c>
      <c r="AJ2400">
        <v>0</v>
      </c>
      <c r="AK2400">
        <v>130.68</v>
      </c>
      <c r="AN2400" t="s">
        <v>2926</v>
      </c>
      <c r="AO2400">
        <v>15864</v>
      </c>
      <c r="AU2400">
        <v>0.5</v>
      </c>
      <c r="AV2400" t="s">
        <v>356</v>
      </c>
      <c r="AW2400" t="s">
        <v>3042</v>
      </c>
    </row>
    <row r="2401" spans="1:50">
      <c r="A2401" s="1" t="s">
        <v>74</v>
      </c>
      <c r="B2401" t="s">
        <v>163</v>
      </c>
      <c r="C2401" t="s">
        <v>5611</v>
      </c>
      <c r="D2401" t="s">
        <v>306</v>
      </c>
      <c r="F2401" t="s">
        <v>7711</v>
      </c>
      <c r="G2401" t="s">
        <v>8947</v>
      </c>
      <c r="H2401" t="s">
        <v>1131</v>
      </c>
      <c r="I2401" t="s">
        <v>1490</v>
      </c>
      <c r="J2401" t="s">
        <v>1641</v>
      </c>
      <c r="K2401">
        <v>10460</v>
      </c>
      <c r="L2401" t="s">
        <v>1670</v>
      </c>
      <c r="M2401" t="s">
        <v>1670</v>
      </c>
      <c r="N2401" t="s">
        <v>1692</v>
      </c>
      <c r="O2401" t="s">
        <v>1939</v>
      </c>
      <c r="P2401" t="s">
        <v>1960</v>
      </c>
      <c r="R2401" t="s">
        <v>50</v>
      </c>
      <c r="S2401" t="s">
        <v>1670</v>
      </c>
      <c r="U2401" t="s">
        <v>1972</v>
      </c>
      <c r="W2401" t="s">
        <v>283</v>
      </c>
      <c r="X2401">
        <v>1796</v>
      </c>
      <c r="Y2401" t="s">
        <v>2006</v>
      </c>
      <c r="Z2401" t="s">
        <v>2015</v>
      </c>
      <c r="AB2401" t="s">
        <v>14730</v>
      </c>
      <c r="AE2401">
        <v>168</v>
      </c>
      <c r="AF2401" t="s">
        <v>2902</v>
      </c>
      <c r="AG2401" t="s">
        <v>2915</v>
      </c>
      <c r="AH2401">
        <v>23</v>
      </c>
      <c r="AI2401">
        <v>2</v>
      </c>
      <c r="AJ2401">
        <v>0</v>
      </c>
      <c r="AK2401">
        <v>130.86</v>
      </c>
      <c r="AN2401" t="s">
        <v>2926</v>
      </c>
      <c r="AO2401">
        <v>21540</v>
      </c>
      <c r="AU2401" t="s">
        <v>13051</v>
      </c>
      <c r="AW2401" t="s">
        <v>3046</v>
      </c>
    </row>
    <row r="2402" spans="1:50">
      <c r="A2402" s="1" t="s">
        <v>73</v>
      </c>
      <c r="B2402" t="s">
        <v>163</v>
      </c>
      <c r="C2402" t="s">
        <v>5612</v>
      </c>
      <c r="D2402" t="s">
        <v>224</v>
      </c>
      <c r="F2402" t="s">
        <v>521</v>
      </c>
      <c r="G2402" t="s">
        <v>8948</v>
      </c>
      <c r="H2402" t="s">
        <v>10476</v>
      </c>
      <c r="I2402" t="s">
        <v>1508</v>
      </c>
      <c r="J2402" t="s">
        <v>11739</v>
      </c>
      <c r="K2402">
        <v>11372</v>
      </c>
      <c r="L2402" t="s">
        <v>1670</v>
      </c>
      <c r="M2402" t="s">
        <v>1670</v>
      </c>
      <c r="N2402" t="s">
        <v>12560</v>
      </c>
      <c r="O2402" t="s">
        <v>1940</v>
      </c>
      <c r="P2402" t="s">
        <v>1960</v>
      </c>
      <c r="R2402" t="s">
        <v>50</v>
      </c>
      <c r="S2402" t="s">
        <v>1671</v>
      </c>
      <c r="U2402" t="s">
        <v>1972</v>
      </c>
      <c r="V2402" t="s">
        <v>1984</v>
      </c>
      <c r="W2402" t="s">
        <v>1990</v>
      </c>
      <c r="X2402">
        <v>1150</v>
      </c>
      <c r="Y2402" t="s">
        <v>2007</v>
      </c>
      <c r="Z2402" t="s">
        <v>2014</v>
      </c>
      <c r="AB2402" t="s">
        <v>13299</v>
      </c>
      <c r="AC2402" t="s">
        <v>15276</v>
      </c>
      <c r="AD2402" t="s">
        <v>17133</v>
      </c>
      <c r="AE2402">
        <v>101</v>
      </c>
      <c r="AF2402" t="s">
        <v>2902</v>
      </c>
      <c r="AG2402" t="s">
        <v>1754</v>
      </c>
      <c r="AH2402">
        <v>22</v>
      </c>
      <c r="AI2402">
        <v>3</v>
      </c>
      <c r="AJ2402">
        <v>0</v>
      </c>
      <c r="AK2402">
        <v>130.9</v>
      </c>
      <c r="AN2402" t="s">
        <v>2927</v>
      </c>
      <c r="AO2402">
        <v>27200</v>
      </c>
      <c r="AQ2402" t="s">
        <v>2976</v>
      </c>
      <c r="AR2402" t="s">
        <v>18480</v>
      </c>
      <c r="AS2402" t="s">
        <v>2992</v>
      </c>
      <c r="AT2402" t="s">
        <v>18595</v>
      </c>
      <c r="AU2402">
        <v>13.85</v>
      </c>
      <c r="AV2402" t="s">
        <v>199</v>
      </c>
      <c r="AW2402" t="s">
        <v>3044</v>
      </c>
    </row>
    <row r="2403" spans="1:50">
      <c r="A2403" s="1" t="s">
        <v>69</v>
      </c>
      <c r="B2403" t="s">
        <v>163</v>
      </c>
      <c r="C2403" t="s">
        <v>5613</v>
      </c>
      <c r="D2403" t="s">
        <v>255</v>
      </c>
      <c r="F2403" t="s">
        <v>419</v>
      </c>
      <c r="G2403" t="s">
        <v>777</v>
      </c>
      <c r="H2403" t="s">
        <v>10477</v>
      </c>
      <c r="I2403" t="s">
        <v>11393</v>
      </c>
      <c r="J2403" t="s">
        <v>1644</v>
      </c>
      <c r="K2403">
        <v>11231</v>
      </c>
      <c r="L2403" t="s">
        <v>1670</v>
      </c>
      <c r="M2403" t="s">
        <v>1670</v>
      </c>
      <c r="O2403" t="s">
        <v>1940</v>
      </c>
      <c r="P2403" t="s">
        <v>1958</v>
      </c>
      <c r="R2403" t="s">
        <v>50</v>
      </c>
      <c r="U2403" t="s">
        <v>1972</v>
      </c>
      <c r="W2403" t="s">
        <v>255</v>
      </c>
      <c r="X2403">
        <v>1150</v>
      </c>
      <c r="Y2403" t="s">
        <v>2009</v>
      </c>
      <c r="AB2403" t="s">
        <v>14731</v>
      </c>
      <c r="AD2403" t="s">
        <v>17134</v>
      </c>
      <c r="AE2403" t="s">
        <v>13051</v>
      </c>
      <c r="AF2403" t="s">
        <v>2903</v>
      </c>
      <c r="AG2403" t="s">
        <v>2915</v>
      </c>
      <c r="AH2403">
        <v>3</v>
      </c>
      <c r="AI2403">
        <v>3</v>
      </c>
      <c r="AJ2403">
        <v>0</v>
      </c>
      <c r="AK2403">
        <v>131.27</v>
      </c>
      <c r="AN2403" t="s">
        <v>2926</v>
      </c>
      <c r="AO2403">
        <v>28000</v>
      </c>
      <c r="AU2403">
        <v>1.2</v>
      </c>
      <c r="AV2403" t="s">
        <v>179</v>
      </c>
      <c r="AW2403" t="s">
        <v>69</v>
      </c>
    </row>
    <row r="2404" spans="1:50">
      <c r="A2404" s="1" t="s">
        <v>74</v>
      </c>
      <c r="B2404" t="s">
        <v>163</v>
      </c>
      <c r="C2404" t="s">
        <v>5614</v>
      </c>
      <c r="D2404" t="s">
        <v>407</v>
      </c>
      <c r="F2404" t="s">
        <v>7712</v>
      </c>
      <c r="G2404" t="s">
        <v>8510</v>
      </c>
      <c r="H2404" t="s">
        <v>10478</v>
      </c>
      <c r="I2404" t="s">
        <v>11394</v>
      </c>
      <c r="J2404" t="s">
        <v>1641</v>
      </c>
      <c r="K2404">
        <v>10452</v>
      </c>
      <c r="L2404" t="s">
        <v>1670</v>
      </c>
      <c r="M2404" t="s">
        <v>1672</v>
      </c>
      <c r="N2404" t="s">
        <v>12561</v>
      </c>
      <c r="O2404" t="s">
        <v>1936</v>
      </c>
      <c r="P2404" t="s">
        <v>1960</v>
      </c>
      <c r="R2404" t="s">
        <v>50</v>
      </c>
      <c r="S2404" t="s">
        <v>1671</v>
      </c>
      <c r="U2404" t="s">
        <v>1972</v>
      </c>
      <c r="V2404" t="s">
        <v>1984</v>
      </c>
      <c r="W2404" t="s">
        <v>1991</v>
      </c>
      <c r="X2404">
        <v>1396</v>
      </c>
      <c r="Y2404" t="s">
        <v>2006</v>
      </c>
      <c r="Z2404" t="s">
        <v>2020</v>
      </c>
      <c r="AB2404" t="s">
        <v>14732</v>
      </c>
      <c r="AD2404" t="s">
        <v>17135</v>
      </c>
      <c r="AE2404">
        <v>56</v>
      </c>
      <c r="AF2404" t="s">
        <v>2902</v>
      </c>
      <c r="AH2404">
        <v>26</v>
      </c>
      <c r="AI2404">
        <v>3</v>
      </c>
      <c r="AJ2404">
        <v>0</v>
      </c>
      <c r="AK2404">
        <v>131.38</v>
      </c>
      <c r="AN2404" t="s">
        <v>2927</v>
      </c>
      <c r="AO2404">
        <v>27300</v>
      </c>
      <c r="AP2404" t="s">
        <v>18345</v>
      </c>
      <c r="AR2404" t="s">
        <v>2988</v>
      </c>
      <c r="AS2404" t="s">
        <v>2992</v>
      </c>
      <c r="AT2404" t="s">
        <v>18566</v>
      </c>
      <c r="AU2404">
        <v>41.2</v>
      </c>
      <c r="AV2404" t="s">
        <v>333</v>
      </c>
      <c r="AW2404" t="s">
        <v>3043</v>
      </c>
      <c r="AX2404" t="s">
        <v>18685</v>
      </c>
    </row>
    <row r="2405" spans="1:50">
      <c r="A2405" s="1" t="s">
        <v>100</v>
      </c>
      <c r="B2405" t="s">
        <v>164</v>
      </c>
      <c r="C2405" t="s">
        <v>5615</v>
      </c>
      <c r="D2405" t="s">
        <v>187</v>
      </c>
      <c r="E2405" t="s">
        <v>187</v>
      </c>
      <c r="F2405" t="s">
        <v>7713</v>
      </c>
      <c r="G2405" t="s">
        <v>8949</v>
      </c>
      <c r="H2405" t="s">
        <v>10479</v>
      </c>
      <c r="I2405" t="s">
        <v>1520</v>
      </c>
      <c r="J2405" t="s">
        <v>1643</v>
      </c>
      <c r="K2405">
        <v>10034</v>
      </c>
      <c r="L2405" t="s">
        <v>1670</v>
      </c>
      <c r="M2405" t="s">
        <v>1670</v>
      </c>
      <c r="O2405" t="s">
        <v>12746</v>
      </c>
      <c r="P2405" t="s">
        <v>1960</v>
      </c>
      <c r="Q2405" t="s">
        <v>1969</v>
      </c>
      <c r="R2405" t="s">
        <v>50</v>
      </c>
      <c r="S2405" t="s">
        <v>1671</v>
      </c>
      <c r="U2405" t="s">
        <v>1972</v>
      </c>
      <c r="W2405" t="s">
        <v>187</v>
      </c>
      <c r="X2405">
        <v>1795</v>
      </c>
      <c r="Y2405" t="s">
        <v>2008</v>
      </c>
      <c r="Z2405" t="s">
        <v>2020</v>
      </c>
      <c r="AA2405" t="s">
        <v>2037</v>
      </c>
      <c r="AB2405" t="s">
        <v>14733</v>
      </c>
      <c r="AD2405" t="s">
        <v>17136</v>
      </c>
      <c r="AE2405">
        <v>44</v>
      </c>
      <c r="AF2405" t="s">
        <v>2902</v>
      </c>
      <c r="AG2405" t="s">
        <v>1754</v>
      </c>
      <c r="AH2405">
        <v>3</v>
      </c>
      <c r="AI2405">
        <v>1</v>
      </c>
      <c r="AJ2405">
        <v>0</v>
      </c>
      <c r="AK2405">
        <v>132.05</v>
      </c>
      <c r="AN2405" t="s">
        <v>2926</v>
      </c>
      <c r="AO2405">
        <v>16031</v>
      </c>
      <c r="AU2405">
        <v>0.1</v>
      </c>
      <c r="AV2405" t="s">
        <v>187</v>
      </c>
      <c r="AW2405" t="s">
        <v>3042</v>
      </c>
    </row>
    <row r="2406" spans="1:50">
      <c r="A2406" s="1" t="s">
        <v>100</v>
      </c>
      <c r="B2406" t="s">
        <v>164</v>
      </c>
      <c r="C2406" t="s">
        <v>5616</v>
      </c>
      <c r="D2406" t="s">
        <v>6206</v>
      </c>
      <c r="E2406" t="s">
        <v>187</v>
      </c>
      <c r="F2406" t="s">
        <v>7713</v>
      </c>
      <c r="G2406" t="s">
        <v>8949</v>
      </c>
      <c r="H2406" t="s">
        <v>10479</v>
      </c>
      <c r="I2406" t="s">
        <v>1603</v>
      </c>
      <c r="J2406" t="s">
        <v>1643</v>
      </c>
      <c r="K2406">
        <v>10034</v>
      </c>
      <c r="L2406" t="s">
        <v>1670</v>
      </c>
      <c r="M2406" t="s">
        <v>1670</v>
      </c>
      <c r="N2406" t="s">
        <v>12562</v>
      </c>
      <c r="O2406" t="s">
        <v>1940</v>
      </c>
      <c r="P2406" t="s">
        <v>1960</v>
      </c>
      <c r="Q2406" t="s">
        <v>13024</v>
      </c>
      <c r="R2406" t="s">
        <v>50</v>
      </c>
      <c r="S2406" t="s">
        <v>1671</v>
      </c>
      <c r="U2406" t="s">
        <v>1972</v>
      </c>
      <c r="W2406" t="s">
        <v>187</v>
      </c>
      <c r="X2406">
        <v>1795</v>
      </c>
      <c r="Y2406" t="s">
        <v>2008</v>
      </c>
      <c r="Z2406" t="s">
        <v>2020</v>
      </c>
      <c r="AA2406" t="s">
        <v>2037</v>
      </c>
      <c r="AB2406" t="s">
        <v>14733</v>
      </c>
      <c r="AD2406" t="s">
        <v>17136</v>
      </c>
      <c r="AE2406">
        <v>44</v>
      </c>
      <c r="AF2406" t="s">
        <v>2903</v>
      </c>
      <c r="AG2406" t="s">
        <v>1754</v>
      </c>
      <c r="AH2406">
        <v>3</v>
      </c>
      <c r="AI2406">
        <v>1</v>
      </c>
      <c r="AJ2406">
        <v>0</v>
      </c>
      <c r="AK2406">
        <v>132.05</v>
      </c>
      <c r="AN2406" t="s">
        <v>2926</v>
      </c>
      <c r="AO2406">
        <v>16031</v>
      </c>
      <c r="AU2406">
        <v>15.35</v>
      </c>
      <c r="AV2406" t="s">
        <v>309</v>
      </c>
      <c r="AW2406" t="s">
        <v>3042</v>
      </c>
    </row>
    <row r="2407" spans="1:50">
      <c r="A2407" s="1" t="s">
        <v>99</v>
      </c>
      <c r="B2407" t="s">
        <v>164</v>
      </c>
      <c r="C2407" t="s">
        <v>5617</v>
      </c>
      <c r="D2407" t="s">
        <v>218</v>
      </c>
      <c r="E2407" t="s">
        <v>218</v>
      </c>
      <c r="F2407" t="s">
        <v>6850</v>
      </c>
      <c r="G2407" t="s">
        <v>8950</v>
      </c>
      <c r="H2407" t="s">
        <v>10480</v>
      </c>
      <c r="I2407" t="s">
        <v>11395</v>
      </c>
      <c r="J2407" t="s">
        <v>1642</v>
      </c>
      <c r="K2407">
        <v>11364</v>
      </c>
      <c r="L2407" t="s">
        <v>1670</v>
      </c>
      <c r="M2407" t="s">
        <v>1670</v>
      </c>
      <c r="N2407" t="s">
        <v>1691</v>
      </c>
      <c r="O2407" t="s">
        <v>1675</v>
      </c>
      <c r="P2407" t="s">
        <v>1958</v>
      </c>
      <c r="Q2407" t="s">
        <v>1965</v>
      </c>
      <c r="R2407" t="s">
        <v>51</v>
      </c>
      <c r="S2407" t="s">
        <v>1671</v>
      </c>
      <c r="U2407" t="s">
        <v>1972</v>
      </c>
      <c r="V2407" t="s">
        <v>1984</v>
      </c>
      <c r="W2407" t="s">
        <v>218</v>
      </c>
      <c r="X2407">
        <v>2208.18</v>
      </c>
      <c r="Y2407" t="s">
        <v>2007</v>
      </c>
      <c r="Z2407" t="s">
        <v>2012</v>
      </c>
      <c r="AA2407" t="s">
        <v>2029</v>
      </c>
      <c r="AB2407" t="s">
        <v>14734</v>
      </c>
      <c r="AD2407" t="s">
        <v>17137</v>
      </c>
      <c r="AE2407">
        <v>224</v>
      </c>
      <c r="AF2407" t="s">
        <v>2902</v>
      </c>
      <c r="AG2407" t="s">
        <v>1754</v>
      </c>
      <c r="AH2407">
        <v>4</v>
      </c>
      <c r="AI2407">
        <v>1</v>
      </c>
      <c r="AJ2407">
        <v>0</v>
      </c>
      <c r="AK2407">
        <v>132.06</v>
      </c>
      <c r="AL2407" t="s">
        <v>2923</v>
      </c>
      <c r="AM2407" t="s">
        <v>2924</v>
      </c>
      <c r="AN2407" t="s">
        <v>2926</v>
      </c>
      <c r="AO2407">
        <v>16032</v>
      </c>
      <c r="AU2407">
        <v>1.15</v>
      </c>
      <c r="AV2407" t="s">
        <v>218</v>
      </c>
      <c r="AW2407" t="s">
        <v>99</v>
      </c>
    </row>
    <row r="2408" spans="1:50">
      <c r="A2408" s="1" t="s">
        <v>118</v>
      </c>
      <c r="B2408" t="s">
        <v>163</v>
      </c>
      <c r="C2408" t="s">
        <v>5618</v>
      </c>
      <c r="D2408" t="s">
        <v>383</v>
      </c>
      <c r="F2408" t="s">
        <v>544</v>
      </c>
      <c r="G2408" t="s">
        <v>8852</v>
      </c>
      <c r="H2408" t="s">
        <v>10294</v>
      </c>
      <c r="I2408" t="s">
        <v>1569</v>
      </c>
      <c r="J2408" t="s">
        <v>1641</v>
      </c>
      <c r="K2408">
        <v>10452</v>
      </c>
      <c r="L2408" t="s">
        <v>1670</v>
      </c>
      <c r="M2408" t="s">
        <v>1670</v>
      </c>
      <c r="O2408" t="s">
        <v>1675</v>
      </c>
      <c r="P2408" t="s">
        <v>1959</v>
      </c>
      <c r="R2408" t="s">
        <v>50</v>
      </c>
      <c r="S2408" t="s">
        <v>1670</v>
      </c>
      <c r="U2408" t="s">
        <v>1972</v>
      </c>
      <c r="V2408" t="s">
        <v>1984</v>
      </c>
      <c r="W2408" t="s">
        <v>1991</v>
      </c>
      <c r="X2408">
        <v>961</v>
      </c>
      <c r="Y2408" t="s">
        <v>2006</v>
      </c>
      <c r="Z2408" t="s">
        <v>2021</v>
      </c>
      <c r="AB2408" t="s">
        <v>14735</v>
      </c>
      <c r="AD2408" t="s">
        <v>17138</v>
      </c>
      <c r="AE2408">
        <v>60</v>
      </c>
      <c r="AF2408" t="s">
        <v>2902</v>
      </c>
      <c r="AG2408" t="s">
        <v>2919</v>
      </c>
      <c r="AH2408">
        <v>50</v>
      </c>
      <c r="AI2408">
        <v>2</v>
      </c>
      <c r="AJ2408">
        <v>0</v>
      </c>
      <c r="AK2408">
        <v>132.1</v>
      </c>
      <c r="AN2408" t="s">
        <v>2927</v>
      </c>
      <c r="AO2408">
        <v>21744</v>
      </c>
      <c r="AU2408">
        <v>0.3</v>
      </c>
      <c r="AV2408" t="s">
        <v>346</v>
      </c>
      <c r="AW2408" t="s">
        <v>3054</v>
      </c>
      <c r="AX2408" t="s">
        <v>18685</v>
      </c>
    </row>
    <row r="2409" spans="1:50">
      <c r="A2409" s="1" t="s">
        <v>101</v>
      </c>
      <c r="B2409" t="s">
        <v>163</v>
      </c>
      <c r="C2409" t="s">
        <v>5619</v>
      </c>
      <c r="D2409" t="s">
        <v>401</v>
      </c>
      <c r="F2409" t="s">
        <v>7714</v>
      </c>
      <c r="G2409" t="s">
        <v>8268</v>
      </c>
      <c r="H2409" t="s">
        <v>1199</v>
      </c>
      <c r="I2409">
        <v>709</v>
      </c>
      <c r="J2409" t="s">
        <v>1643</v>
      </c>
      <c r="K2409">
        <v>10029</v>
      </c>
      <c r="L2409" t="s">
        <v>1670</v>
      </c>
      <c r="M2409" t="s">
        <v>1672</v>
      </c>
      <c r="O2409" t="s">
        <v>1939</v>
      </c>
      <c r="P2409" t="s">
        <v>1960</v>
      </c>
      <c r="R2409" t="s">
        <v>50</v>
      </c>
      <c r="S2409" t="s">
        <v>1670</v>
      </c>
      <c r="U2409" t="s">
        <v>1972</v>
      </c>
      <c r="V2409" t="s">
        <v>1984</v>
      </c>
      <c r="W2409" t="s">
        <v>400</v>
      </c>
      <c r="X2409" t="s">
        <v>13051</v>
      </c>
      <c r="Y2409" t="s">
        <v>2008</v>
      </c>
      <c r="Z2409" t="s">
        <v>2020</v>
      </c>
      <c r="AB2409" t="s">
        <v>14736</v>
      </c>
      <c r="AD2409" t="s">
        <v>17139</v>
      </c>
      <c r="AE2409">
        <v>108</v>
      </c>
      <c r="AF2409" t="s">
        <v>2909</v>
      </c>
      <c r="AG2409" t="s">
        <v>2915</v>
      </c>
      <c r="AH2409">
        <v>32</v>
      </c>
      <c r="AI2409">
        <v>2</v>
      </c>
      <c r="AJ2409">
        <v>0</v>
      </c>
      <c r="AK2409">
        <v>132.42</v>
      </c>
      <c r="AN2409" t="s">
        <v>2927</v>
      </c>
      <c r="AO2409">
        <v>22392</v>
      </c>
      <c r="AU2409">
        <v>9.5</v>
      </c>
      <c r="AV2409" t="s">
        <v>388</v>
      </c>
      <c r="AW2409" t="s">
        <v>3051</v>
      </c>
      <c r="AX2409" t="s">
        <v>18685</v>
      </c>
    </row>
    <row r="2410" spans="1:50">
      <c r="A2410" s="1" t="s">
        <v>74</v>
      </c>
      <c r="B2410" t="s">
        <v>164</v>
      </c>
      <c r="C2410" t="s">
        <v>5620</v>
      </c>
      <c r="D2410" t="s">
        <v>6207</v>
      </c>
      <c r="E2410" t="s">
        <v>359</v>
      </c>
      <c r="F2410" t="s">
        <v>7715</v>
      </c>
      <c r="G2410" t="s">
        <v>8363</v>
      </c>
      <c r="H2410" t="s">
        <v>10481</v>
      </c>
      <c r="I2410" t="s">
        <v>1497</v>
      </c>
      <c r="J2410" t="s">
        <v>1641</v>
      </c>
      <c r="K2410">
        <v>10452</v>
      </c>
      <c r="L2410" t="s">
        <v>1670</v>
      </c>
      <c r="M2410" t="s">
        <v>1670</v>
      </c>
      <c r="N2410" t="s">
        <v>12563</v>
      </c>
      <c r="O2410" t="s">
        <v>1940</v>
      </c>
      <c r="P2410" t="s">
        <v>1958</v>
      </c>
      <c r="Q2410" t="s">
        <v>1965</v>
      </c>
      <c r="R2410" t="s">
        <v>50</v>
      </c>
      <c r="S2410" t="s">
        <v>1671</v>
      </c>
      <c r="U2410" t="s">
        <v>1972</v>
      </c>
      <c r="W2410" t="s">
        <v>216</v>
      </c>
      <c r="X2410">
        <v>865.22</v>
      </c>
      <c r="Y2410" t="s">
        <v>2006</v>
      </c>
      <c r="Z2410" t="s">
        <v>2015</v>
      </c>
      <c r="AA2410" t="s">
        <v>2029</v>
      </c>
      <c r="AB2410" t="s">
        <v>14737</v>
      </c>
      <c r="AD2410" t="s">
        <v>17140</v>
      </c>
      <c r="AE2410">
        <v>70</v>
      </c>
      <c r="AF2410" t="s">
        <v>2904</v>
      </c>
      <c r="AG2410" t="s">
        <v>1754</v>
      </c>
      <c r="AH2410">
        <v>35</v>
      </c>
      <c r="AI2410">
        <v>1</v>
      </c>
      <c r="AJ2410">
        <v>0</v>
      </c>
      <c r="AK2410">
        <v>132.72</v>
      </c>
      <c r="AN2410" t="s">
        <v>2927</v>
      </c>
      <c r="AO2410">
        <v>16112</v>
      </c>
      <c r="AU2410">
        <v>0.5</v>
      </c>
      <c r="AV2410" t="s">
        <v>6207</v>
      </c>
      <c r="AW2410" t="s">
        <v>3068</v>
      </c>
    </row>
    <row r="2411" spans="1:50">
      <c r="A2411" s="1" t="s">
        <v>70</v>
      </c>
      <c r="B2411" t="s">
        <v>164</v>
      </c>
      <c r="C2411" t="s">
        <v>5621</v>
      </c>
      <c r="D2411" t="s">
        <v>349</v>
      </c>
      <c r="E2411" t="s">
        <v>373</v>
      </c>
      <c r="F2411" t="s">
        <v>728</v>
      </c>
      <c r="G2411" t="s">
        <v>810</v>
      </c>
      <c r="H2411" t="s">
        <v>1126</v>
      </c>
      <c r="J2411" t="s">
        <v>1641</v>
      </c>
      <c r="K2411">
        <v>10452</v>
      </c>
      <c r="L2411" t="s">
        <v>1670</v>
      </c>
      <c r="M2411" t="s">
        <v>1670</v>
      </c>
      <c r="O2411" t="s">
        <v>1675</v>
      </c>
      <c r="P2411" t="s">
        <v>1958</v>
      </c>
      <c r="Q2411" t="s">
        <v>1965</v>
      </c>
      <c r="R2411" t="s">
        <v>50</v>
      </c>
      <c r="U2411" t="s">
        <v>1972</v>
      </c>
      <c r="W2411" t="s">
        <v>349</v>
      </c>
      <c r="X2411">
        <v>865</v>
      </c>
      <c r="Y2411" t="s">
        <v>2006</v>
      </c>
      <c r="Z2411" t="s">
        <v>2015</v>
      </c>
      <c r="AA2411" t="s">
        <v>2029</v>
      </c>
      <c r="AB2411" t="s">
        <v>14738</v>
      </c>
      <c r="AD2411" t="s">
        <v>17141</v>
      </c>
      <c r="AE2411">
        <v>26</v>
      </c>
      <c r="AF2411" t="s">
        <v>2902</v>
      </c>
      <c r="AG2411" t="s">
        <v>2915</v>
      </c>
      <c r="AH2411">
        <v>26</v>
      </c>
      <c r="AI2411">
        <v>1</v>
      </c>
      <c r="AJ2411">
        <v>0</v>
      </c>
      <c r="AK2411">
        <v>133.15</v>
      </c>
      <c r="AN2411" t="s">
        <v>2927</v>
      </c>
      <c r="AO2411">
        <v>16164</v>
      </c>
      <c r="AU2411">
        <v>0.1</v>
      </c>
      <c r="AV2411" t="s">
        <v>373</v>
      </c>
      <c r="AW2411" t="s">
        <v>3047</v>
      </c>
    </row>
    <row r="2412" spans="1:50">
      <c r="A2412" s="1" t="s">
        <v>107</v>
      </c>
      <c r="B2412" t="s">
        <v>163</v>
      </c>
      <c r="C2412" t="s">
        <v>5622</v>
      </c>
      <c r="D2412" t="s">
        <v>340</v>
      </c>
      <c r="F2412" t="s">
        <v>7473</v>
      </c>
      <c r="G2412" t="s">
        <v>8951</v>
      </c>
      <c r="H2412" t="s">
        <v>10482</v>
      </c>
      <c r="I2412" t="s">
        <v>1520</v>
      </c>
      <c r="J2412" t="s">
        <v>1644</v>
      </c>
      <c r="K2412">
        <v>11233</v>
      </c>
      <c r="L2412" t="s">
        <v>1670</v>
      </c>
      <c r="M2412" t="s">
        <v>1670</v>
      </c>
      <c r="N2412" t="s">
        <v>12564</v>
      </c>
      <c r="O2412" t="s">
        <v>1940</v>
      </c>
      <c r="P2412" t="s">
        <v>1960</v>
      </c>
      <c r="R2412" t="s">
        <v>50</v>
      </c>
      <c r="S2412" t="s">
        <v>1671</v>
      </c>
      <c r="U2412" t="s">
        <v>1972</v>
      </c>
      <c r="V2412" t="s">
        <v>1984</v>
      </c>
      <c r="W2412" t="s">
        <v>340</v>
      </c>
      <c r="X2412" t="s">
        <v>13051</v>
      </c>
      <c r="Y2412" t="s">
        <v>2009</v>
      </c>
      <c r="Z2412" t="s">
        <v>2014</v>
      </c>
      <c r="AB2412" t="s">
        <v>14739</v>
      </c>
      <c r="AD2412" t="s">
        <v>17142</v>
      </c>
      <c r="AE2412">
        <v>30</v>
      </c>
      <c r="AF2412" t="s">
        <v>2902</v>
      </c>
      <c r="AG2412" t="s">
        <v>2915</v>
      </c>
      <c r="AH2412">
        <v>6</v>
      </c>
      <c r="AI2412">
        <v>2</v>
      </c>
      <c r="AJ2412">
        <v>0</v>
      </c>
      <c r="AK2412">
        <v>133.29</v>
      </c>
      <c r="AN2412" t="s">
        <v>2926</v>
      </c>
      <c r="AO2412">
        <v>21939.36</v>
      </c>
      <c r="AU2412">
        <v>67.3</v>
      </c>
      <c r="AV2412" t="s">
        <v>268</v>
      </c>
      <c r="AW2412" t="s">
        <v>3063</v>
      </c>
    </row>
    <row r="2413" spans="1:50">
      <c r="A2413" s="1" t="s">
        <v>94</v>
      </c>
      <c r="B2413" t="s">
        <v>163</v>
      </c>
      <c r="C2413" t="s">
        <v>5623</v>
      </c>
      <c r="D2413" t="s">
        <v>340</v>
      </c>
      <c r="F2413" t="s">
        <v>6949</v>
      </c>
      <c r="G2413" t="s">
        <v>780</v>
      </c>
      <c r="H2413" t="s">
        <v>9426</v>
      </c>
      <c r="I2413" t="s">
        <v>1510</v>
      </c>
      <c r="J2413" t="s">
        <v>1643</v>
      </c>
      <c r="K2413">
        <v>10032</v>
      </c>
      <c r="L2413" t="s">
        <v>1670</v>
      </c>
      <c r="M2413" t="s">
        <v>1670</v>
      </c>
      <c r="O2413" t="s">
        <v>1936</v>
      </c>
      <c r="P2413" t="s">
        <v>1960</v>
      </c>
      <c r="R2413" t="s">
        <v>50</v>
      </c>
      <c r="S2413" t="s">
        <v>1671</v>
      </c>
      <c r="U2413" t="s">
        <v>1972</v>
      </c>
      <c r="W2413" t="s">
        <v>340</v>
      </c>
      <c r="X2413">
        <v>2450</v>
      </c>
      <c r="Y2413" t="s">
        <v>2008</v>
      </c>
      <c r="Z2413" t="s">
        <v>2014</v>
      </c>
      <c r="AB2413" t="s">
        <v>14740</v>
      </c>
      <c r="AD2413" t="s">
        <v>17143</v>
      </c>
      <c r="AE2413">
        <v>25</v>
      </c>
      <c r="AF2413" t="s">
        <v>2902</v>
      </c>
      <c r="AG2413" t="s">
        <v>1754</v>
      </c>
      <c r="AH2413">
        <v>2</v>
      </c>
      <c r="AI2413">
        <v>3</v>
      </c>
      <c r="AJ2413">
        <v>0</v>
      </c>
      <c r="AK2413">
        <v>133.4</v>
      </c>
      <c r="AN2413" t="s">
        <v>2927</v>
      </c>
      <c r="AO2413">
        <v>27720</v>
      </c>
      <c r="AU2413">
        <v>103.19</v>
      </c>
      <c r="AV2413" t="s">
        <v>346</v>
      </c>
      <c r="AW2413" t="s">
        <v>3042</v>
      </c>
    </row>
    <row r="2414" spans="1:50">
      <c r="A2414" s="1" t="s">
        <v>82</v>
      </c>
      <c r="B2414" t="s">
        <v>163</v>
      </c>
      <c r="C2414" t="s">
        <v>5624</v>
      </c>
      <c r="D2414" t="s">
        <v>294</v>
      </c>
      <c r="F2414" t="s">
        <v>658</v>
      </c>
      <c r="G2414" t="s">
        <v>8952</v>
      </c>
      <c r="H2414" t="s">
        <v>9420</v>
      </c>
      <c r="I2414" t="s">
        <v>11396</v>
      </c>
      <c r="J2414" t="s">
        <v>1644</v>
      </c>
      <c r="K2414">
        <v>11233</v>
      </c>
      <c r="L2414" t="s">
        <v>1670</v>
      </c>
      <c r="M2414" t="s">
        <v>1672</v>
      </c>
      <c r="O2414" t="s">
        <v>1937</v>
      </c>
      <c r="P2414" t="s">
        <v>1962</v>
      </c>
      <c r="R2414" t="s">
        <v>50</v>
      </c>
      <c r="S2414" t="s">
        <v>1670</v>
      </c>
      <c r="U2414" t="s">
        <v>1972</v>
      </c>
      <c r="V2414" t="s">
        <v>1984</v>
      </c>
      <c r="W2414" t="s">
        <v>221</v>
      </c>
      <c r="X2414">
        <v>841.4299999999999</v>
      </c>
      <c r="Y2414" t="s">
        <v>2009</v>
      </c>
      <c r="Z2414" t="s">
        <v>2021</v>
      </c>
      <c r="AB2414" t="s">
        <v>13723</v>
      </c>
      <c r="AD2414" t="s">
        <v>17144</v>
      </c>
      <c r="AE2414">
        <v>764</v>
      </c>
      <c r="AF2414" t="s">
        <v>2902</v>
      </c>
      <c r="AG2414" t="s">
        <v>2915</v>
      </c>
      <c r="AH2414">
        <v>31</v>
      </c>
      <c r="AI2414">
        <v>1</v>
      </c>
      <c r="AJ2414">
        <v>0</v>
      </c>
      <c r="AK2414">
        <v>133.64</v>
      </c>
      <c r="AN2414" t="s">
        <v>2926</v>
      </c>
      <c r="AO2414">
        <v>16692</v>
      </c>
      <c r="AP2414" t="s">
        <v>18346</v>
      </c>
      <c r="AU2414" t="s">
        <v>13051</v>
      </c>
      <c r="AW2414" t="s">
        <v>3059</v>
      </c>
    </row>
    <row r="2415" spans="1:50">
      <c r="A2415" s="1" t="s">
        <v>82</v>
      </c>
      <c r="B2415" t="s">
        <v>163</v>
      </c>
      <c r="C2415" t="s">
        <v>5625</v>
      </c>
      <c r="D2415" t="s">
        <v>2001</v>
      </c>
      <c r="F2415" t="s">
        <v>658</v>
      </c>
      <c r="G2415" t="s">
        <v>8952</v>
      </c>
      <c r="H2415" t="s">
        <v>9420</v>
      </c>
      <c r="I2415" t="s">
        <v>11396</v>
      </c>
      <c r="J2415" t="s">
        <v>1644</v>
      </c>
      <c r="K2415">
        <v>11233</v>
      </c>
      <c r="L2415" t="s">
        <v>1670</v>
      </c>
      <c r="M2415" t="s">
        <v>1670</v>
      </c>
      <c r="O2415" t="s">
        <v>1938</v>
      </c>
      <c r="P2415" t="s">
        <v>1959</v>
      </c>
      <c r="R2415" t="s">
        <v>50</v>
      </c>
      <c r="S2415" t="s">
        <v>1670</v>
      </c>
      <c r="U2415" t="s">
        <v>1972</v>
      </c>
      <c r="V2415" t="s">
        <v>1984</v>
      </c>
      <c r="W2415" t="s">
        <v>13037</v>
      </c>
      <c r="X2415">
        <v>841.4299999999999</v>
      </c>
      <c r="Y2415" t="s">
        <v>2009</v>
      </c>
      <c r="Z2415" t="s">
        <v>2021</v>
      </c>
      <c r="AB2415" t="s">
        <v>13723</v>
      </c>
      <c r="AC2415" t="s">
        <v>1754</v>
      </c>
      <c r="AD2415" t="s">
        <v>17144</v>
      </c>
      <c r="AE2415">
        <v>764</v>
      </c>
      <c r="AF2415" t="s">
        <v>2902</v>
      </c>
      <c r="AG2415" t="s">
        <v>2915</v>
      </c>
      <c r="AH2415">
        <v>31</v>
      </c>
      <c r="AI2415">
        <v>1</v>
      </c>
      <c r="AJ2415">
        <v>0</v>
      </c>
      <c r="AK2415">
        <v>133.64</v>
      </c>
      <c r="AN2415" t="s">
        <v>2926</v>
      </c>
      <c r="AO2415">
        <v>16692</v>
      </c>
      <c r="AU2415" t="s">
        <v>13051</v>
      </c>
      <c r="AW2415" t="s">
        <v>3060</v>
      </c>
    </row>
    <row r="2416" spans="1:50">
      <c r="A2416" s="1" t="s">
        <v>119</v>
      </c>
      <c r="B2416" t="s">
        <v>164</v>
      </c>
      <c r="C2416" t="s">
        <v>5626</v>
      </c>
      <c r="D2416" t="s">
        <v>225</v>
      </c>
      <c r="E2416" t="s">
        <v>191</v>
      </c>
      <c r="F2416" t="s">
        <v>473</v>
      </c>
      <c r="G2416" t="s">
        <v>945</v>
      </c>
      <c r="H2416" t="s">
        <v>10483</v>
      </c>
      <c r="I2416" t="s">
        <v>1484</v>
      </c>
      <c r="J2416" t="s">
        <v>1644</v>
      </c>
      <c r="K2416">
        <v>11233</v>
      </c>
      <c r="L2416" t="s">
        <v>1670</v>
      </c>
      <c r="M2416" t="s">
        <v>1670</v>
      </c>
      <c r="N2416" t="s">
        <v>12565</v>
      </c>
      <c r="O2416" t="s">
        <v>1936</v>
      </c>
      <c r="P2416" t="s">
        <v>1960</v>
      </c>
      <c r="Q2416" t="s">
        <v>1967</v>
      </c>
      <c r="R2416" t="s">
        <v>50</v>
      </c>
      <c r="U2416" t="s">
        <v>1972</v>
      </c>
      <c r="W2416" t="s">
        <v>266</v>
      </c>
      <c r="X2416">
        <v>997</v>
      </c>
      <c r="Y2416" t="s">
        <v>2009</v>
      </c>
      <c r="Z2416" t="s">
        <v>2015</v>
      </c>
      <c r="AA2416" t="s">
        <v>2032</v>
      </c>
      <c r="AB2416" t="s">
        <v>14741</v>
      </c>
      <c r="AD2416" t="s">
        <v>17145</v>
      </c>
      <c r="AE2416">
        <v>12</v>
      </c>
      <c r="AG2416" t="s">
        <v>2915</v>
      </c>
      <c r="AH2416">
        <v>20</v>
      </c>
      <c r="AI2416">
        <v>2</v>
      </c>
      <c r="AJ2416">
        <v>0</v>
      </c>
      <c r="AK2416">
        <v>133.95</v>
      </c>
      <c r="AN2416" t="s">
        <v>2926</v>
      </c>
      <c r="AO2416">
        <v>22048</v>
      </c>
      <c r="AU2416">
        <v>30</v>
      </c>
      <c r="AV2416" t="s">
        <v>249</v>
      </c>
      <c r="AW2416" t="s">
        <v>3069</v>
      </c>
    </row>
    <row r="2417" spans="1:50">
      <c r="A2417" s="1" t="s">
        <v>135</v>
      </c>
      <c r="B2417" t="s">
        <v>163</v>
      </c>
      <c r="C2417" t="s">
        <v>5627</v>
      </c>
      <c r="D2417" t="s">
        <v>263</v>
      </c>
      <c r="F2417" t="s">
        <v>7020</v>
      </c>
      <c r="G2417" t="s">
        <v>8953</v>
      </c>
      <c r="H2417" t="s">
        <v>10484</v>
      </c>
      <c r="J2417" t="s">
        <v>1644</v>
      </c>
      <c r="K2417">
        <v>11208</v>
      </c>
      <c r="L2417" t="s">
        <v>1670</v>
      </c>
      <c r="M2417" t="s">
        <v>1671</v>
      </c>
      <c r="N2417" t="s">
        <v>12566</v>
      </c>
      <c r="O2417" t="s">
        <v>1940</v>
      </c>
      <c r="P2417" t="s">
        <v>1962</v>
      </c>
      <c r="R2417" t="s">
        <v>50</v>
      </c>
      <c r="S2417" t="s">
        <v>1671</v>
      </c>
      <c r="U2417" t="s">
        <v>1972</v>
      </c>
      <c r="V2417" t="s">
        <v>1984</v>
      </c>
      <c r="W2417" t="s">
        <v>316</v>
      </c>
      <c r="X2417">
        <v>1574</v>
      </c>
      <c r="Y2417" t="s">
        <v>2009</v>
      </c>
      <c r="Z2417" t="s">
        <v>2017</v>
      </c>
      <c r="AB2417" t="s">
        <v>13173</v>
      </c>
      <c r="AC2417" t="s">
        <v>1754</v>
      </c>
      <c r="AD2417" t="s">
        <v>17146</v>
      </c>
      <c r="AE2417">
        <v>2</v>
      </c>
      <c r="AF2417" t="s">
        <v>2903</v>
      </c>
      <c r="AG2417" t="s">
        <v>1754</v>
      </c>
      <c r="AH2417">
        <v>15</v>
      </c>
      <c r="AI2417">
        <v>3</v>
      </c>
      <c r="AJ2417">
        <v>0</v>
      </c>
      <c r="AK2417">
        <v>134.08</v>
      </c>
      <c r="AN2417" t="s">
        <v>2926</v>
      </c>
      <c r="AO2417">
        <v>28600</v>
      </c>
      <c r="AU2417">
        <v>3.5</v>
      </c>
      <c r="AV2417" t="s">
        <v>316</v>
      </c>
      <c r="AW2417" t="s">
        <v>3059</v>
      </c>
      <c r="AX2417" t="s">
        <v>18685</v>
      </c>
    </row>
    <row r="2418" spans="1:50">
      <c r="A2418" s="1" t="s">
        <v>143</v>
      </c>
      <c r="B2418" t="s">
        <v>163</v>
      </c>
      <c r="C2418" t="s">
        <v>5628</v>
      </c>
      <c r="D2418" t="s">
        <v>326</v>
      </c>
      <c r="F2418" t="s">
        <v>7146</v>
      </c>
      <c r="G2418" t="s">
        <v>8954</v>
      </c>
      <c r="H2418" t="s">
        <v>10485</v>
      </c>
      <c r="I2418" t="s">
        <v>1575</v>
      </c>
      <c r="J2418" t="s">
        <v>1644</v>
      </c>
      <c r="K2418">
        <v>11221</v>
      </c>
      <c r="L2418" t="s">
        <v>1670</v>
      </c>
      <c r="M2418" t="s">
        <v>1670</v>
      </c>
      <c r="O2418" t="s">
        <v>1946</v>
      </c>
      <c r="P2418" t="s">
        <v>1960</v>
      </c>
      <c r="R2418" t="s">
        <v>50</v>
      </c>
      <c r="S2418" t="s">
        <v>1670</v>
      </c>
      <c r="U2418" t="s">
        <v>1972</v>
      </c>
      <c r="W2418" t="s">
        <v>13042</v>
      </c>
      <c r="X2418">
        <v>1292.5</v>
      </c>
      <c r="Y2418" t="s">
        <v>2009</v>
      </c>
      <c r="Z2418" t="s">
        <v>2017</v>
      </c>
      <c r="AB2418" t="s">
        <v>14742</v>
      </c>
      <c r="AD2418" t="s">
        <v>17147</v>
      </c>
      <c r="AE2418" t="s">
        <v>13051</v>
      </c>
      <c r="AG2418" t="s">
        <v>1754</v>
      </c>
      <c r="AH2418">
        <v>13</v>
      </c>
      <c r="AI2418">
        <v>3</v>
      </c>
      <c r="AJ2418">
        <v>0</v>
      </c>
      <c r="AK2418">
        <v>134.08</v>
      </c>
      <c r="AN2418" t="s">
        <v>2926</v>
      </c>
      <c r="AO2418">
        <v>28600</v>
      </c>
      <c r="AU2418">
        <v>16.2</v>
      </c>
      <c r="AV2418" t="s">
        <v>191</v>
      </c>
      <c r="AW2418" t="s">
        <v>3059</v>
      </c>
    </row>
    <row r="2419" spans="1:50">
      <c r="A2419" s="1" t="s">
        <v>105</v>
      </c>
      <c r="B2419" t="s">
        <v>163</v>
      </c>
      <c r="C2419" t="s">
        <v>5629</v>
      </c>
      <c r="D2419" t="s">
        <v>248</v>
      </c>
      <c r="F2419" t="s">
        <v>7716</v>
      </c>
      <c r="G2419" t="s">
        <v>1016</v>
      </c>
      <c r="H2419" t="s">
        <v>10486</v>
      </c>
      <c r="I2419" t="s">
        <v>1484</v>
      </c>
      <c r="J2419" t="s">
        <v>1641</v>
      </c>
      <c r="K2419">
        <v>10457</v>
      </c>
      <c r="L2419" t="s">
        <v>1670</v>
      </c>
      <c r="M2419" t="s">
        <v>1670</v>
      </c>
      <c r="N2419" t="s">
        <v>12567</v>
      </c>
      <c r="O2419" t="s">
        <v>1936</v>
      </c>
      <c r="P2419" t="s">
        <v>1960</v>
      </c>
      <c r="R2419" t="s">
        <v>50</v>
      </c>
      <c r="S2419" t="s">
        <v>1671</v>
      </c>
      <c r="U2419" t="s">
        <v>1972</v>
      </c>
      <c r="W2419" t="s">
        <v>248</v>
      </c>
      <c r="X2419">
        <v>3123.85</v>
      </c>
      <c r="Y2419" t="s">
        <v>2006</v>
      </c>
      <c r="AB2419" t="s">
        <v>14743</v>
      </c>
      <c r="AD2419" t="s">
        <v>17148</v>
      </c>
      <c r="AE2419">
        <v>20</v>
      </c>
      <c r="AG2419" t="s">
        <v>2920</v>
      </c>
      <c r="AH2419">
        <v>7</v>
      </c>
      <c r="AI2419">
        <v>2</v>
      </c>
      <c r="AJ2419">
        <v>0</v>
      </c>
      <c r="AK2419">
        <v>134.19</v>
      </c>
      <c r="AN2419" t="s">
        <v>2926</v>
      </c>
      <c r="AO2419">
        <v>22692</v>
      </c>
      <c r="AU2419">
        <v>26.4</v>
      </c>
      <c r="AV2419" t="s">
        <v>397</v>
      </c>
      <c r="AW2419" t="s">
        <v>3045</v>
      </c>
    </row>
    <row r="2420" spans="1:50">
      <c r="A2420" s="1" t="s">
        <v>91</v>
      </c>
      <c r="B2420" t="s">
        <v>163</v>
      </c>
      <c r="C2420" t="s">
        <v>5630</v>
      </c>
      <c r="D2420" t="s">
        <v>226</v>
      </c>
      <c r="F2420" t="s">
        <v>7717</v>
      </c>
      <c r="G2420" t="s">
        <v>8955</v>
      </c>
      <c r="H2420" t="s">
        <v>10487</v>
      </c>
      <c r="I2420">
        <v>41</v>
      </c>
      <c r="J2420" t="s">
        <v>1643</v>
      </c>
      <c r="K2420">
        <v>10033</v>
      </c>
      <c r="L2420" t="s">
        <v>1670</v>
      </c>
      <c r="M2420" t="s">
        <v>1670</v>
      </c>
      <c r="P2420" t="s">
        <v>1958</v>
      </c>
      <c r="R2420" t="s">
        <v>50</v>
      </c>
      <c r="S2420" t="s">
        <v>1671</v>
      </c>
      <c r="U2420" t="s">
        <v>1972</v>
      </c>
      <c r="W2420" t="s">
        <v>226</v>
      </c>
      <c r="X2420">
        <v>796.84</v>
      </c>
      <c r="Y2420" t="s">
        <v>2008</v>
      </c>
      <c r="Z2420" t="s">
        <v>2013</v>
      </c>
      <c r="AB2420" t="s">
        <v>14744</v>
      </c>
      <c r="AD2420" t="s">
        <v>17149</v>
      </c>
      <c r="AE2420">
        <v>25</v>
      </c>
      <c r="AF2420" t="s">
        <v>2902</v>
      </c>
      <c r="AG2420" t="s">
        <v>1754</v>
      </c>
      <c r="AH2420">
        <v>38</v>
      </c>
      <c r="AI2420">
        <v>1</v>
      </c>
      <c r="AJ2420">
        <v>0</v>
      </c>
      <c r="AK2420">
        <v>134.32</v>
      </c>
      <c r="AN2420" t="s">
        <v>2926</v>
      </c>
      <c r="AO2420">
        <v>16776</v>
      </c>
      <c r="AU2420">
        <v>3.1</v>
      </c>
      <c r="AV2420" t="s">
        <v>361</v>
      </c>
      <c r="AW2420" t="s">
        <v>3042</v>
      </c>
    </row>
    <row r="2421" spans="1:50">
      <c r="A2421" s="1" t="s">
        <v>115</v>
      </c>
      <c r="B2421" t="s">
        <v>164</v>
      </c>
      <c r="C2421" t="s">
        <v>5631</v>
      </c>
      <c r="D2421" t="s">
        <v>264</v>
      </c>
      <c r="E2421" t="s">
        <v>376</v>
      </c>
      <c r="F2421" t="s">
        <v>7718</v>
      </c>
      <c r="G2421" t="s">
        <v>8956</v>
      </c>
      <c r="H2421" t="s">
        <v>10488</v>
      </c>
      <c r="I2421" t="s">
        <v>11397</v>
      </c>
      <c r="J2421" t="s">
        <v>1641</v>
      </c>
      <c r="K2421">
        <v>10453</v>
      </c>
      <c r="L2421" t="s">
        <v>1670</v>
      </c>
      <c r="M2421" t="s">
        <v>1670</v>
      </c>
      <c r="O2421" t="s">
        <v>1675</v>
      </c>
      <c r="P2421" t="s">
        <v>1958</v>
      </c>
      <c r="Q2421" t="s">
        <v>1965</v>
      </c>
      <c r="R2421" t="s">
        <v>50</v>
      </c>
      <c r="S2421" t="s">
        <v>1671</v>
      </c>
      <c r="U2421" t="s">
        <v>1972</v>
      </c>
      <c r="W2421" t="s">
        <v>264</v>
      </c>
      <c r="X2421">
        <v>621.6900000000001</v>
      </c>
      <c r="Y2421" t="s">
        <v>2006</v>
      </c>
      <c r="Z2421" t="s">
        <v>2013</v>
      </c>
      <c r="AA2421" t="s">
        <v>2029</v>
      </c>
      <c r="AB2421" t="s">
        <v>13651</v>
      </c>
      <c r="AD2421" t="s">
        <v>17150</v>
      </c>
      <c r="AE2421">
        <v>49</v>
      </c>
      <c r="AF2421" t="s">
        <v>2902</v>
      </c>
      <c r="AG2421" t="s">
        <v>2919</v>
      </c>
      <c r="AH2421">
        <v>41</v>
      </c>
      <c r="AI2421">
        <v>2</v>
      </c>
      <c r="AJ2421">
        <v>0</v>
      </c>
      <c r="AK2421">
        <v>134.87</v>
      </c>
      <c r="AN2421" t="s">
        <v>2927</v>
      </c>
      <c r="AO2421">
        <v>22200</v>
      </c>
      <c r="AU2421">
        <v>2</v>
      </c>
      <c r="AV2421" t="s">
        <v>376</v>
      </c>
      <c r="AW2421" t="s">
        <v>115</v>
      </c>
    </row>
    <row r="2422" spans="1:50">
      <c r="A2422" s="1" t="s">
        <v>94</v>
      </c>
      <c r="B2422" t="s">
        <v>164</v>
      </c>
      <c r="C2422" t="s">
        <v>5632</v>
      </c>
      <c r="D2422" t="s">
        <v>211</v>
      </c>
      <c r="E2422" t="s">
        <v>211</v>
      </c>
      <c r="F2422" t="s">
        <v>7141</v>
      </c>
      <c r="G2422" t="s">
        <v>873</v>
      </c>
      <c r="H2422" t="s">
        <v>1244</v>
      </c>
      <c r="I2422">
        <v>31</v>
      </c>
      <c r="J2422" t="s">
        <v>1643</v>
      </c>
      <c r="K2422">
        <v>10034</v>
      </c>
      <c r="L2422" t="s">
        <v>1670</v>
      </c>
      <c r="M2422" t="s">
        <v>1670</v>
      </c>
      <c r="O2422" t="s">
        <v>1941</v>
      </c>
      <c r="P2422" t="s">
        <v>1958</v>
      </c>
      <c r="Q2422" t="s">
        <v>1965</v>
      </c>
      <c r="R2422" t="s">
        <v>50</v>
      </c>
      <c r="S2422" t="s">
        <v>1671</v>
      </c>
      <c r="U2422" t="s">
        <v>1972</v>
      </c>
      <c r="W2422" t="s">
        <v>211</v>
      </c>
      <c r="X2422">
        <v>1013.58</v>
      </c>
      <c r="Y2422" t="s">
        <v>2008</v>
      </c>
      <c r="Z2422" t="s">
        <v>2013</v>
      </c>
      <c r="AA2422" t="s">
        <v>2029</v>
      </c>
      <c r="AB2422" t="s">
        <v>14595</v>
      </c>
      <c r="AD2422" t="s">
        <v>17004</v>
      </c>
      <c r="AE2422">
        <v>25</v>
      </c>
      <c r="AF2422" t="s">
        <v>2902</v>
      </c>
      <c r="AG2422" t="s">
        <v>2915</v>
      </c>
      <c r="AH2422">
        <v>50</v>
      </c>
      <c r="AI2422">
        <v>2</v>
      </c>
      <c r="AJ2422">
        <v>0</v>
      </c>
      <c r="AK2422">
        <v>135.24</v>
      </c>
      <c r="AN2422" t="s">
        <v>2927</v>
      </c>
      <c r="AO2422">
        <v>22260</v>
      </c>
      <c r="AU2422">
        <v>1</v>
      </c>
      <c r="AV2422" t="s">
        <v>211</v>
      </c>
      <c r="AW2422" t="s">
        <v>3042</v>
      </c>
    </row>
    <row r="2423" spans="1:50">
      <c r="A2423" s="1" t="s">
        <v>74</v>
      </c>
      <c r="B2423" t="s">
        <v>164</v>
      </c>
      <c r="C2423" t="s">
        <v>5633</v>
      </c>
      <c r="D2423" t="s">
        <v>370</v>
      </c>
      <c r="E2423" t="s">
        <v>2005</v>
      </c>
      <c r="F2423" t="s">
        <v>7719</v>
      </c>
      <c r="G2423" t="s">
        <v>8957</v>
      </c>
      <c r="H2423" t="s">
        <v>10489</v>
      </c>
      <c r="I2423" t="s">
        <v>11398</v>
      </c>
      <c r="J2423" t="s">
        <v>1641</v>
      </c>
      <c r="K2423">
        <v>10453</v>
      </c>
      <c r="L2423" t="s">
        <v>1670</v>
      </c>
      <c r="M2423" t="s">
        <v>1670</v>
      </c>
      <c r="N2423" t="s">
        <v>12568</v>
      </c>
      <c r="O2423" t="s">
        <v>1936</v>
      </c>
      <c r="P2423" t="s">
        <v>1962</v>
      </c>
      <c r="Q2423" t="s">
        <v>1968</v>
      </c>
      <c r="R2423" t="s">
        <v>50</v>
      </c>
      <c r="S2423" t="s">
        <v>1671</v>
      </c>
      <c r="U2423" t="s">
        <v>1972</v>
      </c>
      <c r="W2423" t="s">
        <v>1992</v>
      </c>
      <c r="X2423">
        <v>512.0599999999999</v>
      </c>
      <c r="Y2423" t="s">
        <v>2006</v>
      </c>
      <c r="Z2423" t="s">
        <v>2023</v>
      </c>
      <c r="AA2423" t="s">
        <v>2029</v>
      </c>
      <c r="AB2423" t="s">
        <v>14745</v>
      </c>
      <c r="AD2423" t="s">
        <v>17151</v>
      </c>
      <c r="AE2423">
        <v>53</v>
      </c>
      <c r="AF2423" t="s">
        <v>2904</v>
      </c>
      <c r="AG2423" t="s">
        <v>1754</v>
      </c>
      <c r="AH2423">
        <v>7</v>
      </c>
      <c r="AI2423">
        <v>2</v>
      </c>
      <c r="AJ2423">
        <v>0</v>
      </c>
      <c r="AK2423">
        <v>135.53</v>
      </c>
      <c r="AN2423" t="s">
        <v>2926</v>
      </c>
      <c r="AO2423">
        <v>22308</v>
      </c>
      <c r="AU2423">
        <v>5.15</v>
      </c>
      <c r="AV2423" t="s">
        <v>264</v>
      </c>
      <c r="AW2423" t="s">
        <v>3041</v>
      </c>
    </row>
    <row r="2424" spans="1:50">
      <c r="A2424" s="1" t="s">
        <v>124</v>
      </c>
      <c r="B2424" t="s">
        <v>163</v>
      </c>
      <c r="C2424" t="s">
        <v>5634</v>
      </c>
      <c r="D2424" t="s">
        <v>198</v>
      </c>
      <c r="F2424" t="s">
        <v>7720</v>
      </c>
      <c r="G2424" t="s">
        <v>981</v>
      </c>
      <c r="H2424" t="s">
        <v>10490</v>
      </c>
      <c r="I2424" t="s">
        <v>11399</v>
      </c>
      <c r="J2424" t="s">
        <v>1644</v>
      </c>
      <c r="K2424">
        <v>11220</v>
      </c>
      <c r="L2424" t="s">
        <v>1670</v>
      </c>
      <c r="M2424" t="s">
        <v>1670</v>
      </c>
      <c r="O2424" t="s">
        <v>1940</v>
      </c>
      <c r="P2424" t="s">
        <v>1963</v>
      </c>
      <c r="R2424" t="s">
        <v>50</v>
      </c>
      <c r="U2424" t="s">
        <v>1972</v>
      </c>
      <c r="W2424" t="s">
        <v>198</v>
      </c>
      <c r="X2424">
        <v>995</v>
      </c>
      <c r="Y2424" t="s">
        <v>2009</v>
      </c>
      <c r="AB2424" t="s">
        <v>14746</v>
      </c>
      <c r="AE2424" t="s">
        <v>13051</v>
      </c>
      <c r="AF2424" t="s">
        <v>2902</v>
      </c>
      <c r="AH2424">
        <v>25</v>
      </c>
      <c r="AI2424">
        <v>3</v>
      </c>
      <c r="AJ2424">
        <v>0</v>
      </c>
      <c r="AK2424">
        <v>135.96</v>
      </c>
      <c r="AN2424" t="s">
        <v>2926</v>
      </c>
      <c r="AO2424">
        <v>29000</v>
      </c>
      <c r="AU2424">
        <v>5.5</v>
      </c>
      <c r="AV2424" t="s">
        <v>357</v>
      </c>
      <c r="AW2424" t="s">
        <v>69</v>
      </c>
    </row>
    <row r="2425" spans="1:50">
      <c r="A2425" s="1" t="s">
        <v>124</v>
      </c>
      <c r="B2425" t="s">
        <v>163</v>
      </c>
      <c r="C2425" t="s">
        <v>5635</v>
      </c>
      <c r="D2425" t="s">
        <v>198</v>
      </c>
      <c r="F2425" t="s">
        <v>7720</v>
      </c>
      <c r="G2425" t="s">
        <v>981</v>
      </c>
      <c r="H2425" t="s">
        <v>10490</v>
      </c>
      <c r="I2425" t="s">
        <v>11399</v>
      </c>
      <c r="J2425" t="s">
        <v>1644</v>
      </c>
      <c r="K2425">
        <v>11220</v>
      </c>
      <c r="L2425" t="s">
        <v>1670</v>
      </c>
      <c r="M2425" t="s">
        <v>1670</v>
      </c>
      <c r="O2425" t="s">
        <v>1939</v>
      </c>
      <c r="P2425" t="s">
        <v>1960</v>
      </c>
      <c r="R2425" t="s">
        <v>50</v>
      </c>
      <c r="U2425" t="s">
        <v>1972</v>
      </c>
      <c r="W2425" t="s">
        <v>198</v>
      </c>
      <c r="X2425">
        <v>995</v>
      </c>
      <c r="Y2425" t="s">
        <v>2009</v>
      </c>
      <c r="AB2425" t="s">
        <v>14746</v>
      </c>
      <c r="AE2425" t="s">
        <v>13051</v>
      </c>
      <c r="AF2425" t="s">
        <v>2902</v>
      </c>
      <c r="AH2425">
        <v>25</v>
      </c>
      <c r="AI2425">
        <v>3</v>
      </c>
      <c r="AJ2425">
        <v>0</v>
      </c>
      <c r="AK2425">
        <v>135.96</v>
      </c>
      <c r="AN2425" t="s">
        <v>2926</v>
      </c>
      <c r="AO2425">
        <v>29000</v>
      </c>
      <c r="AU2425">
        <v>3.9</v>
      </c>
      <c r="AV2425" t="s">
        <v>389</v>
      </c>
      <c r="AW2425" t="s">
        <v>69</v>
      </c>
    </row>
    <row r="2426" spans="1:50">
      <c r="A2426" s="1" t="s">
        <v>101</v>
      </c>
      <c r="B2426" t="s">
        <v>163</v>
      </c>
      <c r="C2426" t="s">
        <v>5636</v>
      </c>
      <c r="D2426" t="s">
        <v>293</v>
      </c>
      <c r="F2426" t="s">
        <v>7721</v>
      </c>
      <c r="G2426" t="s">
        <v>8958</v>
      </c>
      <c r="H2426" t="s">
        <v>9879</v>
      </c>
      <c r="I2426" t="s">
        <v>1540</v>
      </c>
      <c r="J2426" t="s">
        <v>1643</v>
      </c>
      <c r="K2426">
        <v>10031</v>
      </c>
      <c r="L2426" t="s">
        <v>1670</v>
      </c>
      <c r="M2426" t="s">
        <v>1670</v>
      </c>
      <c r="O2426" t="s">
        <v>1675</v>
      </c>
      <c r="P2426" t="s">
        <v>1962</v>
      </c>
      <c r="R2426" t="s">
        <v>50</v>
      </c>
      <c r="S2426" t="s">
        <v>1670</v>
      </c>
      <c r="U2426" t="s">
        <v>1972</v>
      </c>
      <c r="V2426" t="s">
        <v>1984</v>
      </c>
      <c r="W2426" t="s">
        <v>186</v>
      </c>
      <c r="X2426">
        <v>2100</v>
      </c>
      <c r="Y2426" t="s">
        <v>2008</v>
      </c>
      <c r="Z2426" t="s">
        <v>2019</v>
      </c>
      <c r="AB2426" t="s">
        <v>14747</v>
      </c>
      <c r="AD2426" t="s">
        <v>17152</v>
      </c>
      <c r="AE2426">
        <v>44</v>
      </c>
      <c r="AF2426" t="s">
        <v>2902</v>
      </c>
      <c r="AG2426" t="s">
        <v>2915</v>
      </c>
      <c r="AH2426">
        <v>40</v>
      </c>
      <c r="AI2426">
        <v>2</v>
      </c>
      <c r="AJ2426">
        <v>0</v>
      </c>
      <c r="AK2426">
        <v>136.01</v>
      </c>
      <c r="AN2426" t="s">
        <v>2926</v>
      </c>
      <c r="AO2426">
        <v>23000</v>
      </c>
      <c r="AU2426">
        <v>0.25</v>
      </c>
      <c r="AV2426" t="s">
        <v>388</v>
      </c>
      <c r="AW2426" t="s">
        <v>3051</v>
      </c>
    </row>
    <row r="2427" spans="1:50">
      <c r="A2427" s="1" t="s">
        <v>115</v>
      </c>
      <c r="B2427" t="s">
        <v>163</v>
      </c>
      <c r="C2427" t="s">
        <v>5637</v>
      </c>
      <c r="D2427" t="s">
        <v>328</v>
      </c>
      <c r="F2427" t="s">
        <v>7722</v>
      </c>
      <c r="G2427" t="s">
        <v>965</v>
      </c>
      <c r="H2427" t="s">
        <v>10491</v>
      </c>
      <c r="I2427" t="s">
        <v>1569</v>
      </c>
      <c r="J2427" t="s">
        <v>1641</v>
      </c>
      <c r="K2427">
        <v>10454</v>
      </c>
      <c r="L2427" t="s">
        <v>1670</v>
      </c>
      <c r="M2427" t="s">
        <v>1672</v>
      </c>
      <c r="N2427" t="s">
        <v>1691</v>
      </c>
      <c r="O2427" t="s">
        <v>1675</v>
      </c>
      <c r="P2427" t="s">
        <v>1958</v>
      </c>
      <c r="R2427" t="s">
        <v>50</v>
      </c>
      <c r="S2427" t="s">
        <v>1671</v>
      </c>
      <c r="U2427" t="s">
        <v>1972</v>
      </c>
      <c r="W2427" t="s">
        <v>328</v>
      </c>
      <c r="X2427">
        <v>1880.95</v>
      </c>
      <c r="Y2427" t="s">
        <v>2006</v>
      </c>
      <c r="Z2427" t="s">
        <v>2015</v>
      </c>
      <c r="AB2427" t="s">
        <v>14748</v>
      </c>
      <c r="AE2427">
        <v>20</v>
      </c>
      <c r="AF2427" t="s">
        <v>2902</v>
      </c>
      <c r="AH2427">
        <v>23</v>
      </c>
      <c r="AI2427">
        <v>3</v>
      </c>
      <c r="AJ2427">
        <v>0</v>
      </c>
      <c r="AK2427">
        <v>136.26</v>
      </c>
      <c r="AN2427" t="s">
        <v>2927</v>
      </c>
      <c r="AO2427">
        <v>29064</v>
      </c>
      <c r="AU2427">
        <v>2</v>
      </c>
      <c r="AV2427" t="s">
        <v>328</v>
      </c>
      <c r="AW2427" t="s">
        <v>115</v>
      </c>
      <c r="AX2427" t="s">
        <v>18685</v>
      </c>
    </row>
    <row r="2428" spans="1:50">
      <c r="A2428" s="1" t="s">
        <v>93</v>
      </c>
      <c r="B2428" t="s">
        <v>163</v>
      </c>
      <c r="C2428" t="s">
        <v>5638</v>
      </c>
      <c r="D2428" t="s">
        <v>2002</v>
      </c>
      <c r="F2428" t="s">
        <v>7723</v>
      </c>
      <c r="G2428" t="s">
        <v>8959</v>
      </c>
      <c r="H2428" t="s">
        <v>10492</v>
      </c>
      <c r="I2428" t="s">
        <v>1486</v>
      </c>
      <c r="J2428" t="s">
        <v>1645</v>
      </c>
      <c r="K2428">
        <v>11691</v>
      </c>
      <c r="L2428" t="s">
        <v>1670</v>
      </c>
      <c r="M2428" t="s">
        <v>1670</v>
      </c>
      <c r="N2428" t="s">
        <v>12569</v>
      </c>
      <c r="O2428" t="s">
        <v>1936</v>
      </c>
      <c r="P2428" t="s">
        <v>1958</v>
      </c>
      <c r="R2428" t="s">
        <v>50</v>
      </c>
      <c r="S2428" t="s">
        <v>1671</v>
      </c>
      <c r="T2428" t="s">
        <v>50</v>
      </c>
      <c r="U2428" t="s">
        <v>1972</v>
      </c>
      <c r="V2428" t="s">
        <v>1984</v>
      </c>
      <c r="W2428" t="s">
        <v>2002</v>
      </c>
      <c r="X2428">
        <v>1461</v>
      </c>
      <c r="Y2428" t="s">
        <v>2007</v>
      </c>
      <c r="Z2428" t="s">
        <v>2014</v>
      </c>
      <c r="AB2428" t="s">
        <v>14749</v>
      </c>
      <c r="AC2428" t="s">
        <v>15277</v>
      </c>
      <c r="AD2428" t="s">
        <v>17153</v>
      </c>
      <c r="AE2428">
        <v>60</v>
      </c>
      <c r="AF2428" t="s">
        <v>2902</v>
      </c>
      <c r="AG2428" t="s">
        <v>1754</v>
      </c>
      <c r="AH2428">
        <v>6</v>
      </c>
      <c r="AI2428">
        <v>3</v>
      </c>
      <c r="AJ2428">
        <v>0</v>
      </c>
      <c r="AK2428">
        <v>136.63</v>
      </c>
      <c r="AN2428" t="s">
        <v>2926</v>
      </c>
      <c r="AO2428">
        <v>28392</v>
      </c>
      <c r="AU2428">
        <v>1.2</v>
      </c>
      <c r="AV2428" t="s">
        <v>244</v>
      </c>
      <c r="AW2428" t="s">
        <v>89</v>
      </c>
    </row>
    <row r="2429" spans="1:50">
      <c r="A2429" s="1" t="s">
        <v>63</v>
      </c>
      <c r="B2429" t="s">
        <v>163</v>
      </c>
      <c r="C2429" t="s">
        <v>5639</v>
      </c>
      <c r="D2429" t="s">
        <v>167</v>
      </c>
      <c r="F2429" t="s">
        <v>7724</v>
      </c>
      <c r="G2429" t="s">
        <v>8488</v>
      </c>
      <c r="H2429" t="s">
        <v>10493</v>
      </c>
      <c r="I2429" t="s">
        <v>1489</v>
      </c>
      <c r="J2429" t="s">
        <v>1641</v>
      </c>
      <c r="K2429">
        <v>10459</v>
      </c>
      <c r="L2429" t="s">
        <v>1670</v>
      </c>
      <c r="M2429" t="s">
        <v>1670</v>
      </c>
      <c r="N2429" t="s">
        <v>12570</v>
      </c>
      <c r="O2429" t="s">
        <v>1940</v>
      </c>
      <c r="P2429" t="s">
        <v>1960</v>
      </c>
      <c r="R2429" t="s">
        <v>50</v>
      </c>
      <c r="S2429" t="s">
        <v>1671</v>
      </c>
      <c r="U2429" t="s">
        <v>1972</v>
      </c>
      <c r="V2429" t="s">
        <v>1984</v>
      </c>
      <c r="W2429" t="s">
        <v>167</v>
      </c>
      <c r="X2429">
        <v>1477</v>
      </c>
      <c r="Y2429" t="s">
        <v>2006</v>
      </c>
      <c r="Z2429" t="s">
        <v>2011</v>
      </c>
      <c r="AB2429" t="s">
        <v>14750</v>
      </c>
      <c r="AD2429" t="s">
        <v>17154</v>
      </c>
      <c r="AE2429">
        <v>26</v>
      </c>
      <c r="AF2429" t="s">
        <v>2902</v>
      </c>
      <c r="AG2429" t="s">
        <v>2915</v>
      </c>
      <c r="AH2429">
        <v>33</v>
      </c>
      <c r="AI2429">
        <v>3</v>
      </c>
      <c r="AJ2429">
        <v>0</v>
      </c>
      <c r="AK2429">
        <v>136.63</v>
      </c>
      <c r="AN2429" t="s">
        <v>2927</v>
      </c>
      <c r="AO2429">
        <v>28392</v>
      </c>
      <c r="AU2429">
        <v>39.2</v>
      </c>
      <c r="AV2429" t="s">
        <v>396</v>
      </c>
      <c r="AW2429" t="s">
        <v>3078</v>
      </c>
    </row>
    <row r="2430" spans="1:50">
      <c r="A2430" s="1" t="s">
        <v>3062</v>
      </c>
      <c r="B2430" t="s">
        <v>164</v>
      </c>
      <c r="C2430" t="s">
        <v>5640</v>
      </c>
      <c r="D2430" t="s">
        <v>232</v>
      </c>
      <c r="E2430" t="s">
        <v>292</v>
      </c>
      <c r="F2430" t="s">
        <v>7725</v>
      </c>
      <c r="G2430" t="s">
        <v>770</v>
      </c>
      <c r="H2430" t="s">
        <v>10494</v>
      </c>
      <c r="J2430" t="s">
        <v>1646</v>
      </c>
      <c r="K2430">
        <v>10303</v>
      </c>
      <c r="L2430" t="s">
        <v>1670</v>
      </c>
      <c r="M2430" t="s">
        <v>1670</v>
      </c>
      <c r="N2430" t="s">
        <v>1687</v>
      </c>
      <c r="O2430" t="s">
        <v>1675</v>
      </c>
      <c r="P2430" t="s">
        <v>1958</v>
      </c>
      <c r="Q2430" t="s">
        <v>1965</v>
      </c>
      <c r="R2430" t="s">
        <v>51</v>
      </c>
      <c r="S2430" t="s">
        <v>1671</v>
      </c>
      <c r="U2430" t="s">
        <v>1972</v>
      </c>
      <c r="V2430" t="s">
        <v>1984</v>
      </c>
      <c r="W2430" t="s">
        <v>232</v>
      </c>
      <c r="X2430">
        <v>400</v>
      </c>
      <c r="Y2430" t="s">
        <v>2010</v>
      </c>
      <c r="Z2430" t="s">
        <v>2012</v>
      </c>
      <c r="AA2430" t="s">
        <v>2029</v>
      </c>
      <c r="AB2430" t="s">
        <v>14751</v>
      </c>
      <c r="AE2430">
        <v>130</v>
      </c>
      <c r="AF2430" t="s">
        <v>2903</v>
      </c>
      <c r="AG2430" t="s">
        <v>1754</v>
      </c>
      <c r="AH2430">
        <v>3</v>
      </c>
      <c r="AI2430">
        <v>1</v>
      </c>
      <c r="AJ2430">
        <v>0</v>
      </c>
      <c r="AK2430">
        <v>137.07</v>
      </c>
      <c r="AL2430" t="s">
        <v>2923</v>
      </c>
      <c r="AM2430" t="s">
        <v>2924</v>
      </c>
      <c r="AN2430" t="s">
        <v>2927</v>
      </c>
      <c r="AO2430">
        <v>16640</v>
      </c>
      <c r="AU2430">
        <v>1.3</v>
      </c>
      <c r="AV2430" t="s">
        <v>351</v>
      </c>
      <c r="AW2430" t="s">
        <v>3062</v>
      </c>
    </row>
    <row r="2431" spans="1:50">
      <c r="A2431" s="1" t="s">
        <v>100</v>
      </c>
      <c r="B2431" t="s">
        <v>164</v>
      </c>
      <c r="C2431" t="s">
        <v>5641</v>
      </c>
      <c r="D2431" t="s">
        <v>263</v>
      </c>
      <c r="E2431" t="s">
        <v>357</v>
      </c>
      <c r="F2431" t="s">
        <v>7245</v>
      </c>
      <c r="G2431" t="s">
        <v>835</v>
      </c>
      <c r="H2431" t="s">
        <v>10495</v>
      </c>
      <c r="I2431" t="s">
        <v>1490</v>
      </c>
      <c r="J2431" t="s">
        <v>1643</v>
      </c>
      <c r="K2431">
        <v>10034</v>
      </c>
      <c r="L2431" t="s">
        <v>1670</v>
      </c>
      <c r="M2431" t="s">
        <v>1670</v>
      </c>
      <c r="P2431" t="s">
        <v>1958</v>
      </c>
      <c r="Q2431" t="s">
        <v>1965</v>
      </c>
      <c r="R2431" t="s">
        <v>50</v>
      </c>
      <c r="S2431" t="s">
        <v>1671</v>
      </c>
      <c r="U2431" t="s">
        <v>1972</v>
      </c>
      <c r="W2431" t="s">
        <v>263</v>
      </c>
      <c r="X2431">
        <v>1281.5</v>
      </c>
      <c r="Y2431" t="s">
        <v>2008</v>
      </c>
      <c r="Z2431" t="s">
        <v>2013</v>
      </c>
      <c r="AA2431" t="s">
        <v>2029</v>
      </c>
      <c r="AB2431" t="s">
        <v>14752</v>
      </c>
      <c r="AD2431" t="s">
        <v>17155</v>
      </c>
      <c r="AE2431" t="s">
        <v>13051</v>
      </c>
      <c r="AF2431" t="s">
        <v>2902</v>
      </c>
      <c r="AG2431" t="s">
        <v>2919</v>
      </c>
      <c r="AH2431">
        <v>10</v>
      </c>
      <c r="AI2431">
        <v>1</v>
      </c>
      <c r="AJ2431">
        <v>0</v>
      </c>
      <c r="AK2431">
        <v>137.39</v>
      </c>
      <c r="AN2431" t="s">
        <v>2926</v>
      </c>
      <c r="AO2431">
        <v>17160</v>
      </c>
      <c r="AU2431">
        <v>0.2</v>
      </c>
      <c r="AV2431" t="s">
        <v>357</v>
      </c>
      <c r="AW2431" t="s">
        <v>3042</v>
      </c>
    </row>
    <row r="2432" spans="1:50">
      <c r="A2432" s="1" t="s">
        <v>3158</v>
      </c>
      <c r="B2432" t="s">
        <v>164</v>
      </c>
      <c r="C2432" t="s">
        <v>5642</v>
      </c>
      <c r="D2432" t="s">
        <v>314</v>
      </c>
      <c r="E2432" t="s">
        <v>349</v>
      </c>
      <c r="F2432" t="s">
        <v>7726</v>
      </c>
      <c r="G2432" t="s">
        <v>782</v>
      </c>
      <c r="H2432" t="s">
        <v>9945</v>
      </c>
      <c r="I2432" t="s">
        <v>1580</v>
      </c>
      <c r="J2432" t="s">
        <v>1643</v>
      </c>
      <c r="K2432">
        <v>10033</v>
      </c>
      <c r="L2432" t="s">
        <v>1670</v>
      </c>
      <c r="M2432" t="s">
        <v>1670</v>
      </c>
      <c r="O2432" t="s">
        <v>1675</v>
      </c>
      <c r="P2432" t="s">
        <v>1958</v>
      </c>
      <c r="Q2432" t="s">
        <v>1965</v>
      </c>
      <c r="R2432" t="s">
        <v>50</v>
      </c>
      <c r="S2432" t="s">
        <v>1671</v>
      </c>
      <c r="U2432" t="s">
        <v>1972</v>
      </c>
      <c r="W2432" t="s">
        <v>314</v>
      </c>
      <c r="X2432">
        <v>934.15</v>
      </c>
      <c r="Y2432" t="s">
        <v>2008</v>
      </c>
      <c r="Z2432" t="s">
        <v>2013</v>
      </c>
      <c r="AA2432" t="s">
        <v>2029</v>
      </c>
      <c r="AB2432" t="s">
        <v>14753</v>
      </c>
      <c r="AD2432" t="s">
        <v>17156</v>
      </c>
      <c r="AE2432">
        <v>39</v>
      </c>
      <c r="AF2432" t="s">
        <v>2902</v>
      </c>
      <c r="AG2432" t="s">
        <v>1754</v>
      </c>
      <c r="AH2432">
        <v>6</v>
      </c>
      <c r="AI2432">
        <v>1</v>
      </c>
      <c r="AJ2432">
        <v>0</v>
      </c>
      <c r="AK2432">
        <v>137.4</v>
      </c>
      <c r="AN2432" t="s">
        <v>2927</v>
      </c>
      <c r="AO2432">
        <v>16680</v>
      </c>
      <c r="AU2432">
        <v>4.4</v>
      </c>
      <c r="AV2432" t="s">
        <v>229</v>
      </c>
      <c r="AW2432" t="s">
        <v>3042</v>
      </c>
    </row>
    <row r="2433" spans="1:50">
      <c r="A2433" s="1" t="s">
        <v>103</v>
      </c>
      <c r="B2433" t="s">
        <v>164</v>
      </c>
      <c r="C2433" t="s">
        <v>5643</v>
      </c>
      <c r="D2433" t="s">
        <v>270</v>
      </c>
      <c r="E2433" t="s">
        <v>270</v>
      </c>
      <c r="F2433" t="s">
        <v>438</v>
      </c>
      <c r="G2433" t="s">
        <v>8960</v>
      </c>
      <c r="H2433" t="s">
        <v>10496</v>
      </c>
      <c r="J2433" t="s">
        <v>1644</v>
      </c>
      <c r="K2433">
        <v>11208</v>
      </c>
      <c r="L2433" t="s">
        <v>1670</v>
      </c>
      <c r="M2433" t="s">
        <v>1670</v>
      </c>
      <c r="P2433" t="s">
        <v>1958</v>
      </c>
      <c r="Q2433" t="s">
        <v>1965</v>
      </c>
      <c r="R2433" t="s">
        <v>50</v>
      </c>
      <c r="U2433" t="s">
        <v>1972</v>
      </c>
      <c r="W2433" t="s">
        <v>231</v>
      </c>
      <c r="X2433" t="s">
        <v>13051</v>
      </c>
      <c r="Y2433" t="s">
        <v>2009</v>
      </c>
      <c r="AA2433" t="s">
        <v>2029</v>
      </c>
      <c r="AB2433" t="s">
        <v>14106</v>
      </c>
      <c r="AD2433" t="s">
        <v>17157</v>
      </c>
      <c r="AE2433" t="s">
        <v>13051</v>
      </c>
      <c r="AH2433" t="s">
        <v>13051</v>
      </c>
      <c r="AI2433">
        <v>2</v>
      </c>
      <c r="AJ2433">
        <v>0</v>
      </c>
      <c r="AK2433">
        <v>137.42</v>
      </c>
      <c r="AN2433" t="s">
        <v>2927</v>
      </c>
      <c r="AO2433">
        <v>22620</v>
      </c>
      <c r="AU2433">
        <v>0.75</v>
      </c>
      <c r="AV2433" t="s">
        <v>231</v>
      </c>
      <c r="AW2433" t="s">
        <v>103</v>
      </c>
    </row>
    <row r="2434" spans="1:50">
      <c r="A2434" s="1" t="s">
        <v>71</v>
      </c>
      <c r="B2434" t="s">
        <v>163</v>
      </c>
      <c r="C2434" t="s">
        <v>5644</v>
      </c>
      <c r="D2434" t="s">
        <v>240</v>
      </c>
      <c r="F2434" t="s">
        <v>682</v>
      </c>
      <c r="G2434" t="s">
        <v>8961</v>
      </c>
      <c r="H2434" t="s">
        <v>1198</v>
      </c>
      <c r="I2434" t="s">
        <v>11203</v>
      </c>
      <c r="J2434" t="s">
        <v>1646</v>
      </c>
      <c r="K2434">
        <v>10301</v>
      </c>
      <c r="L2434" t="s">
        <v>1670</v>
      </c>
      <c r="M2434" t="s">
        <v>1670</v>
      </c>
      <c r="N2434" t="s">
        <v>12571</v>
      </c>
      <c r="O2434" t="s">
        <v>1936</v>
      </c>
      <c r="P2434" t="s">
        <v>1960</v>
      </c>
      <c r="R2434" t="s">
        <v>50</v>
      </c>
      <c r="S2434" t="s">
        <v>1671</v>
      </c>
      <c r="U2434" t="s">
        <v>1972</v>
      </c>
      <c r="V2434" t="s">
        <v>1984</v>
      </c>
      <c r="W2434" t="s">
        <v>240</v>
      </c>
      <c r="X2434">
        <v>1153</v>
      </c>
      <c r="Y2434" t="s">
        <v>2010</v>
      </c>
      <c r="Z2434" t="s">
        <v>2020</v>
      </c>
      <c r="AB2434" t="s">
        <v>2351</v>
      </c>
      <c r="AD2434" t="s">
        <v>17158</v>
      </c>
      <c r="AE2434">
        <v>9</v>
      </c>
      <c r="AF2434" t="s">
        <v>2902</v>
      </c>
      <c r="AG2434" t="s">
        <v>1754</v>
      </c>
      <c r="AH2434">
        <v>6</v>
      </c>
      <c r="AI2434">
        <v>2</v>
      </c>
      <c r="AJ2434">
        <v>0</v>
      </c>
      <c r="AK2434">
        <v>137.76</v>
      </c>
      <c r="AN2434" t="s">
        <v>2926</v>
      </c>
      <c r="AO2434">
        <v>23296</v>
      </c>
      <c r="AU2434">
        <v>15.4</v>
      </c>
      <c r="AV2434" t="s">
        <v>289</v>
      </c>
      <c r="AW2434" t="s">
        <v>3050</v>
      </c>
    </row>
    <row r="2435" spans="1:50">
      <c r="A2435" s="1" t="s">
        <v>59</v>
      </c>
      <c r="B2435" t="s">
        <v>163</v>
      </c>
      <c r="C2435" t="s">
        <v>5645</v>
      </c>
      <c r="D2435" t="s">
        <v>257</v>
      </c>
      <c r="F2435" t="s">
        <v>7727</v>
      </c>
      <c r="G2435" t="s">
        <v>8962</v>
      </c>
      <c r="H2435" t="s">
        <v>10497</v>
      </c>
      <c r="I2435" t="s">
        <v>11050</v>
      </c>
      <c r="J2435" t="s">
        <v>1641</v>
      </c>
      <c r="K2435">
        <v>10459</v>
      </c>
      <c r="L2435" t="s">
        <v>1670</v>
      </c>
      <c r="M2435" t="s">
        <v>1670</v>
      </c>
      <c r="O2435" t="s">
        <v>1941</v>
      </c>
      <c r="P2435" t="s">
        <v>1959</v>
      </c>
      <c r="R2435" t="s">
        <v>50</v>
      </c>
      <c r="S2435" t="s">
        <v>1671</v>
      </c>
      <c r="U2435" t="s">
        <v>1972</v>
      </c>
      <c r="W2435" t="s">
        <v>257</v>
      </c>
      <c r="X2435">
        <v>795</v>
      </c>
      <c r="Y2435" t="s">
        <v>2006</v>
      </c>
      <c r="Z2435" t="s">
        <v>2015</v>
      </c>
      <c r="AB2435" t="s">
        <v>14754</v>
      </c>
      <c r="AD2435" t="s">
        <v>17159</v>
      </c>
      <c r="AE2435">
        <v>72</v>
      </c>
      <c r="AF2435" t="s">
        <v>2902</v>
      </c>
      <c r="AG2435" t="s">
        <v>2919</v>
      </c>
      <c r="AH2435">
        <v>22</v>
      </c>
      <c r="AI2435">
        <v>1</v>
      </c>
      <c r="AJ2435">
        <v>0</v>
      </c>
      <c r="AK2435">
        <v>138.09</v>
      </c>
      <c r="AN2435" t="s">
        <v>2926</v>
      </c>
      <c r="AO2435">
        <v>16764</v>
      </c>
      <c r="AU2435">
        <v>2.5</v>
      </c>
      <c r="AV2435" t="s">
        <v>2005</v>
      </c>
      <c r="AW2435" t="s">
        <v>3071</v>
      </c>
    </row>
    <row r="2436" spans="1:50">
      <c r="A2436" s="1" t="s">
        <v>3151</v>
      </c>
      <c r="B2436" t="s">
        <v>164</v>
      </c>
      <c r="C2436" t="s">
        <v>5646</v>
      </c>
      <c r="D2436" t="s">
        <v>370</v>
      </c>
      <c r="E2436" t="s">
        <v>359</v>
      </c>
      <c r="F2436" t="s">
        <v>755</v>
      </c>
      <c r="G2436" t="s">
        <v>8963</v>
      </c>
      <c r="H2436" t="s">
        <v>10498</v>
      </c>
      <c r="I2436" t="s">
        <v>1569</v>
      </c>
      <c r="J2436" t="s">
        <v>1644</v>
      </c>
      <c r="K2436">
        <v>11212</v>
      </c>
      <c r="L2436" t="s">
        <v>1670</v>
      </c>
      <c r="M2436" t="s">
        <v>1670</v>
      </c>
      <c r="N2436" t="s">
        <v>12572</v>
      </c>
      <c r="O2436" t="s">
        <v>1936</v>
      </c>
      <c r="P2436" t="s">
        <v>1960</v>
      </c>
      <c r="Q2436" t="s">
        <v>1965</v>
      </c>
      <c r="R2436" t="s">
        <v>50</v>
      </c>
      <c r="S2436" t="s">
        <v>1671</v>
      </c>
      <c r="U2436" t="s">
        <v>1972</v>
      </c>
      <c r="W2436" t="s">
        <v>264</v>
      </c>
      <c r="X2436">
        <v>950</v>
      </c>
      <c r="Y2436" t="s">
        <v>2009</v>
      </c>
      <c r="Z2436" t="s">
        <v>2020</v>
      </c>
      <c r="AA2436" t="s">
        <v>2029</v>
      </c>
      <c r="AB2436" t="s">
        <v>14755</v>
      </c>
      <c r="AC2436" t="s">
        <v>15278</v>
      </c>
      <c r="AD2436" t="s">
        <v>17160</v>
      </c>
      <c r="AE2436">
        <v>23</v>
      </c>
      <c r="AF2436" t="s">
        <v>2902</v>
      </c>
      <c r="AG2436" t="s">
        <v>2921</v>
      </c>
      <c r="AH2436">
        <v>8</v>
      </c>
      <c r="AI2436">
        <v>2</v>
      </c>
      <c r="AJ2436">
        <v>0</v>
      </c>
      <c r="AK2436">
        <v>138.15</v>
      </c>
      <c r="AN2436" t="s">
        <v>2926</v>
      </c>
      <c r="AO2436">
        <v>22740</v>
      </c>
      <c r="AU2436">
        <v>6.85</v>
      </c>
      <c r="AV2436" t="s">
        <v>281</v>
      </c>
      <c r="AW2436" t="s">
        <v>3060</v>
      </c>
    </row>
    <row r="2437" spans="1:50">
      <c r="A2437" s="1" t="s">
        <v>123</v>
      </c>
      <c r="B2437" t="s">
        <v>163</v>
      </c>
      <c r="C2437" t="s">
        <v>5647</v>
      </c>
      <c r="D2437" t="s">
        <v>236</v>
      </c>
      <c r="F2437" t="s">
        <v>7728</v>
      </c>
      <c r="G2437" t="s">
        <v>8964</v>
      </c>
      <c r="H2437" t="s">
        <v>10261</v>
      </c>
      <c r="I2437" t="s">
        <v>11058</v>
      </c>
      <c r="J2437" t="s">
        <v>1641</v>
      </c>
      <c r="K2437">
        <v>10463</v>
      </c>
      <c r="L2437" t="s">
        <v>1670</v>
      </c>
      <c r="M2437" t="s">
        <v>1670</v>
      </c>
      <c r="N2437" t="s">
        <v>12573</v>
      </c>
      <c r="O2437" t="s">
        <v>1941</v>
      </c>
      <c r="P2437" t="s">
        <v>1959</v>
      </c>
      <c r="R2437" t="s">
        <v>50</v>
      </c>
      <c r="S2437" t="s">
        <v>1671</v>
      </c>
      <c r="U2437" t="s">
        <v>1972</v>
      </c>
      <c r="V2437" t="s">
        <v>1984</v>
      </c>
      <c r="W2437" t="s">
        <v>336</v>
      </c>
      <c r="X2437">
        <v>421.7</v>
      </c>
      <c r="Y2437" t="s">
        <v>2006</v>
      </c>
      <c r="Z2437" t="s">
        <v>2015</v>
      </c>
      <c r="AB2437" t="s">
        <v>13140</v>
      </c>
      <c r="AD2437" t="s">
        <v>17161</v>
      </c>
      <c r="AE2437">
        <v>67</v>
      </c>
      <c r="AF2437" t="s">
        <v>18015</v>
      </c>
      <c r="AG2437" t="s">
        <v>2921</v>
      </c>
      <c r="AH2437">
        <v>19</v>
      </c>
      <c r="AI2437">
        <v>1</v>
      </c>
      <c r="AJ2437">
        <v>0</v>
      </c>
      <c r="AK2437">
        <v>138.35</v>
      </c>
      <c r="AN2437" t="s">
        <v>2926</v>
      </c>
      <c r="AO2437">
        <v>17280</v>
      </c>
      <c r="AU2437">
        <v>6</v>
      </c>
      <c r="AV2437" t="s">
        <v>294</v>
      </c>
      <c r="AW2437" t="s">
        <v>3047</v>
      </c>
    </row>
    <row r="2438" spans="1:50">
      <c r="A2438" s="1" t="s">
        <v>3170</v>
      </c>
      <c r="B2438" t="s">
        <v>164</v>
      </c>
      <c r="C2438" t="s">
        <v>5648</v>
      </c>
      <c r="D2438" t="s">
        <v>206</v>
      </c>
      <c r="E2438" t="s">
        <v>354</v>
      </c>
      <c r="F2438" t="s">
        <v>695</v>
      </c>
      <c r="G2438" t="s">
        <v>7965</v>
      </c>
      <c r="H2438" t="s">
        <v>10499</v>
      </c>
      <c r="I2438" t="s">
        <v>10938</v>
      </c>
      <c r="J2438" t="s">
        <v>1643</v>
      </c>
      <c r="K2438">
        <v>10033</v>
      </c>
      <c r="L2438" t="s">
        <v>1670</v>
      </c>
      <c r="M2438" t="s">
        <v>1672</v>
      </c>
      <c r="N2438" t="s">
        <v>12574</v>
      </c>
      <c r="O2438" t="s">
        <v>1936</v>
      </c>
      <c r="P2438" t="s">
        <v>1958</v>
      </c>
      <c r="Q2438" t="s">
        <v>1965</v>
      </c>
      <c r="R2438" t="s">
        <v>50</v>
      </c>
      <c r="S2438" t="s">
        <v>1671</v>
      </c>
      <c r="U2438" t="s">
        <v>1972</v>
      </c>
      <c r="V2438" t="s">
        <v>1984</v>
      </c>
      <c r="W2438" t="s">
        <v>206</v>
      </c>
      <c r="X2438">
        <v>1807.17</v>
      </c>
      <c r="Y2438" t="s">
        <v>2008</v>
      </c>
      <c r="Z2438" t="s">
        <v>2014</v>
      </c>
      <c r="AA2438" t="s">
        <v>2029</v>
      </c>
      <c r="AB2438" t="s">
        <v>14756</v>
      </c>
      <c r="AC2438" t="s">
        <v>15279</v>
      </c>
      <c r="AD2438" t="s">
        <v>17162</v>
      </c>
      <c r="AE2438" t="s">
        <v>13051</v>
      </c>
      <c r="AF2438" t="s">
        <v>2902</v>
      </c>
      <c r="AG2438" t="s">
        <v>1754</v>
      </c>
      <c r="AH2438">
        <v>6</v>
      </c>
      <c r="AI2438">
        <v>2</v>
      </c>
      <c r="AJ2438">
        <v>0</v>
      </c>
      <c r="AK2438">
        <v>138.38</v>
      </c>
      <c r="AN2438" t="s">
        <v>2927</v>
      </c>
      <c r="AO2438">
        <v>23400</v>
      </c>
      <c r="AU2438">
        <v>1.4</v>
      </c>
      <c r="AV2438" t="s">
        <v>400</v>
      </c>
      <c r="AW2438" t="s">
        <v>3061</v>
      </c>
      <c r="AX2438" t="s">
        <v>18686</v>
      </c>
    </row>
    <row r="2439" spans="1:50">
      <c r="A2439" s="1" t="s">
        <v>57</v>
      </c>
      <c r="B2439" t="s">
        <v>164</v>
      </c>
      <c r="C2439" t="s">
        <v>5649</v>
      </c>
      <c r="D2439" t="s">
        <v>250</v>
      </c>
      <c r="E2439" t="s">
        <v>174</v>
      </c>
      <c r="F2439" t="s">
        <v>604</v>
      </c>
      <c r="G2439" t="s">
        <v>1085</v>
      </c>
      <c r="H2439" t="s">
        <v>10500</v>
      </c>
      <c r="I2439">
        <v>1</v>
      </c>
      <c r="J2439" t="s">
        <v>1641</v>
      </c>
      <c r="K2439">
        <v>10465</v>
      </c>
      <c r="L2439" t="s">
        <v>1670</v>
      </c>
      <c r="M2439" t="s">
        <v>1670</v>
      </c>
      <c r="O2439" t="s">
        <v>1941</v>
      </c>
      <c r="P2439" t="s">
        <v>1958</v>
      </c>
      <c r="Q2439" t="s">
        <v>1965</v>
      </c>
      <c r="R2439" t="s">
        <v>50</v>
      </c>
      <c r="S2439" t="s">
        <v>1671</v>
      </c>
      <c r="U2439" t="s">
        <v>1972</v>
      </c>
      <c r="W2439" t="s">
        <v>250</v>
      </c>
      <c r="X2439">
        <v>1020</v>
      </c>
      <c r="Y2439" t="s">
        <v>2006</v>
      </c>
      <c r="AA2439" t="s">
        <v>2029</v>
      </c>
      <c r="AB2439" t="s">
        <v>14757</v>
      </c>
      <c r="AD2439" t="s">
        <v>17163</v>
      </c>
      <c r="AE2439" t="s">
        <v>13051</v>
      </c>
      <c r="AF2439" t="s">
        <v>2903</v>
      </c>
      <c r="AG2439" t="s">
        <v>1754</v>
      </c>
      <c r="AH2439">
        <v>6</v>
      </c>
      <c r="AI2439">
        <v>1</v>
      </c>
      <c r="AJ2439">
        <v>0</v>
      </c>
      <c r="AK2439">
        <v>138.39</v>
      </c>
      <c r="AN2439" t="s">
        <v>2926</v>
      </c>
      <c r="AO2439">
        <v>16800</v>
      </c>
      <c r="AU2439">
        <v>0.1</v>
      </c>
      <c r="AV2439" t="s">
        <v>174</v>
      </c>
      <c r="AW2439" t="s">
        <v>3046</v>
      </c>
    </row>
    <row r="2440" spans="1:50">
      <c r="A2440" s="1" t="s">
        <v>59</v>
      </c>
      <c r="B2440" t="s">
        <v>163</v>
      </c>
      <c r="C2440" t="s">
        <v>5650</v>
      </c>
      <c r="D2440" t="s">
        <v>267</v>
      </c>
      <c r="F2440" t="s">
        <v>7729</v>
      </c>
      <c r="G2440" t="s">
        <v>8965</v>
      </c>
      <c r="H2440" t="s">
        <v>10501</v>
      </c>
      <c r="I2440" t="s">
        <v>1486</v>
      </c>
      <c r="J2440" t="s">
        <v>1641</v>
      </c>
      <c r="K2440">
        <v>10453</v>
      </c>
      <c r="L2440" t="s">
        <v>1670</v>
      </c>
      <c r="M2440" t="s">
        <v>1670</v>
      </c>
      <c r="O2440" t="s">
        <v>1675</v>
      </c>
      <c r="P2440" t="s">
        <v>1962</v>
      </c>
      <c r="R2440" t="s">
        <v>50</v>
      </c>
      <c r="S2440" t="s">
        <v>1671</v>
      </c>
      <c r="U2440" t="s">
        <v>1972</v>
      </c>
      <c r="W2440" t="s">
        <v>181</v>
      </c>
      <c r="X2440">
        <v>460</v>
      </c>
      <c r="Y2440" t="s">
        <v>2006</v>
      </c>
      <c r="Z2440" t="s">
        <v>2015</v>
      </c>
      <c r="AB2440" t="s">
        <v>14758</v>
      </c>
      <c r="AD2440" t="s">
        <v>17164</v>
      </c>
      <c r="AE2440">
        <v>8</v>
      </c>
      <c r="AF2440" t="s">
        <v>2902</v>
      </c>
      <c r="AG2440" t="s">
        <v>2915</v>
      </c>
      <c r="AH2440">
        <v>5</v>
      </c>
      <c r="AI2440">
        <v>1</v>
      </c>
      <c r="AJ2440">
        <v>0</v>
      </c>
      <c r="AK2440">
        <v>138.39</v>
      </c>
      <c r="AN2440" t="s">
        <v>2927</v>
      </c>
      <c r="AO2440">
        <v>16800</v>
      </c>
      <c r="AU2440">
        <v>1</v>
      </c>
      <c r="AV2440" t="s">
        <v>181</v>
      </c>
      <c r="AW2440" t="s">
        <v>3047</v>
      </c>
    </row>
    <row r="2441" spans="1:50">
      <c r="A2441" s="1" t="s">
        <v>115</v>
      </c>
      <c r="B2441" t="s">
        <v>164</v>
      </c>
      <c r="C2441" t="s">
        <v>5651</v>
      </c>
      <c r="D2441" t="s">
        <v>204</v>
      </c>
      <c r="E2441" t="s">
        <v>376</v>
      </c>
      <c r="F2441" t="s">
        <v>758</v>
      </c>
      <c r="G2441" t="s">
        <v>8966</v>
      </c>
      <c r="H2441" t="s">
        <v>10502</v>
      </c>
      <c r="J2441" t="s">
        <v>1641</v>
      </c>
      <c r="K2441">
        <v>10452</v>
      </c>
      <c r="L2441" t="s">
        <v>1670</v>
      </c>
      <c r="M2441" t="s">
        <v>1670</v>
      </c>
      <c r="O2441" t="s">
        <v>1675</v>
      </c>
      <c r="P2441" t="s">
        <v>1958</v>
      </c>
      <c r="Q2441" t="s">
        <v>1965</v>
      </c>
      <c r="R2441" t="s">
        <v>50</v>
      </c>
      <c r="S2441" t="s">
        <v>1671</v>
      </c>
      <c r="U2441" t="s">
        <v>1972</v>
      </c>
      <c r="W2441" t="s">
        <v>204</v>
      </c>
      <c r="X2441">
        <v>705.71</v>
      </c>
      <c r="Y2441" t="s">
        <v>2006</v>
      </c>
      <c r="Z2441" t="s">
        <v>2015</v>
      </c>
      <c r="AA2441" t="s">
        <v>2029</v>
      </c>
      <c r="AB2441" t="s">
        <v>14759</v>
      </c>
      <c r="AD2441" t="s">
        <v>17165</v>
      </c>
      <c r="AE2441">
        <v>41</v>
      </c>
      <c r="AF2441" t="s">
        <v>2902</v>
      </c>
      <c r="AG2441" t="s">
        <v>1754</v>
      </c>
      <c r="AH2441">
        <v>35</v>
      </c>
      <c r="AI2441">
        <v>3</v>
      </c>
      <c r="AJ2441">
        <v>0</v>
      </c>
      <c r="AK2441">
        <v>138.88</v>
      </c>
      <c r="AN2441" t="s">
        <v>2926</v>
      </c>
      <c r="AO2441">
        <v>28860</v>
      </c>
      <c r="AU2441">
        <v>0.9</v>
      </c>
      <c r="AV2441" t="s">
        <v>376</v>
      </c>
      <c r="AW2441" t="s">
        <v>115</v>
      </c>
    </row>
    <row r="2442" spans="1:50">
      <c r="A2442" s="1" t="s">
        <v>57</v>
      </c>
      <c r="B2442" t="s">
        <v>164</v>
      </c>
      <c r="C2442" t="s">
        <v>5652</v>
      </c>
      <c r="D2442" t="s">
        <v>201</v>
      </c>
      <c r="E2442" t="s">
        <v>376</v>
      </c>
      <c r="F2442" t="s">
        <v>7730</v>
      </c>
      <c r="G2442" t="s">
        <v>8967</v>
      </c>
      <c r="H2442" t="s">
        <v>1168</v>
      </c>
      <c r="I2442" t="s">
        <v>1489</v>
      </c>
      <c r="J2442" t="s">
        <v>1641</v>
      </c>
      <c r="K2442">
        <v>10468</v>
      </c>
      <c r="L2442" t="s">
        <v>1670</v>
      </c>
      <c r="M2442" t="s">
        <v>1670</v>
      </c>
      <c r="O2442" t="s">
        <v>1675</v>
      </c>
      <c r="P2442" t="s">
        <v>1958</v>
      </c>
      <c r="Q2442" t="s">
        <v>1965</v>
      </c>
      <c r="R2442" t="s">
        <v>50</v>
      </c>
      <c r="S2442" t="s">
        <v>1671</v>
      </c>
      <c r="U2442" t="s">
        <v>1972</v>
      </c>
      <c r="W2442" t="s">
        <v>201</v>
      </c>
      <c r="X2442">
        <v>1057.58</v>
      </c>
      <c r="Y2442" t="s">
        <v>2006</v>
      </c>
      <c r="Z2442" t="s">
        <v>2015</v>
      </c>
      <c r="AA2442" t="s">
        <v>2029</v>
      </c>
      <c r="AB2442" t="s">
        <v>14760</v>
      </c>
      <c r="AD2442" t="s">
        <v>17166</v>
      </c>
      <c r="AE2442">
        <v>58</v>
      </c>
      <c r="AG2442" t="s">
        <v>1754</v>
      </c>
      <c r="AH2442">
        <v>51</v>
      </c>
      <c r="AI2442">
        <v>3</v>
      </c>
      <c r="AJ2442">
        <v>0</v>
      </c>
      <c r="AK2442">
        <v>139.26</v>
      </c>
      <c r="AN2442" t="s">
        <v>2926</v>
      </c>
      <c r="AO2442">
        <v>28937.22</v>
      </c>
      <c r="AU2442">
        <v>0.5</v>
      </c>
      <c r="AV2442" t="s">
        <v>201</v>
      </c>
      <c r="AW2442" t="s">
        <v>3046</v>
      </c>
    </row>
    <row r="2443" spans="1:50">
      <c r="A2443" s="1" t="s">
        <v>125</v>
      </c>
      <c r="B2443" t="s">
        <v>164</v>
      </c>
      <c r="C2443" t="s">
        <v>5653</v>
      </c>
      <c r="D2443" t="s">
        <v>359</v>
      </c>
      <c r="E2443" t="s">
        <v>359</v>
      </c>
      <c r="F2443" t="s">
        <v>7731</v>
      </c>
      <c r="G2443" t="s">
        <v>8968</v>
      </c>
      <c r="H2443" t="s">
        <v>10503</v>
      </c>
      <c r="I2443">
        <v>2</v>
      </c>
      <c r="J2443" t="s">
        <v>1644</v>
      </c>
      <c r="K2443">
        <v>11215</v>
      </c>
      <c r="L2443" t="s">
        <v>1670</v>
      </c>
      <c r="M2443" t="s">
        <v>1671</v>
      </c>
      <c r="O2443" t="s">
        <v>1938</v>
      </c>
      <c r="P2443" t="s">
        <v>1962</v>
      </c>
      <c r="Q2443" t="s">
        <v>1966</v>
      </c>
      <c r="R2443" t="s">
        <v>50</v>
      </c>
      <c r="S2443" t="s">
        <v>1671</v>
      </c>
      <c r="U2443" t="s">
        <v>1972</v>
      </c>
      <c r="V2443" t="s">
        <v>1984</v>
      </c>
      <c r="W2443" t="s">
        <v>359</v>
      </c>
      <c r="X2443" t="s">
        <v>13051</v>
      </c>
      <c r="Y2443" t="s">
        <v>2009</v>
      </c>
      <c r="AA2443" t="s">
        <v>2042</v>
      </c>
      <c r="AB2443" t="s">
        <v>14761</v>
      </c>
      <c r="AE2443" t="s">
        <v>13051</v>
      </c>
      <c r="AH2443" t="s">
        <v>13051</v>
      </c>
      <c r="AI2443">
        <v>3</v>
      </c>
      <c r="AJ2443">
        <v>0</v>
      </c>
      <c r="AK2443">
        <v>139.56</v>
      </c>
      <c r="AN2443" t="s">
        <v>2926</v>
      </c>
      <c r="AO2443">
        <v>29000</v>
      </c>
      <c r="AP2443" t="s">
        <v>18347</v>
      </c>
      <c r="AR2443" t="s">
        <v>2017</v>
      </c>
      <c r="AS2443" t="s">
        <v>2992</v>
      </c>
      <c r="AT2443" t="s">
        <v>18544</v>
      </c>
      <c r="AU2443">
        <v>0.25</v>
      </c>
      <c r="AV2443" t="s">
        <v>297</v>
      </c>
      <c r="AW2443" t="s">
        <v>18679</v>
      </c>
    </row>
    <row r="2444" spans="1:50">
      <c r="A2444" s="1" t="s">
        <v>124</v>
      </c>
      <c r="B2444" t="s">
        <v>163</v>
      </c>
      <c r="C2444" t="s">
        <v>5654</v>
      </c>
      <c r="D2444" t="s">
        <v>299</v>
      </c>
      <c r="F2444" t="s">
        <v>6796</v>
      </c>
      <c r="G2444" t="s">
        <v>8969</v>
      </c>
      <c r="H2444" t="s">
        <v>10504</v>
      </c>
      <c r="J2444" t="s">
        <v>1644</v>
      </c>
      <c r="K2444">
        <v>11215</v>
      </c>
      <c r="L2444" t="s">
        <v>1670</v>
      </c>
      <c r="M2444" t="s">
        <v>1670</v>
      </c>
      <c r="N2444" t="s">
        <v>12575</v>
      </c>
      <c r="O2444" t="s">
        <v>1936</v>
      </c>
      <c r="P2444" t="s">
        <v>1960</v>
      </c>
      <c r="R2444" t="s">
        <v>50</v>
      </c>
      <c r="S2444" t="s">
        <v>1671</v>
      </c>
      <c r="U2444" t="s">
        <v>1972</v>
      </c>
      <c r="W2444" t="s">
        <v>302</v>
      </c>
      <c r="X2444">
        <v>1252.83</v>
      </c>
      <c r="Y2444" t="s">
        <v>2009</v>
      </c>
      <c r="AB2444" t="s">
        <v>14762</v>
      </c>
      <c r="AD2444" t="s">
        <v>17167</v>
      </c>
      <c r="AE2444" t="s">
        <v>13051</v>
      </c>
      <c r="AH2444">
        <v>23</v>
      </c>
      <c r="AI2444">
        <v>1</v>
      </c>
      <c r="AJ2444">
        <v>0</v>
      </c>
      <c r="AK2444">
        <v>139.6</v>
      </c>
      <c r="AN2444" t="s">
        <v>2926</v>
      </c>
      <c r="AO2444">
        <v>17436</v>
      </c>
      <c r="AU2444">
        <v>4.8</v>
      </c>
      <c r="AV2444" t="s">
        <v>392</v>
      </c>
      <c r="AW2444" t="s">
        <v>158</v>
      </c>
    </row>
    <row r="2445" spans="1:50">
      <c r="A2445" s="1" t="s">
        <v>100</v>
      </c>
      <c r="B2445" t="s">
        <v>164</v>
      </c>
      <c r="C2445" t="s">
        <v>5655</v>
      </c>
      <c r="D2445" t="s">
        <v>228</v>
      </c>
      <c r="E2445" t="s">
        <v>340</v>
      </c>
      <c r="F2445" t="s">
        <v>6881</v>
      </c>
      <c r="G2445" t="s">
        <v>8970</v>
      </c>
      <c r="H2445" t="s">
        <v>10505</v>
      </c>
      <c r="J2445" t="s">
        <v>1643</v>
      </c>
      <c r="K2445">
        <v>10034</v>
      </c>
      <c r="L2445" t="s">
        <v>1670</v>
      </c>
      <c r="M2445" t="s">
        <v>1671</v>
      </c>
      <c r="O2445" t="s">
        <v>1938</v>
      </c>
      <c r="P2445" t="s">
        <v>1962</v>
      </c>
      <c r="Q2445" t="s">
        <v>1968</v>
      </c>
      <c r="R2445" t="s">
        <v>50</v>
      </c>
      <c r="S2445" t="s">
        <v>1671</v>
      </c>
      <c r="U2445" t="s">
        <v>1972</v>
      </c>
      <c r="W2445" t="s">
        <v>228</v>
      </c>
      <c r="X2445">
        <v>900</v>
      </c>
      <c r="Y2445" t="s">
        <v>2008</v>
      </c>
      <c r="Z2445" t="s">
        <v>2016</v>
      </c>
      <c r="AA2445" t="s">
        <v>2030</v>
      </c>
      <c r="AB2445" t="s">
        <v>14763</v>
      </c>
      <c r="AD2445" t="s">
        <v>17168</v>
      </c>
      <c r="AE2445">
        <v>74</v>
      </c>
      <c r="AF2445" t="s">
        <v>2902</v>
      </c>
      <c r="AG2445" t="s">
        <v>1754</v>
      </c>
      <c r="AH2445">
        <v>38</v>
      </c>
      <c r="AI2445">
        <v>4</v>
      </c>
      <c r="AJ2445">
        <v>0</v>
      </c>
      <c r="AK2445">
        <v>139.7</v>
      </c>
      <c r="AN2445" t="s">
        <v>2926</v>
      </c>
      <c r="AO2445">
        <v>35064</v>
      </c>
      <c r="AU2445">
        <v>0.1</v>
      </c>
      <c r="AV2445" t="s">
        <v>340</v>
      </c>
      <c r="AW2445" t="s">
        <v>3042</v>
      </c>
    </row>
    <row r="2446" spans="1:50">
      <c r="A2446" s="1" t="s">
        <v>73</v>
      </c>
      <c r="B2446" t="s">
        <v>163</v>
      </c>
      <c r="C2446" t="s">
        <v>5656</v>
      </c>
      <c r="D2446" t="s">
        <v>344</v>
      </c>
      <c r="F2446" t="s">
        <v>7695</v>
      </c>
      <c r="G2446" t="s">
        <v>6912</v>
      </c>
      <c r="H2446" t="s">
        <v>10506</v>
      </c>
      <c r="I2446" t="s">
        <v>1539</v>
      </c>
      <c r="J2446" t="s">
        <v>1668</v>
      </c>
      <c r="K2446">
        <v>11354</v>
      </c>
      <c r="L2446" t="s">
        <v>1670</v>
      </c>
      <c r="M2446" t="s">
        <v>1670</v>
      </c>
      <c r="N2446" t="s">
        <v>12576</v>
      </c>
      <c r="O2446" t="s">
        <v>1936</v>
      </c>
      <c r="P2446" t="s">
        <v>1960</v>
      </c>
      <c r="R2446" t="s">
        <v>50</v>
      </c>
      <c r="S2446" t="s">
        <v>1671</v>
      </c>
      <c r="U2446" t="s">
        <v>1972</v>
      </c>
      <c r="V2446" t="s">
        <v>1984</v>
      </c>
      <c r="W2446" t="s">
        <v>344</v>
      </c>
      <c r="X2446">
        <v>700</v>
      </c>
      <c r="Y2446" t="s">
        <v>2007</v>
      </c>
      <c r="Z2446" t="s">
        <v>2014</v>
      </c>
      <c r="AB2446" t="s">
        <v>14764</v>
      </c>
      <c r="AD2446" t="s">
        <v>17169</v>
      </c>
      <c r="AE2446">
        <v>84</v>
      </c>
      <c r="AF2446" t="s">
        <v>2902</v>
      </c>
      <c r="AG2446" t="s">
        <v>1754</v>
      </c>
      <c r="AH2446">
        <v>3</v>
      </c>
      <c r="AI2446">
        <v>2</v>
      </c>
      <c r="AJ2446">
        <v>0</v>
      </c>
      <c r="AK2446">
        <v>139.73</v>
      </c>
      <c r="AN2446" t="s">
        <v>2926</v>
      </c>
      <c r="AO2446">
        <v>23000</v>
      </c>
      <c r="AQ2446" t="s">
        <v>18422</v>
      </c>
      <c r="AR2446" t="s">
        <v>2017</v>
      </c>
      <c r="AS2446" t="s">
        <v>2993</v>
      </c>
      <c r="AT2446" t="s">
        <v>18596</v>
      </c>
      <c r="AU2446">
        <v>6.95</v>
      </c>
      <c r="AV2446" t="s">
        <v>191</v>
      </c>
      <c r="AW2446" t="s">
        <v>85</v>
      </c>
    </row>
    <row r="2447" spans="1:50">
      <c r="A2447" s="1" t="s">
        <v>66</v>
      </c>
      <c r="B2447" t="s">
        <v>163</v>
      </c>
      <c r="C2447" t="s">
        <v>5657</v>
      </c>
      <c r="D2447" t="s">
        <v>232</v>
      </c>
      <c r="F2447" t="s">
        <v>7732</v>
      </c>
      <c r="G2447" t="s">
        <v>8971</v>
      </c>
      <c r="H2447" t="s">
        <v>10507</v>
      </c>
      <c r="I2447" t="s">
        <v>11168</v>
      </c>
      <c r="J2447" t="s">
        <v>1644</v>
      </c>
      <c r="K2447">
        <v>11212</v>
      </c>
      <c r="L2447" t="s">
        <v>1670</v>
      </c>
      <c r="M2447" t="s">
        <v>1672</v>
      </c>
      <c r="N2447" t="s">
        <v>12577</v>
      </c>
      <c r="O2447" t="s">
        <v>1936</v>
      </c>
      <c r="P2447" t="s">
        <v>1960</v>
      </c>
      <c r="R2447" t="s">
        <v>50</v>
      </c>
      <c r="S2447" t="s">
        <v>1671</v>
      </c>
      <c r="U2447" t="s">
        <v>1972</v>
      </c>
      <c r="V2447" t="s">
        <v>1984</v>
      </c>
      <c r="W2447" t="s">
        <v>323</v>
      </c>
      <c r="X2447">
        <v>1268.75</v>
      </c>
      <c r="Y2447" t="s">
        <v>2009</v>
      </c>
      <c r="AB2447" t="s">
        <v>2429</v>
      </c>
      <c r="AD2447" t="s">
        <v>17170</v>
      </c>
      <c r="AE2447" t="s">
        <v>13051</v>
      </c>
      <c r="AF2447" t="s">
        <v>2902</v>
      </c>
      <c r="AH2447">
        <v>6</v>
      </c>
      <c r="AI2447">
        <v>2</v>
      </c>
      <c r="AJ2447">
        <v>0</v>
      </c>
      <c r="AK2447">
        <v>139.73</v>
      </c>
      <c r="AN2447" t="s">
        <v>2926</v>
      </c>
      <c r="AO2447">
        <v>23000</v>
      </c>
      <c r="AU2447">
        <v>19.3</v>
      </c>
      <c r="AV2447" t="s">
        <v>303</v>
      </c>
      <c r="AW2447" t="s">
        <v>3060</v>
      </c>
      <c r="AX2447" t="s">
        <v>18685</v>
      </c>
    </row>
    <row r="2448" spans="1:50">
      <c r="A2448" s="1" t="s">
        <v>119</v>
      </c>
      <c r="B2448" t="s">
        <v>164</v>
      </c>
      <c r="C2448" t="s">
        <v>5658</v>
      </c>
      <c r="D2448" t="s">
        <v>239</v>
      </c>
      <c r="E2448" t="s">
        <v>291</v>
      </c>
      <c r="F2448" t="s">
        <v>6778</v>
      </c>
      <c r="G2448" t="s">
        <v>780</v>
      </c>
      <c r="H2448" t="s">
        <v>1295</v>
      </c>
      <c r="I2448" t="s">
        <v>10934</v>
      </c>
      <c r="J2448" t="s">
        <v>1644</v>
      </c>
      <c r="K2448">
        <v>11233</v>
      </c>
      <c r="L2448" t="s">
        <v>1671</v>
      </c>
      <c r="M2448" t="s">
        <v>1671</v>
      </c>
      <c r="N2448" t="s">
        <v>12578</v>
      </c>
      <c r="O2448" t="s">
        <v>1936</v>
      </c>
      <c r="P2448" t="s">
        <v>1958</v>
      </c>
      <c r="Q2448" t="s">
        <v>1965</v>
      </c>
      <c r="R2448" t="s">
        <v>50</v>
      </c>
      <c r="S2448" t="s">
        <v>1671</v>
      </c>
      <c r="U2448" t="s">
        <v>1972</v>
      </c>
      <c r="V2448" t="s">
        <v>1984</v>
      </c>
      <c r="W2448" t="s">
        <v>3031</v>
      </c>
      <c r="X2448">
        <v>1090</v>
      </c>
      <c r="Y2448" t="s">
        <v>2009</v>
      </c>
      <c r="Z2448" t="s">
        <v>2014</v>
      </c>
      <c r="AA2448" t="s">
        <v>2029</v>
      </c>
      <c r="AB2448" t="s">
        <v>13066</v>
      </c>
      <c r="AC2448">
        <v>176531211</v>
      </c>
      <c r="AD2448" t="s">
        <v>15701</v>
      </c>
      <c r="AE2448">
        <v>101</v>
      </c>
      <c r="AF2448" t="s">
        <v>2904</v>
      </c>
      <c r="AH2448">
        <v>2</v>
      </c>
      <c r="AI2448">
        <v>4</v>
      </c>
      <c r="AJ2448">
        <v>0</v>
      </c>
      <c r="AK2448">
        <v>139.81</v>
      </c>
      <c r="AN2448" t="s">
        <v>2927</v>
      </c>
      <c r="AO2448">
        <v>36000</v>
      </c>
      <c r="AU2448">
        <v>1.2</v>
      </c>
      <c r="AV2448" t="s">
        <v>409</v>
      </c>
      <c r="AW2448" t="s">
        <v>3069</v>
      </c>
    </row>
    <row r="2449" spans="1:50">
      <c r="A2449" s="1" t="s">
        <v>74</v>
      </c>
      <c r="B2449" t="s">
        <v>164</v>
      </c>
      <c r="C2449" t="s">
        <v>5659</v>
      </c>
      <c r="D2449" t="s">
        <v>376</v>
      </c>
      <c r="E2449" t="s">
        <v>405</v>
      </c>
      <c r="F2449" t="s">
        <v>686</v>
      </c>
      <c r="G2449" t="s">
        <v>8017</v>
      </c>
      <c r="H2449" t="s">
        <v>10508</v>
      </c>
      <c r="I2449" t="s">
        <v>1534</v>
      </c>
      <c r="J2449" t="s">
        <v>1641</v>
      </c>
      <c r="K2449">
        <v>10460</v>
      </c>
      <c r="L2449" t="s">
        <v>1670</v>
      </c>
      <c r="M2449" t="s">
        <v>1672</v>
      </c>
      <c r="N2449" t="s">
        <v>12579</v>
      </c>
      <c r="O2449" t="s">
        <v>1940</v>
      </c>
      <c r="P2449" t="s">
        <v>1958</v>
      </c>
      <c r="Q2449" t="s">
        <v>1965</v>
      </c>
      <c r="R2449" t="s">
        <v>50</v>
      </c>
      <c r="S2449" t="s">
        <v>1671</v>
      </c>
      <c r="U2449" t="s">
        <v>1972</v>
      </c>
      <c r="V2449" t="s">
        <v>1984</v>
      </c>
      <c r="W2449" t="s">
        <v>1991</v>
      </c>
      <c r="X2449">
        <v>1200</v>
      </c>
      <c r="Y2449" t="s">
        <v>2006</v>
      </c>
      <c r="Z2449" t="s">
        <v>2013</v>
      </c>
      <c r="AA2449" t="s">
        <v>2032</v>
      </c>
      <c r="AB2449" t="s">
        <v>14765</v>
      </c>
      <c r="AD2449" t="s">
        <v>17171</v>
      </c>
      <c r="AE2449">
        <v>16</v>
      </c>
      <c r="AF2449" t="s">
        <v>2902</v>
      </c>
      <c r="AG2449" t="s">
        <v>1754</v>
      </c>
      <c r="AH2449">
        <v>13</v>
      </c>
      <c r="AI2449">
        <v>1</v>
      </c>
      <c r="AJ2449">
        <v>0</v>
      </c>
      <c r="AK2449">
        <v>140.03</v>
      </c>
      <c r="AN2449" t="s">
        <v>2926</v>
      </c>
      <c r="AO2449">
        <v>17000</v>
      </c>
      <c r="AP2449" t="s">
        <v>18102</v>
      </c>
      <c r="AT2449" t="s">
        <v>18597</v>
      </c>
      <c r="AU2449">
        <v>1</v>
      </c>
      <c r="AV2449" t="s">
        <v>376</v>
      </c>
      <c r="AW2449" t="s">
        <v>3058</v>
      </c>
      <c r="AX2449" t="s">
        <v>18685</v>
      </c>
    </row>
    <row r="2450" spans="1:50">
      <c r="A2450" s="1" t="s">
        <v>57</v>
      </c>
      <c r="B2450" t="s">
        <v>163</v>
      </c>
      <c r="C2450" t="s">
        <v>5660</v>
      </c>
      <c r="D2450" t="s">
        <v>245</v>
      </c>
      <c r="F2450" t="s">
        <v>488</v>
      </c>
      <c r="G2450" t="s">
        <v>911</v>
      </c>
      <c r="H2450" t="s">
        <v>1193</v>
      </c>
      <c r="I2450" t="s">
        <v>1548</v>
      </c>
      <c r="J2450" t="s">
        <v>1641</v>
      </c>
      <c r="K2450">
        <v>10456</v>
      </c>
      <c r="L2450" t="s">
        <v>1670</v>
      </c>
      <c r="M2450" t="s">
        <v>1670</v>
      </c>
      <c r="N2450" t="s">
        <v>1736</v>
      </c>
      <c r="O2450" t="s">
        <v>1938</v>
      </c>
      <c r="P2450" t="s">
        <v>1961</v>
      </c>
      <c r="R2450" t="s">
        <v>50</v>
      </c>
      <c r="S2450" t="s">
        <v>1670</v>
      </c>
      <c r="U2450" t="s">
        <v>1972</v>
      </c>
      <c r="W2450" t="s">
        <v>219</v>
      </c>
      <c r="X2450">
        <v>1380</v>
      </c>
      <c r="Y2450" t="s">
        <v>2006</v>
      </c>
      <c r="Z2450" t="s">
        <v>2015</v>
      </c>
      <c r="AB2450" t="s">
        <v>14002</v>
      </c>
      <c r="AD2450" t="s">
        <v>16439</v>
      </c>
      <c r="AE2450">
        <v>61</v>
      </c>
      <c r="AF2450" t="s">
        <v>2902</v>
      </c>
      <c r="AG2450" t="s">
        <v>2915</v>
      </c>
      <c r="AH2450">
        <v>17</v>
      </c>
      <c r="AI2450">
        <v>3</v>
      </c>
      <c r="AJ2450">
        <v>0</v>
      </c>
      <c r="AK2450">
        <v>140.13</v>
      </c>
      <c r="AN2450" t="s">
        <v>2927</v>
      </c>
      <c r="AO2450">
        <v>29120</v>
      </c>
      <c r="AU2450" t="s">
        <v>13051</v>
      </c>
      <c r="AW2450" t="s">
        <v>3046</v>
      </c>
    </row>
    <row r="2451" spans="1:50">
      <c r="A2451" s="1" t="s">
        <v>108</v>
      </c>
      <c r="B2451" t="s">
        <v>164</v>
      </c>
      <c r="C2451" t="s">
        <v>5661</v>
      </c>
      <c r="D2451" t="s">
        <v>378</v>
      </c>
      <c r="E2451" t="s">
        <v>359</v>
      </c>
      <c r="F2451" t="s">
        <v>7652</v>
      </c>
      <c r="G2451" t="s">
        <v>8972</v>
      </c>
      <c r="H2451" t="s">
        <v>10509</v>
      </c>
      <c r="I2451" t="s">
        <v>10957</v>
      </c>
      <c r="J2451" t="s">
        <v>1645</v>
      </c>
      <c r="K2451">
        <v>11691</v>
      </c>
      <c r="L2451" t="s">
        <v>1670</v>
      </c>
      <c r="M2451" t="s">
        <v>1670</v>
      </c>
      <c r="N2451" t="s">
        <v>12580</v>
      </c>
      <c r="O2451" t="s">
        <v>1940</v>
      </c>
      <c r="P2451" t="s">
        <v>1958</v>
      </c>
      <c r="Q2451" t="s">
        <v>1965</v>
      </c>
      <c r="R2451" t="s">
        <v>50</v>
      </c>
      <c r="S2451" t="s">
        <v>1671</v>
      </c>
      <c r="U2451" t="s">
        <v>1972</v>
      </c>
      <c r="V2451" t="s">
        <v>1984</v>
      </c>
      <c r="W2451" t="s">
        <v>1998</v>
      </c>
      <c r="X2451">
        <v>545</v>
      </c>
      <c r="Y2451" t="s">
        <v>2007</v>
      </c>
      <c r="Z2451" t="s">
        <v>2014</v>
      </c>
      <c r="AA2451" t="s">
        <v>2029</v>
      </c>
      <c r="AB2451" t="s">
        <v>14766</v>
      </c>
      <c r="AC2451" t="s">
        <v>15280</v>
      </c>
      <c r="AD2451" t="s">
        <v>17172</v>
      </c>
      <c r="AE2451">
        <v>6</v>
      </c>
      <c r="AF2451" t="s">
        <v>2902</v>
      </c>
      <c r="AG2451" t="s">
        <v>1754</v>
      </c>
      <c r="AH2451">
        <v>41</v>
      </c>
      <c r="AI2451">
        <v>2</v>
      </c>
      <c r="AJ2451">
        <v>0</v>
      </c>
      <c r="AK2451">
        <v>140.27</v>
      </c>
      <c r="AN2451" t="s">
        <v>2926</v>
      </c>
      <c r="AO2451">
        <v>23088</v>
      </c>
      <c r="AR2451" t="s">
        <v>2017</v>
      </c>
      <c r="AU2451">
        <v>0.2</v>
      </c>
      <c r="AV2451" t="s">
        <v>2003</v>
      </c>
      <c r="AW2451" t="s">
        <v>85</v>
      </c>
    </row>
    <row r="2452" spans="1:50">
      <c r="A2452" s="1" t="s">
        <v>52</v>
      </c>
      <c r="B2452" t="s">
        <v>163</v>
      </c>
      <c r="C2452" t="s">
        <v>5662</v>
      </c>
      <c r="D2452" t="s">
        <v>354</v>
      </c>
      <c r="F2452" t="s">
        <v>649</v>
      </c>
      <c r="G2452" t="s">
        <v>8973</v>
      </c>
      <c r="H2452" t="s">
        <v>10510</v>
      </c>
      <c r="I2452" t="s">
        <v>1497</v>
      </c>
      <c r="J2452" t="s">
        <v>1641</v>
      </c>
      <c r="K2452">
        <v>10459</v>
      </c>
      <c r="L2452" t="s">
        <v>1670</v>
      </c>
      <c r="M2452" t="s">
        <v>1672</v>
      </c>
      <c r="N2452" t="s">
        <v>12581</v>
      </c>
      <c r="O2452" t="s">
        <v>1936</v>
      </c>
      <c r="P2452" t="s">
        <v>1960</v>
      </c>
      <c r="R2452" t="s">
        <v>50</v>
      </c>
      <c r="S2452" t="s">
        <v>1671</v>
      </c>
      <c r="U2452" t="s">
        <v>1972</v>
      </c>
      <c r="V2452" t="s">
        <v>1987</v>
      </c>
      <c r="W2452" t="s">
        <v>1991</v>
      </c>
      <c r="X2452">
        <v>1000.12</v>
      </c>
      <c r="Y2452" t="s">
        <v>2006</v>
      </c>
      <c r="Z2452" t="s">
        <v>2014</v>
      </c>
      <c r="AB2452" t="s">
        <v>14767</v>
      </c>
      <c r="AC2452" t="s">
        <v>15281</v>
      </c>
      <c r="AD2452" t="s">
        <v>17173</v>
      </c>
      <c r="AE2452">
        <v>40</v>
      </c>
      <c r="AF2452" t="s">
        <v>2904</v>
      </c>
      <c r="AG2452" t="s">
        <v>2920</v>
      </c>
      <c r="AH2452">
        <v>9</v>
      </c>
      <c r="AI2452">
        <v>2</v>
      </c>
      <c r="AJ2452">
        <v>0</v>
      </c>
      <c r="AK2452">
        <v>140.56</v>
      </c>
      <c r="AN2452" t="s">
        <v>2926</v>
      </c>
      <c r="AO2452">
        <v>23769.32</v>
      </c>
      <c r="AU2452">
        <v>3</v>
      </c>
      <c r="AV2452" t="s">
        <v>3034</v>
      </c>
      <c r="AW2452" t="s">
        <v>3054</v>
      </c>
      <c r="AX2452" t="s">
        <v>18685</v>
      </c>
    </row>
    <row r="2453" spans="1:50">
      <c r="A2453" s="1" t="s">
        <v>91</v>
      </c>
      <c r="B2453" t="s">
        <v>163</v>
      </c>
      <c r="C2453" t="s">
        <v>5663</v>
      </c>
      <c r="D2453" t="s">
        <v>364</v>
      </c>
      <c r="F2453" t="s">
        <v>451</v>
      </c>
      <c r="G2453" t="s">
        <v>8654</v>
      </c>
      <c r="H2453" t="s">
        <v>1318</v>
      </c>
      <c r="I2453" t="s">
        <v>1506</v>
      </c>
      <c r="J2453" t="s">
        <v>1643</v>
      </c>
      <c r="K2453">
        <v>10032</v>
      </c>
      <c r="L2453" t="s">
        <v>1670</v>
      </c>
      <c r="M2453" t="s">
        <v>1672</v>
      </c>
      <c r="P2453" t="s">
        <v>1960</v>
      </c>
      <c r="R2453" t="s">
        <v>50</v>
      </c>
      <c r="S2453" t="s">
        <v>1671</v>
      </c>
      <c r="U2453" t="s">
        <v>1972</v>
      </c>
      <c r="W2453" t="s">
        <v>364</v>
      </c>
      <c r="X2453">
        <v>775</v>
      </c>
      <c r="Y2453" t="s">
        <v>2008</v>
      </c>
      <c r="Z2453" t="s">
        <v>2013</v>
      </c>
      <c r="AB2453" t="s">
        <v>14768</v>
      </c>
      <c r="AD2453" t="s">
        <v>17174</v>
      </c>
      <c r="AE2453">
        <v>48</v>
      </c>
      <c r="AF2453" t="s">
        <v>2902</v>
      </c>
      <c r="AG2453" t="s">
        <v>1754</v>
      </c>
      <c r="AH2453">
        <v>21</v>
      </c>
      <c r="AI2453">
        <v>3</v>
      </c>
      <c r="AJ2453">
        <v>0</v>
      </c>
      <c r="AK2453">
        <v>140.65</v>
      </c>
      <c r="AN2453" t="s">
        <v>2926</v>
      </c>
      <c r="AO2453">
        <v>30000</v>
      </c>
      <c r="AU2453">
        <v>0.65</v>
      </c>
      <c r="AV2453" t="s">
        <v>334</v>
      </c>
      <c r="AW2453" t="s">
        <v>3042</v>
      </c>
      <c r="AX2453" t="s">
        <v>18685</v>
      </c>
    </row>
    <row r="2454" spans="1:50">
      <c r="A2454" s="1" t="s">
        <v>3172</v>
      </c>
      <c r="B2454" t="s">
        <v>163</v>
      </c>
      <c r="C2454" t="s">
        <v>5664</v>
      </c>
      <c r="D2454" t="s">
        <v>190</v>
      </c>
      <c r="F2454" t="s">
        <v>7733</v>
      </c>
      <c r="G2454" t="s">
        <v>1017</v>
      </c>
      <c r="H2454" t="s">
        <v>10511</v>
      </c>
      <c r="I2454" t="s">
        <v>1517</v>
      </c>
      <c r="J2454" t="s">
        <v>1645</v>
      </c>
      <c r="K2454">
        <v>11691</v>
      </c>
      <c r="L2454" t="s">
        <v>1670</v>
      </c>
      <c r="M2454" t="s">
        <v>1670</v>
      </c>
      <c r="N2454" t="s">
        <v>12582</v>
      </c>
      <c r="O2454" t="s">
        <v>1940</v>
      </c>
      <c r="P2454" t="s">
        <v>1960</v>
      </c>
      <c r="R2454" t="s">
        <v>50</v>
      </c>
      <c r="S2454" t="s">
        <v>1671</v>
      </c>
      <c r="U2454" t="s">
        <v>1972</v>
      </c>
      <c r="V2454" t="s">
        <v>1984</v>
      </c>
      <c r="W2454" t="s">
        <v>254</v>
      </c>
      <c r="X2454">
        <v>700</v>
      </c>
      <c r="Y2454" t="s">
        <v>2007</v>
      </c>
      <c r="Z2454" t="s">
        <v>2014</v>
      </c>
      <c r="AB2454" t="s">
        <v>14769</v>
      </c>
      <c r="AC2454" t="s">
        <v>15282</v>
      </c>
      <c r="AD2454" t="s">
        <v>17175</v>
      </c>
      <c r="AE2454">
        <v>54</v>
      </c>
      <c r="AF2454" t="s">
        <v>2904</v>
      </c>
      <c r="AG2454" t="s">
        <v>1754</v>
      </c>
      <c r="AH2454">
        <v>1</v>
      </c>
      <c r="AI2454">
        <v>1</v>
      </c>
      <c r="AJ2454">
        <v>0</v>
      </c>
      <c r="AK2454">
        <v>140.66</v>
      </c>
      <c r="AN2454" t="s">
        <v>2926</v>
      </c>
      <c r="AO2454">
        <v>17568</v>
      </c>
      <c r="AU2454">
        <v>13.1</v>
      </c>
      <c r="AV2454" t="s">
        <v>337</v>
      </c>
      <c r="AW2454" t="s">
        <v>3044</v>
      </c>
    </row>
    <row r="2455" spans="1:50">
      <c r="A2455" s="1" t="s">
        <v>94</v>
      </c>
      <c r="B2455" t="s">
        <v>164</v>
      </c>
      <c r="C2455" t="s">
        <v>5665</v>
      </c>
      <c r="D2455" t="s">
        <v>240</v>
      </c>
      <c r="E2455" t="s">
        <v>235</v>
      </c>
      <c r="F2455" t="s">
        <v>6955</v>
      </c>
      <c r="G2455" t="s">
        <v>843</v>
      </c>
      <c r="H2455" t="s">
        <v>10512</v>
      </c>
      <c r="I2455" t="s">
        <v>1541</v>
      </c>
      <c r="J2455" t="s">
        <v>1643</v>
      </c>
      <c r="K2455">
        <v>10033</v>
      </c>
      <c r="L2455" t="s">
        <v>1670</v>
      </c>
      <c r="M2455" t="s">
        <v>1670</v>
      </c>
      <c r="O2455" t="s">
        <v>1936</v>
      </c>
      <c r="P2455" t="s">
        <v>1958</v>
      </c>
      <c r="Q2455" t="s">
        <v>1965</v>
      </c>
      <c r="R2455" t="s">
        <v>51</v>
      </c>
      <c r="S2455" t="s">
        <v>1671</v>
      </c>
      <c r="U2455" t="s">
        <v>1972</v>
      </c>
      <c r="W2455" t="s">
        <v>240</v>
      </c>
      <c r="X2455">
        <v>1725</v>
      </c>
      <c r="Y2455" t="s">
        <v>2008</v>
      </c>
      <c r="Z2455" t="s">
        <v>2019</v>
      </c>
      <c r="AA2455" t="s">
        <v>2029</v>
      </c>
      <c r="AB2455" t="s">
        <v>14770</v>
      </c>
      <c r="AD2455" t="s">
        <v>17176</v>
      </c>
      <c r="AE2455" t="s">
        <v>13051</v>
      </c>
      <c r="AF2455" t="s">
        <v>2902</v>
      </c>
      <c r="AG2455" t="s">
        <v>1754</v>
      </c>
      <c r="AH2455">
        <v>5</v>
      </c>
      <c r="AI2455">
        <v>2</v>
      </c>
      <c r="AJ2455">
        <v>0</v>
      </c>
      <c r="AK2455">
        <v>141.29</v>
      </c>
      <c r="AN2455" t="s">
        <v>2926</v>
      </c>
      <c r="AO2455">
        <v>23892</v>
      </c>
      <c r="AU2455">
        <v>2</v>
      </c>
      <c r="AV2455" t="s">
        <v>235</v>
      </c>
      <c r="AW2455" t="s">
        <v>3075</v>
      </c>
      <c r="AX2455" t="s">
        <v>18685</v>
      </c>
    </row>
    <row r="2456" spans="1:50">
      <c r="A2456" s="1" t="s">
        <v>73</v>
      </c>
      <c r="B2456" t="s">
        <v>163</v>
      </c>
      <c r="C2456" t="s">
        <v>5666</v>
      </c>
      <c r="D2456" t="s">
        <v>339</v>
      </c>
      <c r="F2456" t="s">
        <v>7435</v>
      </c>
      <c r="G2456" t="s">
        <v>8974</v>
      </c>
      <c r="H2456" t="s">
        <v>1293</v>
      </c>
      <c r="I2456" t="s">
        <v>1622</v>
      </c>
      <c r="J2456" t="s">
        <v>1645</v>
      </c>
      <c r="K2456">
        <v>11691</v>
      </c>
      <c r="L2456" t="s">
        <v>1670</v>
      </c>
      <c r="M2456" t="s">
        <v>1670</v>
      </c>
      <c r="O2456" t="s">
        <v>1938</v>
      </c>
      <c r="P2456" t="s">
        <v>1962</v>
      </c>
      <c r="R2456" t="s">
        <v>50</v>
      </c>
      <c r="S2456" t="s">
        <v>1670</v>
      </c>
      <c r="U2456" t="s">
        <v>1972</v>
      </c>
      <c r="W2456" t="s">
        <v>339</v>
      </c>
      <c r="X2456">
        <v>675</v>
      </c>
      <c r="Y2456" t="s">
        <v>2007</v>
      </c>
      <c r="Z2456" t="s">
        <v>2016</v>
      </c>
      <c r="AB2456" t="s">
        <v>14771</v>
      </c>
      <c r="AD2456" t="s">
        <v>17177</v>
      </c>
      <c r="AE2456">
        <v>43</v>
      </c>
      <c r="AF2456" t="s">
        <v>2902</v>
      </c>
      <c r="AG2456" t="s">
        <v>1754</v>
      </c>
      <c r="AH2456">
        <v>5</v>
      </c>
      <c r="AI2456">
        <v>2</v>
      </c>
      <c r="AJ2456">
        <v>0</v>
      </c>
      <c r="AK2456">
        <v>141.45</v>
      </c>
      <c r="AN2456" t="s">
        <v>2926</v>
      </c>
      <c r="AO2456">
        <v>23920</v>
      </c>
      <c r="AU2456" t="s">
        <v>13051</v>
      </c>
      <c r="AW2456" t="s">
        <v>3044</v>
      </c>
    </row>
    <row r="2457" spans="1:50">
      <c r="A2457" s="1" t="s">
        <v>73</v>
      </c>
      <c r="B2457" t="s">
        <v>163</v>
      </c>
      <c r="C2457" t="s">
        <v>5667</v>
      </c>
      <c r="D2457" t="s">
        <v>183</v>
      </c>
      <c r="F2457" t="s">
        <v>7435</v>
      </c>
      <c r="G2457" t="s">
        <v>8974</v>
      </c>
      <c r="H2457" t="s">
        <v>1293</v>
      </c>
      <c r="I2457" t="s">
        <v>11400</v>
      </c>
      <c r="J2457" t="s">
        <v>1645</v>
      </c>
      <c r="K2457">
        <v>11691</v>
      </c>
      <c r="L2457" t="s">
        <v>1670</v>
      </c>
      <c r="M2457" t="s">
        <v>1670</v>
      </c>
      <c r="O2457" t="s">
        <v>1938</v>
      </c>
      <c r="P2457" t="s">
        <v>1962</v>
      </c>
      <c r="R2457" t="s">
        <v>50</v>
      </c>
      <c r="S2457" t="s">
        <v>1670</v>
      </c>
      <c r="U2457" t="s">
        <v>1972</v>
      </c>
      <c r="W2457" t="s">
        <v>183</v>
      </c>
      <c r="X2457">
        <v>675</v>
      </c>
      <c r="Y2457" t="s">
        <v>2007</v>
      </c>
      <c r="Z2457" t="s">
        <v>2014</v>
      </c>
      <c r="AB2457" t="s">
        <v>14771</v>
      </c>
      <c r="AD2457" t="s">
        <v>17177</v>
      </c>
      <c r="AE2457">
        <v>43</v>
      </c>
      <c r="AH2457">
        <v>5</v>
      </c>
      <c r="AI2457">
        <v>2</v>
      </c>
      <c r="AJ2457">
        <v>0</v>
      </c>
      <c r="AK2457">
        <v>141.45</v>
      </c>
      <c r="AN2457" t="s">
        <v>2926</v>
      </c>
      <c r="AO2457">
        <v>23920</v>
      </c>
      <c r="AU2457" t="s">
        <v>13051</v>
      </c>
      <c r="AW2457" t="s">
        <v>3073</v>
      </c>
    </row>
    <row r="2458" spans="1:50">
      <c r="A2458" s="1" t="s">
        <v>73</v>
      </c>
      <c r="B2458" t="s">
        <v>163</v>
      </c>
      <c r="C2458" t="s">
        <v>5668</v>
      </c>
      <c r="D2458" t="s">
        <v>183</v>
      </c>
      <c r="F2458" t="s">
        <v>7435</v>
      </c>
      <c r="G2458" t="s">
        <v>8974</v>
      </c>
      <c r="H2458" t="s">
        <v>1293</v>
      </c>
      <c r="I2458" t="s">
        <v>11400</v>
      </c>
      <c r="J2458" t="s">
        <v>1645</v>
      </c>
      <c r="K2458">
        <v>11691</v>
      </c>
      <c r="L2458" t="s">
        <v>1670</v>
      </c>
      <c r="M2458" t="s">
        <v>1670</v>
      </c>
      <c r="O2458" t="s">
        <v>1941</v>
      </c>
      <c r="P2458" t="s">
        <v>1962</v>
      </c>
      <c r="R2458" t="s">
        <v>50</v>
      </c>
      <c r="S2458" t="s">
        <v>1670</v>
      </c>
      <c r="U2458" t="s">
        <v>1972</v>
      </c>
      <c r="W2458" t="s">
        <v>183</v>
      </c>
      <c r="X2458">
        <v>675</v>
      </c>
      <c r="Y2458" t="s">
        <v>2007</v>
      </c>
      <c r="AB2458" t="s">
        <v>14771</v>
      </c>
      <c r="AD2458" t="s">
        <v>17177</v>
      </c>
      <c r="AE2458">
        <v>43</v>
      </c>
      <c r="AH2458">
        <v>5</v>
      </c>
      <c r="AI2458">
        <v>2</v>
      </c>
      <c r="AJ2458">
        <v>0</v>
      </c>
      <c r="AK2458">
        <v>141.45</v>
      </c>
      <c r="AN2458" t="s">
        <v>2926</v>
      </c>
      <c r="AO2458">
        <v>23920</v>
      </c>
      <c r="AU2458" t="s">
        <v>13051</v>
      </c>
      <c r="AW2458" t="s">
        <v>3073</v>
      </c>
    </row>
    <row r="2459" spans="1:50">
      <c r="A2459" s="1" t="s">
        <v>153</v>
      </c>
      <c r="B2459" t="s">
        <v>164</v>
      </c>
      <c r="C2459" t="s">
        <v>5669</v>
      </c>
      <c r="D2459" t="s">
        <v>247</v>
      </c>
      <c r="E2459" t="s">
        <v>364</v>
      </c>
      <c r="F2459" t="s">
        <v>7734</v>
      </c>
      <c r="G2459" t="s">
        <v>1007</v>
      </c>
      <c r="H2459" t="s">
        <v>10513</v>
      </c>
      <c r="I2459" t="s">
        <v>10955</v>
      </c>
      <c r="J2459" t="s">
        <v>1641</v>
      </c>
      <c r="K2459">
        <v>10453</v>
      </c>
      <c r="L2459" t="s">
        <v>1670</v>
      </c>
      <c r="M2459" t="s">
        <v>1670</v>
      </c>
      <c r="N2459" t="s">
        <v>12583</v>
      </c>
      <c r="O2459" t="s">
        <v>1936</v>
      </c>
      <c r="P2459" t="s">
        <v>1960</v>
      </c>
      <c r="Q2459" t="s">
        <v>1969</v>
      </c>
      <c r="R2459" t="s">
        <v>50</v>
      </c>
      <c r="U2459" t="s">
        <v>1972</v>
      </c>
      <c r="V2459" t="s">
        <v>1986</v>
      </c>
      <c r="W2459" t="s">
        <v>247</v>
      </c>
      <c r="X2459">
        <v>1450</v>
      </c>
      <c r="Y2459" t="s">
        <v>2006</v>
      </c>
      <c r="Z2459" t="s">
        <v>2019</v>
      </c>
      <c r="AA2459" t="s">
        <v>2032</v>
      </c>
      <c r="AB2459" t="s">
        <v>14772</v>
      </c>
      <c r="AC2459" t="s">
        <v>15283</v>
      </c>
      <c r="AD2459" t="s">
        <v>17178</v>
      </c>
      <c r="AE2459">
        <v>31</v>
      </c>
      <c r="AF2459" t="s">
        <v>2902</v>
      </c>
      <c r="AG2459" t="s">
        <v>2915</v>
      </c>
      <c r="AH2459">
        <v>3</v>
      </c>
      <c r="AI2459">
        <v>2</v>
      </c>
      <c r="AJ2459">
        <v>0</v>
      </c>
      <c r="AK2459">
        <v>141.63</v>
      </c>
      <c r="AN2459" t="s">
        <v>2926</v>
      </c>
      <c r="AO2459">
        <v>23312</v>
      </c>
      <c r="AQ2459" t="s">
        <v>2978</v>
      </c>
      <c r="AR2459" t="s">
        <v>2982</v>
      </c>
      <c r="AS2459" t="s">
        <v>2992</v>
      </c>
      <c r="AT2459" t="s">
        <v>18598</v>
      </c>
      <c r="AU2459">
        <v>10.9</v>
      </c>
      <c r="AV2459" t="s">
        <v>407</v>
      </c>
      <c r="AW2459" t="s">
        <v>3082</v>
      </c>
    </row>
    <row r="2460" spans="1:50">
      <c r="A2460" s="1" t="s">
        <v>134</v>
      </c>
      <c r="B2460" t="s">
        <v>163</v>
      </c>
      <c r="C2460" t="s">
        <v>5670</v>
      </c>
      <c r="D2460" t="s">
        <v>333</v>
      </c>
      <c r="F2460" t="s">
        <v>7663</v>
      </c>
      <c r="G2460" t="s">
        <v>8510</v>
      </c>
      <c r="H2460" t="s">
        <v>9507</v>
      </c>
      <c r="I2460">
        <v>5</v>
      </c>
      <c r="J2460" t="s">
        <v>1643</v>
      </c>
      <c r="K2460">
        <v>10034</v>
      </c>
      <c r="L2460" t="s">
        <v>1670</v>
      </c>
      <c r="M2460" t="s">
        <v>1672</v>
      </c>
      <c r="O2460" t="s">
        <v>1945</v>
      </c>
      <c r="P2460" t="s">
        <v>1962</v>
      </c>
      <c r="R2460" t="s">
        <v>50</v>
      </c>
      <c r="S2460" t="s">
        <v>1671</v>
      </c>
      <c r="U2460" t="s">
        <v>1972</v>
      </c>
      <c r="W2460" t="s">
        <v>333</v>
      </c>
      <c r="X2460">
        <v>694.16</v>
      </c>
      <c r="Y2460" t="s">
        <v>2008</v>
      </c>
      <c r="Z2460" t="s">
        <v>2020</v>
      </c>
      <c r="AB2460" t="s">
        <v>14602</v>
      </c>
      <c r="AD2460" t="s">
        <v>17012</v>
      </c>
      <c r="AE2460">
        <v>25</v>
      </c>
      <c r="AG2460" t="s">
        <v>2919</v>
      </c>
      <c r="AH2460" t="s">
        <v>13051</v>
      </c>
      <c r="AI2460">
        <v>2</v>
      </c>
      <c r="AJ2460">
        <v>0</v>
      </c>
      <c r="AK2460">
        <v>141.93</v>
      </c>
      <c r="AN2460" t="s">
        <v>2926</v>
      </c>
      <c r="AO2460">
        <v>24000</v>
      </c>
      <c r="AU2460">
        <v>3.5</v>
      </c>
      <c r="AV2460" t="s">
        <v>346</v>
      </c>
      <c r="AW2460" t="s">
        <v>3042</v>
      </c>
      <c r="AX2460" t="s">
        <v>18685</v>
      </c>
    </row>
    <row r="2461" spans="1:50">
      <c r="A2461" s="1" t="s">
        <v>3172</v>
      </c>
      <c r="B2461" t="s">
        <v>163</v>
      </c>
      <c r="C2461" t="s">
        <v>5671</v>
      </c>
      <c r="D2461" t="s">
        <v>357</v>
      </c>
      <c r="F2461" t="s">
        <v>685</v>
      </c>
      <c r="G2461" t="s">
        <v>1086</v>
      </c>
      <c r="H2461" t="s">
        <v>10514</v>
      </c>
      <c r="I2461" t="s">
        <v>11401</v>
      </c>
      <c r="J2461" t="s">
        <v>1668</v>
      </c>
      <c r="K2461">
        <v>11354</v>
      </c>
      <c r="L2461" t="s">
        <v>1670</v>
      </c>
      <c r="M2461" t="s">
        <v>1672</v>
      </c>
      <c r="N2461" t="s">
        <v>11976</v>
      </c>
      <c r="O2461" t="s">
        <v>1938</v>
      </c>
      <c r="P2461" t="s">
        <v>1961</v>
      </c>
      <c r="R2461" t="s">
        <v>50</v>
      </c>
      <c r="S2461" t="s">
        <v>1670</v>
      </c>
      <c r="U2461" t="s">
        <v>1972</v>
      </c>
      <c r="V2461" t="s">
        <v>1984</v>
      </c>
      <c r="W2461" t="s">
        <v>357</v>
      </c>
      <c r="X2461">
        <v>1000</v>
      </c>
      <c r="Y2461" t="s">
        <v>2007</v>
      </c>
      <c r="Z2461" t="s">
        <v>2028</v>
      </c>
      <c r="AB2461" t="s">
        <v>14773</v>
      </c>
      <c r="AC2461" t="s">
        <v>15077</v>
      </c>
      <c r="AD2461" t="s">
        <v>15077</v>
      </c>
      <c r="AE2461">
        <v>91</v>
      </c>
      <c r="AF2461" t="s">
        <v>2902</v>
      </c>
      <c r="AG2461" t="s">
        <v>1754</v>
      </c>
      <c r="AH2461">
        <v>25</v>
      </c>
      <c r="AI2461">
        <v>2</v>
      </c>
      <c r="AJ2461">
        <v>0</v>
      </c>
      <c r="AK2461">
        <v>141.93</v>
      </c>
      <c r="AN2461" t="s">
        <v>2927</v>
      </c>
      <c r="AO2461">
        <v>24000</v>
      </c>
      <c r="AU2461">
        <v>17</v>
      </c>
      <c r="AV2461" t="s">
        <v>3034</v>
      </c>
      <c r="AW2461" t="s">
        <v>3172</v>
      </c>
      <c r="AX2461" t="s">
        <v>18685</v>
      </c>
    </row>
    <row r="2462" spans="1:50">
      <c r="A2462" s="1" t="s">
        <v>94</v>
      </c>
      <c r="B2462" t="s">
        <v>164</v>
      </c>
      <c r="C2462" t="s">
        <v>5672</v>
      </c>
      <c r="D2462" t="s">
        <v>264</v>
      </c>
      <c r="E2462" t="s">
        <v>306</v>
      </c>
      <c r="F2462" t="s">
        <v>7735</v>
      </c>
      <c r="G2462" t="s">
        <v>8975</v>
      </c>
      <c r="H2462" t="s">
        <v>10515</v>
      </c>
      <c r="I2462" t="s">
        <v>11402</v>
      </c>
      <c r="J2462" t="s">
        <v>1643</v>
      </c>
      <c r="K2462">
        <v>10033</v>
      </c>
      <c r="L2462" t="s">
        <v>1670</v>
      </c>
      <c r="M2462" t="s">
        <v>1670</v>
      </c>
      <c r="P2462" t="s">
        <v>1962</v>
      </c>
      <c r="Q2462" t="s">
        <v>1968</v>
      </c>
      <c r="R2462" t="s">
        <v>50</v>
      </c>
      <c r="S2462" t="s">
        <v>1671</v>
      </c>
      <c r="U2462" t="s">
        <v>1972</v>
      </c>
      <c r="W2462" t="s">
        <v>264</v>
      </c>
      <c r="X2462">
        <v>1468</v>
      </c>
      <c r="Y2462" t="s">
        <v>2008</v>
      </c>
      <c r="Z2462" t="s">
        <v>2013</v>
      </c>
      <c r="AA2462" t="s">
        <v>2029</v>
      </c>
      <c r="AB2462" t="s">
        <v>14774</v>
      </c>
      <c r="AD2462" t="s">
        <v>17179</v>
      </c>
      <c r="AE2462">
        <v>22</v>
      </c>
      <c r="AF2462" t="s">
        <v>2902</v>
      </c>
      <c r="AG2462" t="s">
        <v>2919</v>
      </c>
      <c r="AH2462">
        <v>24</v>
      </c>
      <c r="AI2462">
        <v>2</v>
      </c>
      <c r="AJ2462">
        <v>0</v>
      </c>
      <c r="AK2462">
        <v>141.94</v>
      </c>
      <c r="AN2462" t="s">
        <v>2927</v>
      </c>
      <c r="AO2462">
        <v>23364</v>
      </c>
      <c r="AU2462">
        <v>6.75</v>
      </c>
      <c r="AV2462" t="s">
        <v>306</v>
      </c>
      <c r="AW2462" t="s">
        <v>3042</v>
      </c>
    </row>
    <row r="2463" spans="1:50">
      <c r="A2463" s="1" t="s">
        <v>3150</v>
      </c>
      <c r="B2463" t="s">
        <v>163</v>
      </c>
      <c r="C2463" t="s">
        <v>5673</v>
      </c>
      <c r="D2463" t="s">
        <v>178</v>
      </c>
      <c r="F2463" t="s">
        <v>7736</v>
      </c>
      <c r="G2463" t="s">
        <v>965</v>
      </c>
      <c r="H2463" t="s">
        <v>10516</v>
      </c>
      <c r="I2463">
        <v>905</v>
      </c>
      <c r="J2463" t="s">
        <v>1643</v>
      </c>
      <c r="K2463">
        <v>10029</v>
      </c>
      <c r="L2463" t="s">
        <v>1670</v>
      </c>
      <c r="M2463" t="s">
        <v>1671</v>
      </c>
      <c r="O2463" t="s">
        <v>1953</v>
      </c>
      <c r="P2463" t="s">
        <v>1959</v>
      </c>
      <c r="R2463" t="s">
        <v>50</v>
      </c>
      <c r="S2463" t="s">
        <v>1671</v>
      </c>
      <c r="U2463" t="s">
        <v>1972</v>
      </c>
      <c r="W2463" t="s">
        <v>178</v>
      </c>
      <c r="X2463">
        <v>860</v>
      </c>
      <c r="Y2463" t="s">
        <v>2008</v>
      </c>
      <c r="Z2463" t="s">
        <v>2020</v>
      </c>
      <c r="AB2463" t="s">
        <v>14775</v>
      </c>
      <c r="AD2463" t="s">
        <v>17180</v>
      </c>
      <c r="AE2463">
        <v>31</v>
      </c>
      <c r="AF2463" t="s">
        <v>2913</v>
      </c>
      <c r="AG2463" t="s">
        <v>1754</v>
      </c>
      <c r="AH2463">
        <v>40</v>
      </c>
      <c r="AI2463">
        <v>1</v>
      </c>
      <c r="AJ2463">
        <v>0</v>
      </c>
      <c r="AK2463">
        <v>141.94</v>
      </c>
      <c r="AN2463" t="s">
        <v>2927</v>
      </c>
      <c r="AO2463">
        <v>17232</v>
      </c>
      <c r="AU2463">
        <v>29.9</v>
      </c>
      <c r="AV2463" t="s">
        <v>399</v>
      </c>
      <c r="AW2463" t="s">
        <v>3048</v>
      </c>
    </row>
    <row r="2464" spans="1:50">
      <c r="A2464" s="1" t="s">
        <v>97</v>
      </c>
      <c r="B2464" t="s">
        <v>163</v>
      </c>
      <c r="C2464" t="s">
        <v>5674</v>
      </c>
      <c r="D2464" t="s">
        <v>169</v>
      </c>
      <c r="F2464" t="s">
        <v>7737</v>
      </c>
      <c r="G2464" t="s">
        <v>1020</v>
      </c>
      <c r="H2464" t="s">
        <v>10517</v>
      </c>
      <c r="I2464" t="s">
        <v>1506</v>
      </c>
      <c r="J2464" t="s">
        <v>1643</v>
      </c>
      <c r="K2464">
        <v>10033</v>
      </c>
      <c r="L2464" t="s">
        <v>1670</v>
      </c>
      <c r="M2464" t="s">
        <v>1670</v>
      </c>
      <c r="N2464" t="s">
        <v>12584</v>
      </c>
      <c r="O2464" t="s">
        <v>1936</v>
      </c>
      <c r="P2464" t="s">
        <v>1960</v>
      </c>
      <c r="R2464" t="s">
        <v>50</v>
      </c>
      <c r="S2464" t="s">
        <v>1671</v>
      </c>
      <c r="U2464" t="s">
        <v>1972</v>
      </c>
      <c r="W2464" t="s">
        <v>169</v>
      </c>
      <c r="X2464">
        <v>787.03</v>
      </c>
      <c r="Y2464" t="s">
        <v>2008</v>
      </c>
      <c r="Z2464" t="s">
        <v>2013</v>
      </c>
      <c r="AB2464" t="s">
        <v>14776</v>
      </c>
      <c r="AC2464" t="s">
        <v>15284</v>
      </c>
      <c r="AD2464" t="s">
        <v>17181</v>
      </c>
      <c r="AE2464">
        <v>16</v>
      </c>
      <c r="AF2464" t="s">
        <v>2902</v>
      </c>
      <c r="AG2464" t="s">
        <v>2919</v>
      </c>
      <c r="AH2464">
        <v>10</v>
      </c>
      <c r="AI2464">
        <v>2</v>
      </c>
      <c r="AJ2464">
        <v>0</v>
      </c>
      <c r="AK2464">
        <v>142.75</v>
      </c>
      <c r="AN2464" t="s">
        <v>2926</v>
      </c>
      <c r="AO2464">
        <v>23496</v>
      </c>
      <c r="AU2464">
        <v>26.8</v>
      </c>
      <c r="AV2464" t="s">
        <v>3034</v>
      </c>
      <c r="AW2464" t="s">
        <v>3042</v>
      </c>
      <c r="AX2464" t="s">
        <v>18685</v>
      </c>
    </row>
    <row r="2465" spans="1:50">
      <c r="A2465" s="1" t="s">
        <v>75</v>
      </c>
      <c r="B2465" t="s">
        <v>164</v>
      </c>
      <c r="C2465" t="s">
        <v>5675</v>
      </c>
      <c r="D2465" t="s">
        <v>180</v>
      </c>
      <c r="E2465" t="s">
        <v>270</v>
      </c>
      <c r="F2465" t="s">
        <v>7738</v>
      </c>
      <c r="G2465" t="s">
        <v>8976</v>
      </c>
      <c r="H2465" t="s">
        <v>10085</v>
      </c>
      <c r="I2465">
        <v>3210</v>
      </c>
      <c r="J2465" t="s">
        <v>1643</v>
      </c>
      <c r="K2465">
        <v>10029</v>
      </c>
      <c r="L2465" t="s">
        <v>1670</v>
      </c>
      <c r="M2465" t="s">
        <v>1670</v>
      </c>
      <c r="N2465" t="s">
        <v>1693</v>
      </c>
      <c r="O2465" t="s">
        <v>1675</v>
      </c>
      <c r="P2465" t="s">
        <v>1958</v>
      </c>
      <c r="Q2465" t="s">
        <v>1965</v>
      </c>
      <c r="R2465" t="s">
        <v>50</v>
      </c>
      <c r="S2465" t="s">
        <v>1671</v>
      </c>
      <c r="U2465" t="s">
        <v>1972</v>
      </c>
      <c r="V2465" t="s">
        <v>1984</v>
      </c>
      <c r="W2465" t="s">
        <v>349</v>
      </c>
      <c r="X2465">
        <v>1200</v>
      </c>
      <c r="Y2465" t="s">
        <v>2008</v>
      </c>
      <c r="Z2465" t="s">
        <v>2021</v>
      </c>
      <c r="AA2465" t="s">
        <v>2029</v>
      </c>
      <c r="AB2465" t="s">
        <v>14777</v>
      </c>
      <c r="AD2465" t="s">
        <v>17182</v>
      </c>
      <c r="AE2465">
        <v>320</v>
      </c>
      <c r="AF2465" t="s">
        <v>2909</v>
      </c>
      <c r="AG2465" t="s">
        <v>2915</v>
      </c>
      <c r="AH2465">
        <v>43</v>
      </c>
      <c r="AI2465">
        <v>1</v>
      </c>
      <c r="AJ2465">
        <v>0</v>
      </c>
      <c r="AK2465">
        <v>143.13</v>
      </c>
      <c r="AN2465" t="s">
        <v>2926</v>
      </c>
      <c r="AO2465">
        <v>17376</v>
      </c>
      <c r="AU2465">
        <v>0.5</v>
      </c>
      <c r="AV2465" t="s">
        <v>180</v>
      </c>
      <c r="AW2465" t="s">
        <v>3067</v>
      </c>
    </row>
    <row r="2466" spans="1:50">
      <c r="A2466" s="1" t="s">
        <v>73</v>
      </c>
      <c r="B2466" t="s">
        <v>164</v>
      </c>
      <c r="C2466" t="s">
        <v>5676</v>
      </c>
      <c r="D2466" t="s">
        <v>344</v>
      </c>
      <c r="E2466" t="s">
        <v>211</v>
      </c>
      <c r="F2466" t="s">
        <v>7484</v>
      </c>
      <c r="G2466" t="s">
        <v>8977</v>
      </c>
      <c r="H2466" t="s">
        <v>10518</v>
      </c>
      <c r="I2466" t="s">
        <v>1522</v>
      </c>
      <c r="J2466" t="s">
        <v>11739</v>
      </c>
      <c r="K2466">
        <v>11372</v>
      </c>
      <c r="L2466" t="s">
        <v>1670</v>
      </c>
      <c r="M2466" t="s">
        <v>1670</v>
      </c>
      <c r="N2466" t="s">
        <v>12585</v>
      </c>
      <c r="O2466" t="s">
        <v>1940</v>
      </c>
      <c r="P2466" t="s">
        <v>1958</v>
      </c>
      <c r="Q2466" t="s">
        <v>1965</v>
      </c>
      <c r="R2466" t="s">
        <v>50</v>
      </c>
      <c r="S2466" t="s">
        <v>1671</v>
      </c>
      <c r="U2466" t="s">
        <v>1972</v>
      </c>
      <c r="V2466" t="s">
        <v>1984</v>
      </c>
      <c r="W2466" t="s">
        <v>292</v>
      </c>
      <c r="X2466">
        <v>1050</v>
      </c>
      <c r="Y2466" t="s">
        <v>2007</v>
      </c>
      <c r="Z2466" t="s">
        <v>2014</v>
      </c>
      <c r="AA2466" t="s">
        <v>2029</v>
      </c>
      <c r="AB2466" t="s">
        <v>14778</v>
      </c>
      <c r="AD2466" t="s">
        <v>17183</v>
      </c>
      <c r="AE2466">
        <v>120</v>
      </c>
      <c r="AF2466" t="s">
        <v>2911</v>
      </c>
      <c r="AG2466" t="s">
        <v>1754</v>
      </c>
      <c r="AH2466">
        <v>11</v>
      </c>
      <c r="AI2466">
        <v>1</v>
      </c>
      <c r="AJ2466">
        <v>0</v>
      </c>
      <c r="AK2466">
        <v>143.62</v>
      </c>
      <c r="AN2466" t="s">
        <v>2926</v>
      </c>
      <c r="AO2466">
        <v>17436</v>
      </c>
      <c r="AU2466">
        <v>1.1</v>
      </c>
      <c r="AV2466" t="s">
        <v>211</v>
      </c>
      <c r="AW2466" t="s">
        <v>85</v>
      </c>
    </row>
    <row r="2467" spans="1:50">
      <c r="A2467" s="1" t="s">
        <v>139</v>
      </c>
      <c r="B2467" t="s">
        <v>164</v>
      </c>
      <c r="C2467" t="s">
        <v>5677</v>
      </c>
      <c r="D2467" t="s">
        <v>328</v>
      </c>
      <c r="E2467" t="s">
        <v>290</v>
      </c>
      <c r="F2467" t="s">
        <v>7739</v>
      </c>
      <c r="G2467" t="s">
        <v>8978</v>
      </c>
      <c r="H2467" t="s">
        <v>10519</v>
      </c>
      <c r="I2467" t="s">
        <v>1520</v>
      </c>
      <c r="J2467" t="s">
        <v>1643</v>
      </c>
      <c r="K2467">
        <v>10065</v>
      </c>
      <c r="L2467" t="s">
        <v>1670</v>
      </c>
      <c r="M2467" t="s">
        <v>1672</v>
      </c>
      <c r="O2467" t="s">
        <v>1675</v>
      </c>
      <c r="P2467" t="s">
        <v>1958</v>
      </c>
      <c r="Q2467" t="s">
        <v>1965</v>
      </c>
      <c r="R2467" t="s">
        <v>50</v>
      </c>
      <c r="S2467" t="s">
        <v>1671</v>
      </c>
      <c r="U2467" t="s">
        <v>1972</v>
      </c>
      <c r="V2467" t="s">
        <v>1984</v>
      </c>
      <c r="W2467" t="s">
        <v>328</v>
      </c>
      <c r="X2467">
        <v>1500</v>
      </c>
      <c r="Y2467" t="s">
        <v>2008</v>
      </c>
      <c r="Z2467" t="s">
        <v>2016</v>
      </c>
      <c r="AA2467" t="s">
        <v>2029</v>
      </c>
      <c r="AB2467" t="s">
        <v>13451</v>
      </c>
      <c r="AD2467" t="s">
        <v>17184</v>
      </c>
      <c r="AE2467">
        <v>131</v>
      </c>
      <c r="AF2467" t="s">
        <v>2902</v>
      </c>
      <c r="AG2467" t="s">
        <v>1754</v>
      </c>
      <c r="AH2467">
        <v>20</v>
      </c>
      <c r="AI2467">
        <v>1</v>
      </c>
      <c r="AJ2467">
        <v>0</v>
      </c>
      <c r="AK2467">
        <v>144.12</v>
      </c>
      <c r="AN2467" t="s">
        <v>2926</v>
      </c>
      <c r="AO2467">
        <v>18000</v>
      </c>
      <c r="AU2467">
        <v>3.4</v>
      </c>
      <c r="AV2467" t="s">
        <v>290</v>
      </c>
      <c r="AW2467" t="s">
        <v>3061</v>
      </c>
      <c r="AX2467" t="s">
        <v>18685</v>
      </c>
    </row>
    <row r="2468" spans="1:50">
      <c r="A2468" s="1" t="s">
        <v>73</v>
      </c>
      <c r="B2468" t="s">
        <v>163</v>
      </c>
      <c r="C2468" t="s">
        <v>5678</v>
      </c>
      <c r="D2468" t="s">
        <v>203</v>
      </c>
      <c r="F2468" t="s">
        <v>427</v>
      </c>
      <c r="G2468" t="s">
        <v>914</v>
      </c>
      <c r="H2468" t="s">
        <v>1293</v>
      </c>
      <c r="I2468" t="s">
        <v>1507</v>
      </c>
      <c r="J2468" t="s">
        <v>1645</v>
      </c>
      <c r="K2468">
        <v>11691</v>
      </c>
      <c r="L2468" t="s">
        <v>1670</v>
      </c>
      <c r="M2468" t="s">
        <v>1670</v>
      </c>
      <c r="O2468" t="s">
        <v>1938</v>
      </c>
      <c r="P2468" t="s">
        <v>1962</v>
      </c>
      <c r="R2468" t="s">
        <v>50</v>
      </c>
      <c r="S2468" t="s">
        <v>1670</v>
      </c>
      <c r="U2468" t="s">
        <v>1972</v>
      </c>
      <c r="W2468" t="s">
        <v>203</v>
      </c>
      <c r="X2468">
        <v>660</v>
      </c>
      <c r="Y2468" t="s">
        <v>2007</v>
      </c>
      <c r="Z2468" t="s">
        <v>2016</v>
      </c>
      <c r="AB2468" t="s">
        <v>14779</v>
      </c>
      <c r="AD2468" t="s">
        <v>17185</v>
      </c>
      <c r="AE2468">
        <v>43</v>
      </c>
      <c r="AF2468" t="s">
        <v>2902</v>
      </c>
      <c r="AG2468" t="s">
        <v>2017</v>
      </c>
      <c r="AH2468">
        <v>40</v>
      </c>
      <c r="AI2468">
        <v>1</v>
      </c>
      <c r="AJ2468">
        <v>0</v>
      </c>
      <c r="AK2468">
        <v>144.12</v>
      </c>
      <c r="AN2468" t="s">
        <v>2926</v>
      </c>
      <c r="AO2468">
        <v>18000</v>
      </c>
      <c r="AU2468">
        <v>0.05</v>
      </c>
      <c r="AV2468" t="s">
        <v>346</v>
      </c>
      <c r="AW2468" t="s">
        <v>3044</v>
      </c>
    </row>
    <row r="2469" spans="1:50">
      <c r="A2469" s="1" t="s">
        <v>73</v>
      </c>
      <c r="B2469" t="s">
        <v>163</v>
      </c>
      <c r="C2469" t="s">
        <v>5679</v>
      </c>
      <c r="D2469" t="s">
        <v>203</v>
      </c>
      <c r="F2469" t="s">
        <v>427</v>
      </c>
      <c r="G2469" t="s">
        <v>914</v>
      </c>
      <c r="H2469" t="s">
        <v>1293</v>
      </c>
      <c r="I2469" t="s">
        <v>1507</v>
      </c>
      <c r="J2469" t="s">
        <v>1645</v>
      </c>
      <c r="K2469">
        <v>11691</v>
      </c>
      <c r="L2469" t="s">
        <v>1670</v>
      </c>
      <c r="M2469" t="s">
        <v>1670</v>
      </c>
      <c r="O2469" t="s">
        <v>1941</v>
      </c>
      <c r="P2469" t="s">
        <v>1962</v>
      </c>
      <c r="R2469" t="s">
        <v>50</v>
      </c>
      <c r="S2469" t="s">
        <v>1671</v>
      </c>
      <c r="U2469" t="s">
        <v>1972</v>
      </c>
      <c r="W2469" t="s">
        <v>203</v>
      </c>
      <c r="X2469">
        <v>660</v>
      </c>
      <c r="Y2469" t="s">
        <v>2007</v>
      </c>
      <c r="Z2469" t="s">
        <v>2016</v>
      </c>
      <c r="AB2469" t="s">
        <v>14779</v>
      </c>
      <c r="AD2469" t="s">
        <v>17185</v>
      </c>
      <c r="AE2469">
        <v>43</v>
      </c>
      <c r="AF2469" t="s">
        <v>2902</v>
      </c>
      <c r="AG2469" t="s">
        <v>1754</v>
      </c>
      <c r="AH2469">
        <v>40</v>
      </c>
      <c r="AI2469">
        <v>1</v>
      </c>
      <c r="AJ2469">
        <v>0</v>
      </c>
      <c r="AK2469">
        <v>144.12</v>
      </c>
      <c r="AN2469" t="s">
        <v>2926</v>
      </c>
      <c r="AO2469">
        <v>18000</v>
      </c>
      <c r="AU2469">
        <v>0.05</v>
      </c>
      <c r="AV2469" t="s">
        <v>346</v>
      </c>
      <c r="AW2469" t="s">
        <v>3044</v>
      </c>
    </row>
    <row r="2470" spans="1:50">
      <c r="A2470" s="1" t="s">
        <v>74</v>
      </c>
      <c r="B2470" t="s">
        <v>163</v>
      </c>
      <c r="C2470" t="s">
        <v>5680</v>
      </c>
      <c r="D2470" t="s">
        <v>191</v>
      </c>
      <c r="F2470" t="s">
        <v>608</v>
      </c>
      <c r="G2470" t="s">
        <v>8979</v>
      </c>
      <c r="H2470" t="s">
        <v>1131</v>
      </c>
      <c r="I2470" t="s">
        <v>11403</v>
      </c>
      <c r="J2470" t="s">
        <v>1641</v>
      </c>
      <c r="K2470">
        <v>10460</v>
      </c>
      <c r="L2470" t="s">
        <v>1670</v>
      </c>
      <c r="M2470" t="s">
        <v>1672</v>
      </c>
      <c r="N2470" t="s">
        <v>1691</v>
      </c>
      <c r="O2470" t="s">
        <v>1675</v>
      </c>
      <c r="P2470" t="s">
        <v>1959</v>
      </c>
      <c r="R2470" t="s">
        <v>50</v>
      </c>
      <c r="S2470" t="s">
        <v>1670</v>
      </c>
      <c r="U2470" t="s">
        <v>1972</v>
      </c>
      <c r="W2470" t="s">
        <v>1991</v>
      </c>
      <c r="X2470">
        <v>500</v>
      </c>
      <c r="Y2470" t="s">
        <v>2006</v>
      </c>
      <c r="Z2470" t="s">
        <v>2015</v>
      </c>
      <c r="AB2470" t="s">
        <v>14266</v>
      </c>
      <c r="AD2470" t="s">
        <v>17186</v>
      </c>
      <c r="AE2470">
        <v>168</v>
      </c>
      <c r="AF2470" t="s">
        <v>2904</v>
      </c>
      <c r="AG2470" t="s">
        <v>2915</v>
      </c>
      <c r="AH2470">
        <v>5</v>
      </c>
      <c r="AI2470">
        <v>1</v>
      </c>
      <c r="AJ2470">
        <v>0</v>
      </c>
      <c r="AK2470">
        <v>144.12</v>
      </c>
      <c r="AN2470" t="s">
        <v>2926</v>
      </c>
      <c r="AO2470">
        <v>18000</v>
      </c>
      <c r="AU2470" t="s">
        <v>13051</v>
      </c>
      <c r="AW2470" t="s">
        <v>3047</v>
      </c>
      <c r="AX2470" t="s">
        <v>18685</v>
      </c>
    </row>
    <row r="2471" spans="1:50">
      <c r="A2471" s="1" t="s">
        <v>115</v>
      </c>
      <c r="B2471" t="s">
        <v>163</v>
      </c>
      <c r="C2471" t="s">
        <v>5681</v>
      </c>
      <c r="D2471" t="s">
        <v>350</v>
      </c>
      <c r="F2471" t="s">
        <v>7146</v>
      </c>
      <c r="G2471" t="s">
        <v>8980</v>
      </c>
      <c r="H2471" t="s">
        <v>1112</v>
      </c>
      <c r="I2471" t="s">
        <v>11109</v>
      </c>
      <c r="J2471" t="s">
        <v>1641</v>
      </c>
      <c r="K2471">
        <v>10453</v>
      </c>
      <c r="L2471" t="s">
        <v>1670</v>
      </c>
      <c r="M2471" t="s">
        <v>1670</v>
      </c>
      <c r="O2471" t="s">
        <v>1945</v>
      </c>
      <c r="P2471" t="s">
        <v>1959</v>
      </c>
      <c r="R2471" t="s">
        <v>50</v>
      </c>
      <c r="S2471" t="s">
        <v>1671</v>
      </c>
      <c r="U2471" t="s">
        <v>1980</v>
      </c>
      <c r="W2471" t="s">
        <v>350</v>
      </c>
      <c r="X2471">
        <v>1020.49</v>
      </c>
      <c r="Y2471" t="s">
        <v>2006</v>
      </c>
      <c r="Z2471" t="s">
        <v>2016</v>
      </c>
      <c r="AB2471" t="s">
        <v>14780</v>
      </c>
      <c r="AD2471" t="s">
        <v>17187</v>
      </c>
      <c r="AE2471">
        <v>170</v>
      </c>
      <c r="AF2471" t="s">
        <v>2902</v>
      </c>
      <c r="AG2471" t="s">
        <v>1754</v>
      </c>
      <c r="AH2471">
        <v>10</v>
      </c>
      <c r="AI2471">
        <v>1</v>
      </c>
      <c r="AJ2471">
        <v>0</v>
      </c>
      <c r="AK2471">
        <v>144.12</v>
      </c>
      <c r="AN2471" t="s">
        <v>2926</v>
      </c>
      <c r="AO2471">
        <v>18000</v>
      </c>
      <c r="AU2471">
        <v>1.9</v>
      </c>
      <c r="AV2471" t="s">
        <v>258</v>
      </c>
      <c r="AW2471" t="s">
        <v>115</v>
      </c>
    </row>
    <row r="2472" spans="1:50">
      <c r="A2472" s="1" t="s">
        <v>57</v>
      </c>
      <c r="B2472" t="s">
        <v>163</v>
      </c>
      <c r="C2472" t="s">
        <v>5682</v>
      </c>
      <c r="D2472" t="s">
        <v>266</v>
      </c>
      <c r="F2472" t="s">
        <v>7146</v>
      </c>
      <c r="G2472" t="s">
        <v>8980</v>
      </c>
      <c r="H2472" t="s">
        <v>1112</v>
      </c>
      <c r="I2472" t="s">
        <v>11109</v>
      </c>
      <c r="J2472" t="s">
        <v>1641</v>
      </c>
      <c r="K2472">
        <v>10453</v>
      </c>
      <c r="L2472" t="s">
        <v>1670</v>
      </c>
      <c r="M2472" t="s">
        <v>1670</v>
      </c>
      <c r="O2472" t="s">
        <v>1938</v>
      </c>
      <c r="P2472" t="s">
        <v>1961</v>
      </c>
      <c r="R2472" t="s">
        <v>50</v>
      </c>
      <c r="S2472" t="s">
        <v>1670</v>
      </c>
      <c r="U2472" t="s">
        <v>1972</v>
      </c>
      <c r="W2472" t="s">
        <v>283</v>
      </c>
      <c r="X2472">
        <v>1020.49</v>
      </c>
      <c r="Y2472" t="s">
        <v>2006</v>
      </c>
      <c r="Z2472" t="s">
        <v>2016</v>
      </c>
      <c r="AB2472" t="s">
        <v>14780</v>
      </c>
      <c r="AD2472" t="s">
        <v>17187</v>
      </c>
      <c r="AE2472">
        <v>170</v>
      </c>
      <c r="AF2472" t="s">
        <v>2902</v>
      </c>
      <c r="AG2472" t="s">
        <v>1754</v>
      </c>
      <c r="AH2472">
        <v>10</v>
      </c>
      <c r="AI2472">
        <v>1</v>
      </c>
      <c r="AJ2472">
        <v>0</v>
      </c>
      <c r="AK2472">
        <v>144.12</v>
      </c>
      <c r="AN2472" t="s">
        <v>2926</v>
      </c>
      <c r="AO2472">
        <v>18000</v>
      </c>
      <c r="AU2472" t="s">
        <v>13051</v>
      </c>
      <c r="AW2472" t="s">
        <v>3045</v>
      </c>
    </row>
    <row r="2473" spans="1:50">
      <c r="A2473" s="1" t="s">
        <v>107</v>
      </c>
      <c r="B2473" t="s">
        <v>163</v>
      </c>
      <c r="C2473" t="s">
        <v>5683</v>
      </c>
      <c r="D2473" t="s">
        <v>339</v>
      </c>
      <c r="F2473" t="s">
        <v>7740</v>
      </c>
      <c r="G2473" t="s">
        <v>8105</v>
      </c>
      <c r="H2473" t="s">
        <v>10520</v>
      </c>
      <c r="I2473" t="s">
        <v>1602</v>
      </c>
      <c r="J2473" t="s">
        <v>1644</v>
      </c>
      <c r="K2473">
        <v>11233</v>
      </c>
      <c r="L2473" t="s">
        <v>1670</v>
      </c>
      <c r="M2473" t="s">
        <v>1670</v>
      </c>
      <c r="N2473" t="s">
        <v>12586</v>
      </c>
      <c r="O2473" t="s">
        <v>1936</v>
      </c>
      <c r="P2473" t="s">
        <v>1960</v>
      </c>
      <c r="R2473" t="s">
        <v>50</v>
      </c>
      <c r="U2473" t="s">
        <v>1972</v>
      </c>
      <c r="W2473" t="s">
        <v>339</v>
      </c>
      <c r="X2473">
        <v>327.05</v>
      </c>
      <c r="Y2473" t="s">
        <v>2009</v>
      </c>
      <c r="Z2473" t="s">
        <v>2014</v>
      </c>
      <c r="AB2473" t="s">
        <v>14781</v>
      </c>
      <c r="AD2473" t="s">
        <v>17188</v>
      </c>
      <c r="AE2473">
        <v>6</v>
      </c>
      <c r="AF2473" t="s">
        <v>2908</v>
      </c>
      <c r="AH2473">
        <v>44</v>
      </c>
      <c r="AI2473">
        <v>1</v>
      </c>
      <c r="AJ2473">
        <v>0</v>
      </c>
      <c r="AK2473">
        <v>144.12</v>
      </c>
      <c r="AN2473" t="s">
        <v>2926</v>
      </c>
      <c r="AO2473">
        <v>18000</v>
      </c>
      <c r="AU2473">
        <v>8.75</v>
      </c>
      <c r="AV2473" t="s">
        <v>198</v>
      </c>
      <c r="AW2473" t="s">
        <v>3049</v>
      </c>
      <c r="AX2473" t="s">
        <v>18685</v>
      </c>
    </row>
    <row r="2474" spans="1:50">
      <c r="A2474" s="1" t="s">
        <v>66</v>
      </c>
      <c r="B2474" t="s">
        <v>163</v>
      </c>
      <c r="C2474" t="s">
        <v>5684</v>
      </c>
      <c r="D2474" t="s">
        <v>195</v>
      </c>
      <c r="F2474" t="s">
        <v>7741</v>
      </c>
      <c r="G2474" t="s">
        <v>8981</v>
      </c>
      <c r="H2474" t="s">
        <v>10521</v>
      </c>
      <c r="I2474" t="s">
        <v>11185</v>
      </c>
      <c r="J2474" t="s">
        <v>1644</v>
      </c>
      <c r="K2474">
        <v>11207</v>
      </c>
      <c r="L2474" t="s">
        <v>1670</v>
      </c>
      <c r="M2474" t="s">
        <v>1672</v>
      </c>
      <c r="N2474" t="s">
        <v>12587</v>
      </c>
      <c r="O2474" t="s">
        <v>1940</v>
      </c>
      <c r="P2474" t="s">
        <v>1960</v>
      </c>
      <c r="R2474" t="s">
        <v>50</v>
      </c>
      <c r="S2474" t="s">
        <v>1671</v>
      </c>
      <c r="U2474" t="s">
        <v>1972</v>
      </c>
      <c r="V2474" t="s">
        <v>1984</v>
      </c>
      <c r="W2474" t="s">
        <v>203</v>
      </c>
      <c r="X2474">
        <v>600</v>
      </c>
      <c r="Y2474" t="s">
        <v>2009</v>
      </c>
      <c r="Z2474" t="s">
        <v>2020</v>
      </c>
      <c r="AB2474" t="s">
        <v>14782</v>
      </c>
      <c r="AD2474" t="s">
        <v>17189</v>
      </c>
      <c r="AE2474">
        <v>3</v>
      </c>
      <c r="AG2474" t="s">
        <v>1754</v>
      </c>
      <c r="AH2474">
        <v>3</v>
      </c>
      <c r="AI2474">
        <v>1</v>
      </c>
      <c r="AJ2474">
        <v>0</v>
      </c>
      <c r="AK2474">
        <v>144.12</v>
      </c>
      <c r="AN2474" t="s">
        <v>2926</v>
      </c>
      <c r="AO2474">
        <v>18000</v>
      </c>
      <c r="AU2474">
        <v>19.2</v>
      </c>
      <c r="AV2474" t="s">
        <v>3034</v>
      </c>
      <c r="AW2474" t="s">
        <v>3058</v>
      </c>
      <c r="AX2474" t="s">
        <v>18685</v>
      </c>
    </row>
    <row r="2475" spans="1:50">
      <c r="A2475" s="1" t="s">
        <v>94</v>
      </c>
      <c r="B2475" t="s">
        <v>164</v>
      </c>
      <c r="C2475" t="s">
        <v>5685</v>
      </c>
      <c r="D2475" t="s">
        <v>250</v>
      </c>
      <c r="E2475" t="s">
        <v>342</v>
      </c>
      <c r="F2475" t="s">
        <v>431</v>
      </c>
      <c r="G2475" t="s">
        <v>8982</v>
      </c>
      <c r="H2475" t="s">
        <v>10522</v>
      </c>
      <c r="I2475" t="s">
        <v>1554</v>
      </c>
      <c r="J2475" t="s">
        <v>1643</v>
      </c>
      <c r="K2475">
        <v>10034</v>
      </c>
      <c r="L2475" t="s">
        <v>1670</v>
      </c>
      <c r="M2475" t="s">
        <v>1670</v>
      </c>
      <c r="P2475" t="s">
        <v>1958</v>
      </c>
      <c r="Q2475" t="s">
        <v>1965</v>
      </c>
      <c r="R2475" t="s">
        <v>50</v>
      </c>
      <c r="S2475" t="s">
        <v>1671</v>
      </c>
      <c r="U2475" t="s">
        <v>1972</v>
      </c>
      <c r="W2475" t="s">
        <v>342</v>
      </c>
      <c r="X2475">
        <v>1010.5</v>
      </c>
      <c r="Y2475" t="s">
        <v>2008</v>
      </c>
      <c r="Z2475" t="s">
        <v>2013</v>
      </c>
      <c r="AA2475" t="s">
        <v>2029</v>
      </c>
      <c r="AB2475" t="s">
        <v>2370</v>
      </c>
      <c r="AD2475" t="s">
        <v>17190</v>
      </c>
      <c r="AE2475">
        <v>70</v>
      </c>
      <c r="AF2475" t="s">
        <v>2902</v>
      </c>
      <c r="AG2475" t="s">
        <v>2919</v>
      </c>
      <c r="AH2475">
        <v>35</v>
      </c>
      <c r="AI2475">
        <v>1</v>
      </c>
      <c r="AJ2475">
        <v>0</v>
      </c>
      <c r="AK2475">
        <v>144.15</v>
      </c>
      <c r="AN2475" t="s">
        <v>2926</v>
      </c>
      <c r="AO2475">
        <v>17500</v>
      </c>
      <c r="AU2475">
        <v>2</v>
      </c>
      <c r="AV2475" t="s">
        <v>342</v>
      </c>
      <c r="AW2475" t="s">
        <v>3066</v>
      </c>
    </row>
    <row r="2476" spans="1:50">
      <c r="A2476" s="1" t="s">
        <v>54</v>
      </c>
      <c r="B2476" t="s">
        <v>164</v>
      </c>
      <c r="C2476" t="s">
        <v>5686</v>
      </c>
      <c r="D2476" t="s">
        <v>270</v>
      </c>
      <c r="E2476" t="s">
        <v>320</v>
      </c>
      <c r="F2476" t="s">
        <v>7011</v>
      </c>
      <c r="G2476" t="s">
        <v>8983</v>
      </c>
      <c r="H2476" t="s">
        <v>10523</v>
      </c>
      <c r="I2476" t="s">
        <v>1585</v>
      </c>
      <c r="J2476" t="s">
        <v>1643</v>
      </c>
      <c r="K2476">
        <v>10033</v>
      </c>
      <c r="L2476" t="s">
        <v>1670</v>
      </c>
      <c r="M2476" t="s">
        <v>1670</v>
      </c>
      <c r="P2476" t="s">
        <v>1958</v>
      </c>
      <c r="Q2476" t="s">
        <v>1965</v>
      </c>
      <c r="R2476" t="s">
        <v>50</v>
      </c>
      <c r="S2476" t="s">
        <v>1671</v>
      </c>
      <c r="U2476" t="s">
        <v>1972</v>
      </c>
      <c r="W2476" t="s">
        <v>270</v>
      </c>
      <c r="X2476">
        <v>1738.44</v>
      </c>
      <c r="Y2476" t="s">
        <v>2008</v>
      </c>
      <c r="Z2476" t="s">
        <v>2013</v>
      </c>
      <c r="AA2476" t="s">
        <v>2029</v>
      </c>
      <c r="AB2476" t="s">
        <v>14783</v>
      </c>
      <c r="AD2476" t="s">
        <v>17191</v>
      </c>
      <c r="AE2476">
        <v>485</v>
      </c>
      <c r="AF2476" t="s">
        <v>2902</v>
      </c>
      <c r="AG2476" t="s">
        <v>1754</v>
      </c>
      <c r="AH2476">
        <v>11</v>
      </c>
      <c r="AI2476">
        <v>3</v>
      </c>
      <c r="AJ2476">
        <v>0</v>
      </c>
      <c r="AK2476">
        <v>144.37</v>
      </c>
      <c r="AN2476" t="s">
        <v>2927</v>
      </c>
      <c r="AO2476">
        <v>30000</v>
      </c>
      <c r="AU2476">
        <v>0.2</v>
      </c>
      <c r="AV2476" t="s">
        <v>320</v>
      </c>
      <c r="AW2476" t="s">
        <v>3042</v>
      </c>
    </row>
    <row r="2477" spans="1:50">
      <c r="A2477" s="1" t="s">
        <v>62</v>
      </c>
      <c r="B2477" t="s">
        <v>164</v>
      </c>
      <c r="C2477" t="s">
        <v>5687</v>
      </c>
      <c r="D2477" t="s">
        <v>279</v>
      </c>
      <c r="E2477" t="s">
        <v>271</v>
      </c>
      <c r="F2477" t="s">
        <v>7016</v>
      </c>
      <c r="G2477" t="s">
        <v>8984</v>
      </c>
      <c r="H2477" t="s">
        <v>9569</v>
      </c>
      <c r="I2477" t="s">
        <v>1622</v>
      </c>
      <c r="J2477" t="s">
        <v>1644</v>
      </c>
      <c r="K2477">
        <v>11230</v>
      </c>
      <c r="L2477" t="s">
        <v>1670</v>
      </c>
      <c r="M2477" t="s">
        <v>1670</v>
      </c>
      <c r="O2477" t="s">
        <v>1937</v>
      </c>
      <c r="P2477" t="s">
        <v>1959</v>
      </c>
      <c r="Q2477" t="s">
        <v>1968</v>
      </c>
      <c r="R2477" t="s">
        <v>50</v>
      </c>
      <c r="S2477" t="s">
        <v>1670</v>
      </c>
      <c r="U2477" t="s">
        <v>1972</v>
      </c>
      <c r="W2477" t="s">
        <v>238</v>
      </c>
      <c r="X2477">
        <v>1275.2</v>
      </c>
      <c r="Y2477" t="s">
        <v>2009</v>
      </c>
      <c r="AA2477" t="s">
        <v>2031</v>
      </c>
      <c r="AB2477" t="s">
        <v>14784</v>
      </c>
      <c r="AE2477">
        <v>66</v>
      </c>
      <c r="AF2477" t="s">
        <v>2911</v>
      </c>
      <c r="AH2477">
        <v>14</v>
      </c>
      <c r="AI2477">
        <v>3</v>
      </c>
      <c r="AJ2477">
        <v>0</v>
      </c>
      <c r="AK2477">
        <v>144.37</v>
      </c>
      <c r="AN2477" t="s">
        <v>2926</v>
      </c>
      <c r="AO2477">
        <v>30000</v>
      </c>
      <c r="AU2477">
        <v>0.55</v>
      </c>
      <c r="AV2477" t="s">
        <v>395</v>
      </c>
      <c r="AW2477" t="s">
        <v>69</v>
      </c>
    </row>
    <row r="2478" spans="1:50">
      <c r="A2478" s="1" t="s">
        <v>59</v>
      </c>
      <c r="B2478" t="s">
        <v>163</v>
      </c>
      <c r="C2478" t="s">
        <v>5688</v>
      </c>
      <c r="D2478" t="s">
        <v>174</v>
      </c>
      <c r="F2478" t="s">
        <v>7742</v>
      </c>
      <c r="G2478" t="s">
        <v>8985</v>
      </c>
      <c r="H2478" t="s">
        <v>1114</v>
      </c>
      <c r="I2478" t="s">
        <v>1558</v>
      </c>
      <c r="J2478" t="s">
        <v>1641</v>
      </c>
      <c r="K2478">
        <v>10456</v>
      </c>
      <c r="L2478" t="s">
        <v>1670</v>
      </c>
      <c r="M2478" t="s">
        <v>1670</v>
      </c>
      <c r="N2478" t="s">
        <v>1680</v>
      </c>
      <c r="O2478" t="s">
        <v>1938</v>
      </c>
      <c r="P2478" t="s">
        <v>1961</v>
      </c>
      <c r="R2478" t="s">
        <v>50</v>
      </c>
      <c r="S2478" t="s">
        <v>1670</v>
      </c>
      <c r="U2478" t="s">
        <v>1972</v>
      </c>
      <c r="W2478" t="s">
        <v>359</v>
      </c>
      <c r="X2478">
        <v>560</v>
      </c>
      <c r="Y2478" t="s">
        <v>2006</v>
      </c>
      <c r="Z2478" t="s">
        <v>2015</v>
      </c>
      <c r="AB2478" t="s">
        <v>14785</v>
      </c>
      <c r="AD2478" t="s">
        <v>17192</v>
      </c>
      <c r="AE2478">
        <v>131</v>
      </c>
      <c r="AF2478" t="s">
        <v>2902</v>
      </c>
      <c r="AG2478" t="s">
        <v>1754</v>
      </c>
      <c r="AH2478">
        <v>25</v>
      </c>
      <c r="AI2478">
        <v>3</v>
      </c>
      <c r="AJ2478">
        <v>0</v>
      </c>
      <c r="AK2478">
        <v>144.37</v>
      </c>
      <c r="AN2478" t="s">
        <v>2926</v>
      </c>
      <c r="AO2478">
        <v>30000</v>
      </c>
      <c r="AP2478" t="s">
        <v>18348</v>
      </c>
      <c r="AU2478" t="s">
        <v>13051</v>
      </c>
      <c r="AW2478" t="s">
        <v>3047</v>
      </c>
    </row>
    <row r="2479" spans="1:50">
      <c r="A2479" s="1" t="s">
        <v>91</v>
      </c>
      <c r="B2479" t="s">
        <v>163</v>
      </c>
      <c r="C2479" t="s">
        <v>5689</v>
      </c>
      <c r="D2479" t="s">
        <v>176</v>
      </c>
      <c r="F2479" t="s">
        <v>451</v>
      </c>
      <c r="G2479" t="s">
        <v>8654</v>
      </c>
      <c r="H2479" t="s">
        <v>1318</v>
      </c>
      <c r="I2479" t="s">
        <v>1506</v>
      </c>
      <c r="J2479" t="s">
        <v>1643</v>
      </c>
      <c r="K2479">
        <v>10032</v>
      </c>
      <c r="L2479" t="s">
        <v>1670</v>
      </c>
      <c r="M2479" t="s">
        <v>1670</v>
      </c>
      <c r="P2479" t="s">
        <v>1960</v>
      </c>
      <c r="R2479" t="s">
        <v>50</v>
      </c>
      <c r="S2479" t="s">
        <v>1671</v>
      </c>
      <c r="U2479" t="s">
        <v>1972</v>
      </c>
      <c r="W2479" t="s">
        <v>176</v>
      </c>
      <c r="X2479">
        <v>775</v>
      </c>
      <c r="Y2479" t="s">
        <v>2008</v>
      </c>
      <c r="Z2479" t="s">
        <v>2013</v>
      </c>
      <c r="AB2479" t="s">
        <v>14768</v>
      </c>
      <c r="AD2479" t="s">
        <v>17174</v>
      </c>
      <c r="AE2479">
        <v>48</v>
      </c>
      <c r="AF2479" t="s">
        <v>2902</v>
      </c>
      <c r="AG2479" t="s">
        <v>1754</v>
      </c>
      <c r="AH2479">
        <v>20</v>
      </c>
      <c r="AI2479">
        <v>3</v>
      </c>
      <c r="AJ2479">
        <v>0</v>
      </c>
      <c r="AK2479">
        <v>144.37</v>
      </c>
      <c r="AN2479" t="s">
        <v>2926</v>
      </c>
      <c r="AO2479">
        <v>30000</v>
      </c>
      <c r="AU2479">
        <v>107.5</v>
      </c>
      <c r="AV2479" t="s">
        <v>333</v>
      </c>
      <c r="AW2479" t="s">
        <v>3042</v>
      </c>
      <c r="AX2479" t="s">
        <v>18685</v>
      </c>
    </row>
    <row r="2480" spans="1:50">
      <c r="A2480" s="1" t="s">
        <v>161</v>
      </c>
      <c r="B2480" t="s">
        <v>163</v>
      </c>
      <c r="C2480" t="s">
        <v>5690</v>
      </c>
      <c r="D2480" t="s">
        <v>199</v>
      </c>
      <c r="F2480" t="s">
        <v>7020</v>
      </c>
      <c r="G2480" t="s">
        <v>8514</v>
      </c>
      <c r="H2480" t="s">
        <v>1235</v>
      </c>
      <c r="I2480">
        <v>208</v>
      </c>
      <c r="J2480" t="s">
        <v>1643</v>
      </c>
      <c r="K2480">
        <v>10029</v>
      </c>
      <c r="L2480" t="s">
        <v>1670</v>
      </c>
      <c r="M2480" t="s">
        <v>1670</v>
      </c>
      <c r="N2480" t="s">
        <v>12588</v>
      </c>
      <c r="O2480" t="s">
        <v>1936</v>
      </c>
      <c r="P2480" t="s">
        <v>1958</v>
      </c>
      <c r="R2480" t="s">
        <v>50</v>
      </c>
      <c r="U2480" t="s">
        <v>1972</v>
      </c>
      <c r="W2480" t="s">
        <v>195</v>
      </c>
      <c r="X2480">
        <v>680</v>
      </c>
      <c r="Y2480" t="s">
        <v>2008</v>
      </c>
      <c r="Z2480" t="s">
        <v>2017</v>
      </c>
      <c r="AB2480" t="s">
        <v>14432</v>
      </c>
      <c r="AD2480" t="s">
        <v>17193</v>
      </c>
      <c r="AE2480">
        <v>30</v>
      </c>
      <c r="AF2480" t="s">
        <v>2906</v>
      </c>
      <c r="AG2480" t="s">
        <v>1754</v>
      </c>
      <c r="AH2480">
        <v>16</v>
      </c>
      <c r="AI2480">
        <v>1</v>
      </c>
      <c r="AJ2480">
        <v>0</v>
      </c>
      <c r="AK2480">
        <v>144.55</v>
      </c>
      <c r="AN2480" t="s">
        <v>2926</v>
      </c>
      <c r="AO2480">
        <v>18054</v>
      </c>
      <c r="AU2480">
        <v>1.7</v>
      </c>
      <c r="AV2480" t="s">
        <v>195</v>
      </c>
      <c r="AW2480" t="s">
        <v>3083</v>
      </c>
    </row>
    <row r="2481" spans="1:50">
      <c r="A2481" s="1" t="s">
        <v>54</v>
      </c>
      <c r="B2481" t="s">
        <v>164</v>
      </c>
      <c r="C2481" t="s">
        <v>5691</v>
      </c>
      <c r="D2481" t="s">
        <v>378</v>
      </c>
      <c r="E2481" t="s">
        <v>408</v>
      </c>
      <c r="F2481" t="s">
        <v>724</v>
      </c>
      <c r="G2481" t="s">
        <v>8986</v>
      </c>
      <c r="H2481" t="s">
        <v>10524</v>
      </c>
      <c r="I2481" t="s">
        <v>1497</v>
      </c>
      <c r="J2481" t="s">
        <v>1643</v>
      </c>
      <c r="K2481">
        <v>10017</v>
      </c>
      <c r="L2481" t="s">
        <v>1670</v>
      </c>
      <c r="M2481" t="s">
        <v>1670</v>
      </c>
      <c r="O2481" t="s">
        <v>1675</v>
      </c>
      <c r="P2481" t="s">
        <v>1958</v>
      </c>
      <c r="Q2481" t="s">
        <v>1965</v>
      </c>
      <c r="R2481" t="s">
        <v>50</v>
      </c>
      <c r="S2481" t="s">
        <v>1671</v>
      </c>
      <c r="U2481" t="s">
        <v>1972</v>
      </c>
      <c r="W2481" t="s">
        <v>378</v>
      </c>
      <c r="X2481">
        <v>480</v>
      </c>
      <c r="Y2481" t="s">
        <v>2008</v>
      </c>
      <c r="Z2481" t="s">
        <v>2013</v>
      </c>
      <c r="AA2481" t="s">
        <v>2029</v>
      </c>
      <c r="AB2481" t="s">
        <v>14786</v>
      </c>
      <c r="AC2481" t="s">
        <v>15285</v>
      </c>
      <c r="AD2481" t="s">
        <v>17194</v>
      </c>
      <c r="AE2481">
        <v>100</v>
      </c>
      <c r="AF2481" t="s">
        <v>2902</v>
      </c>
      <c r="AG2481" t="s">
        <v>2915</v>
      </c>
      <c r="AH2481">
        <v>15</v>
      </c>
      <c r="AI2481">
        <v>1</v>
      </c>
      <c r="AJ2481">
        <v>0</v>
      </c>
      <c r="AK2481">
        <v>145.7</v>
      </c>
      <c r="AN2481" t="s">
        <v>2927</v>
      </c>
      <c r="AO2481">
        <v>17688</v>
      </c>
      <c r="AU2481">
        <v>0.3</v>
      </c>
      <c r="AV2481" t="s">
        <v>408</v>
      </c>
      <c r="AW2481" t="s">
        <v>3042</v>
      </c>
    </row>
    <row r="2482" spans="1:50">
      <c r="A2482" s="1" t="s">
        <v>119</v>
      </c>
      <c r="B2482" t="s">
        <v>164</v>
      </c>
      <c r="C2482" t="s">
        <v>5692</v>
      </c>
      <c r="D2482" t="s">
        <v>220</v>
      </c>
      <c r="E2482" t="s">
        <v>230</v>
      </c>
      <c r="F2482" t="s">
        <v>530</v>
      </c>
      <c r="G2482" t="s">
        <v>8434</v>
      </c>
      <c r="H2482" t="s">
        <v>10525</v>
      </c>
      <c r="I2482" t="s">
        <v>1482</v>
      </c>
      <c r="J2482" t="s">
        <v>1644</v>
      </c>
      <c r="K2482">
        <v>11233</v>
      </c>
      <c r="L2482" t="s">
        <v>1670</v>
      </c>
      <c r="M2482" t="s">
        <v>1671</v>
      </c>
      <c r="N2482" t="s">
        <v>1675</v>
      </c>
      <c r="O2482" t="s">
        <v>1942</v>
      </c>
      <c r="P2482" t="s">
        <v>1958</v>
      </c>
      <c r="Q2482" t="s">
        <v>1965</v>
      </c>
      <c r="R2482" t="s">
        <v>50</v>
      </c>
      <c r="S2482" t="s">
        <v>1671</v>
      </c>
      <c r="U2482" t="s">
        <v>1972</v>
      </c>
      <c r="V2482" t="s">
        <v>1984</v>
      </c>
      <c r="W2482" t="s">
        <v>191</v>
      </c>
      <c r="X2482">
        <v>77</v>
      </c>
      <c r="Y2482" t="s">
        <v>2009</v>
      </c>
      <c r="Z2482" t="s">
        <v>2011</v>
      </c>
      <c r="AA2482" t="s">
        <v>2029</v>
      </c>
      <c r="AB2482" t="s">
        <v>2209</v>
      </c>
      <c r="AD2482" t="s">
        <v>17195</v>
      </c>
      <c r="AE2482">
        <v>32</v>
      </c>
      <c r="AF2482" t="s">
        <v>2902</v>
      </c>
      <c r="AG2482" t="s">
        <v>2915</v>
      </c>
      <c r="AH2482">
        <v>1</v>
      </c>
      <c r="AI2482">
        <v>1</v>
      </c>
      <c r="AJ2482">
        <v>0</v>
      </c>
      <c r="AK2482">
        <v>145.72</v>
      </c>
      <c r="AN2482" t="s">
        <v>2926</v>
      </c>
      <c r="AO2482">
        <v>18200</v>
      </c>
      <c r="AU2482">
        <v>4.4</v>
      </c>
      <c r="AV2482" t="s">
        <v>191</v>
      </c>
      <c r="AW2482" t="s">
        <v>3058</v>
      </c>
      <c r="AX2482" t="s">
        <v>18685</v>
      </c>
    </row>
    <row r="2483" spans="1:50">
      <c r="A2483" s="1" t="s">
        <v>52</v>
      </c>
      <c r="B2483" t="s">
        <v>164</v>
      </c>
      <c r="C2483" t="s">
        <v>5693</v>
      </c>
      <c r="D2483" t="s">
        <v>255</v>
      </c>
      <c r="E2483" t="s">
        <v>326</v>
      </c>
      <c r="F2483" t="s">
        <v>7743</v>
      </c>
      <c r="G2483" t="s">
        <v>8987</v>
      </c>
      <c r="H2483" t="s">
        <v>10526</v>
      </c>
      <c r="I2483" t="s">
        <v>1633</v>
      </c>
      <c r="J2483" t="s">
        <v>1641</v>
      </c>
      <c r="K2483">
        <v>10452</v>
      </c>
      <c r="L2483" t="s">
        <v>1670</v>
      </c>
      <c r="M2483" t="s">
        <v>1670</v>
      </c>
      <c r="O2483" t="s">
        <v>1940</v>
      </c>
      <c r="P2483" t="s">
        <v>1958</v>
      </c>
      <c r="Q2483" t="s">
        <v>1965</v>
      </c>
      <c r="R2483" t="s">
        <v>50</v>
      </c>
      <c r="S2483" t="s">
        <v>1671</v>
      </c>
      <c r="U2483" t="s">
        <v>1972</v>
      </c>
      <c r="V2483" t="s">
        <v>1984</v>
      </c>
      <c r="W2483" t="s">
        <v>255</v>
      </c>
      <c r="X2483">
        <v>1375</v>
      </c>
      <c r="Y2483" t="s">
        <v>2006</v>
      </c>
      <c r="Z2483" t="s">
        <v>2015</v>
      </c>
      <c r="AA2483" t="s">
        <v>2029</v>
      </c>
      <c r="AB2483" t="s">
        <v>14787</v>
      </c>
      <c r="AD2483" t="s">
        <v>17196</v>
      </c>
      <c r="AE2483" t="s">
        <v>13051</v>
      </c>
      <c r="AF2483" t="s">
        <v>2902</v>
      </c>
      <c r="AH2483">
        <v>4</v>
      </c>
      <c r="AI2483">
        <v>1</v>
      </c>
      <c r="AJ2483">
        <v>0</v>
      </c>
      <c r="AK2483">
        <v>145.72</v>
      </c>
      <c r="AN2483" t="s">
        <v>2927</v>
      </c>
      <c r="AO2483">
        <v>18200</v>
      </c>
      <c r="AP2483" t="s">
        <v>18349</v>
      </c>
      <c r="AU2483">
        <v>1.5</v>
      </c>
      <c r="AV2483" t="s">
        <v>326</v>
      </c>
      <c r="AW2483" t="s">
        <v>52</v>
      </c>
    </row>
    <row r="2484" spans="1:50">
      <c r="A2484" s="1" t="s">
        <v>57</v>
      </c>
      <c r="B2484" t="s">
        <v>164</v>
      </c>
      <c r="C2484" t="s">
        <v>5694</v>
      </c>
      <c r="D2484" t="s">
        <v>1999</v>
      </c>
      <c r="E2484" t="s">
        <v>400</v>
      </c>
      <c r="F2484" t="s">
        <v>7743</v>
      </c>
      <c r="G2484" t="s">
        <v>8987</v>
      </c>
      <c r="H2484" t="s">
        <v>10526</v>
      </c>
      <c r="I2484" t="s">
        <v>1633</v>
      </c>
      <c r="J2484" t="s">
        <v>1641</v>
      </c>
      <c r="K2484">
        <v>10452</v>
      </c>
      <c r="L2484" t="s">
        <v>1670</v>
      </c>
      <c r="M2484" t="s">
        <v>1672</v>
      </c>
      <c r="P2484" t="s">
        <v>1958</v>
      </c>
      <c r="Q2484" t="s">
        <v>1965</v>
      </c>
      <c r="R2484" t="s">
        <v>50</v>
      </c>
      <c r="S2484" t="s">
        <v>1671</v>
      </c>
      <c r="U2484" t="s">
        <v>1972</v>
      </c>
      <c r="W2484" t="s">
        <v>400</v>
      </c>
      <c r="X2484">
        <v>1375</v>
      </c>
      <c r="Y2484" t="s">
        <v>2006</v>
      </c>
      <c r="Z2484" t="s">
        <v>2015</v>
      </c>
      <c r="AA2484" t="s">
        <v>2029</v>
      </c>
      <c r="AB2484" t="s">
        <v>14787</v>
      </c>
      <c r="AD2484" t="s">
        <v>17196</v>
      </c>
      <c r="AE2484">
        <v>53</v>
      </c>
      <c r="AF2484" t="s">
        <v>2904</v>
      </c>
      <c r="AG2484" t="s">
        <v>1754</v>
      </c>
      <c r="AH2484">
        <v>4</v>
      </c>
      <c r="AI2484">
        <v>1</v>
      </c>
      <c r="AJ2484">
        <v>0</v>
      </c>
      <c r="AK2484">
        <v>145.72</v>
      </c>
      <c r="AN2484" t="s">
        <v>2927</v>
      </c>
      <c r="AO2484">
        <v>18200</v>
      </c>
      <c r="AU2484">
        <v>0.1</v>
      </c>
      <c r="AV2484" t="s">
        <v>400</v>
      </c>
      <c r="AW2484" t="s">
        <v>3046</v>
      </c>
      <c r="AX2484" t="s">
        <v>18685</v>
      </c>
    </row>
    <row r="2485" spans="1:50">
      <c r="A2485" s="1" t="s">
        <v>3172</v>
      </c>
      <c r="B2485" t="s">
        <v>163</v>
      </c>
      <c r="C2485" t="s">
        <v>5695</v>
      </c>
      <c r="D2485" t="s">
        <v>313</v>
      </c>
      <c r="F2485" t="s">
        <v>7744</v>
      </c>
      <c r="G2485" t="s">
        <v>1008</v>
      </c>
      <c r="H2485" t="s">
        <v>10527</v>
      </c>
      <c r="I2485" t="s">
        <v>1558</v>
      </c>
      <c r="J2485" t="s">
        <v>1661</v>
      </c>
      <c r="K2485">
        <v>11423</v>
      </c>
      <c r="L2485" t="s">
        <v>1670</v>
      </c>
      <c r="M2485" t="s">
        <v>1670</v>
      </c>
      <c r="N2485" t="s">
        <v>12589</v>
      </c>
      <c r="O2485" t="s">
        <v>1936</v>
      </c>
      <c r="P2485" t="s">
        <v>1960</v>
      </c>
      <c r="R2485" t="s">
        <v>50</v>
      </c>
      <c r="S2485" t="s">
        <v>1671</v>
      </c>
      <c r="U2485" t="s">
        <v>1972</v>
      </c>
      <c r="V2485" t="s">
        <v>1983</v>
      </c>
      <c r="W2485" t="s">
        <v>254</v>
      </c>
      <c r="X2485">
        <v>1050</v>
      </c>
      <c r="Y2485" t="s">
        <v>2007</v>
      </c>
      <c r="Z2485" t="s">
        <v>2014</v>
      </c>
      <c r="AB2485" t="s">
        <v>14788</v>
      </c>
      <c r="AD2485" t="s">
        <v>17197</v>
      </c>
      <c r="AE2485">
        <v>48</v>
      </c>
      <c r="AF2485" t="s">
        <v>2902</v>
      </c>
      <c r="AG2485" t="s">
        <v>1754</v>
      </c>
      <c r="AH2485">
        <v>3</v>
      </c>
      <c r="AI2485">
        <v>1</v>
      </c>
      <c r="AJ2485">
        <v>0</v>
      </c>
      <c r="AK2485">
        <v>145.72</v>
      </c>
      <c r="AN2485" t="s">
        <v>2926</v>
      </c>
      <c r="AO2485">
        <v>18200</v>
      </c>
      <c r="AU2485">
        <v>17.8</v>
      </c>
      <c r="AV2485" t="s">
        <v>3034</v>
      </c>
      <c r="AW2485" t="s">
        <v>89</v>
      </c>
    </row>
    <row r="2486" spans="1:50">
      <c r="A2486" s="1" t="s">
        <v>117</v>
      </c>
      <c r="B2486" t="s">
        <v>164</v>
      </c>
      <c r="C2486" t="s">
        <v>5696</v>
      </c>
      <c r="D2486" t="s">
        <v>2000</v>
      </c>
      <c r="E2486" t="s">
        <v>304</v>
      </c>
      <c r="F2486" t="s">
        <v>770</v>
      </c>
      <c r="G2486" t="s">
        <v>8988</v>
      </c>
      <c r="H2486" t="s">
        <v>10528</v>
      </c>
      <c r="I2486" t="s">
        <v>11404</v>
      </c>
      <c r="J2486" t="s">
        <v>1645</v>
      </c>
      <c r="K2486">
        <v>11691</v>
      </c>
      <c r="L2486" t="s">
        <v>1670</v>
      </c>
      <c r="M2486" t="s">
        <v>1670</v>
      </c>
      <c r="N2486" t="s">
        <v>12590</v>
      </c>
      <c r="O2486" t="s">
        <v>1940</v>
      </c>
      <c r="P2486" t="s">
        <v>1958</v>
      </c>
      <c r="Q2486" t="s">
        <v>1965</v>
      </c>
      <c r="R2486" t="s">
        <v>50</v>
      </c>
      <c r="S2486" t="s">
        <v>1671</v>
      </c>
      <c r="U2486" t="s">
        <v>1972</v>
      </c>
      <c r="V2486" t="s">
        <v>1984</v>
      </c>
      <c r="W2486" t="s">
        <v>2000</v>
      </c>
      <c r="X2486">
        <v>550</v>
      </c>
      <c r="Y2486" t="s">
        <v>2007</v>
      </c>
      <c r="Z2486" t="s">
        <v>2014</v>
      </c>
      <c r="AA2486" t="s">
        <v>2029</v>
      </c>
      <c r="AB2486" t="s">
        <v>13434</v>
      </c>
      <c r="AC2486" t="s">
        <v>1754</v>
      </c>
      <c r="AD2486" t="s">
        <v>17198</v>
      </c>
      <c r="AE2486">
        <v>3</v>
      </c>
      <c r="AF2486" t="s">
        <v>2903</v>
      </c>
      <c r="AG2486" t="s">
        <v>1754</v>
      </c>
      <c r="AH2486">
        <v>4</v>
      </c>
      <c r="AI2486">
        <v>2</v>
      </c>
      <c r="AJ2486">
        <v>0</v>
      </c>
      <c r="AK2486">
        <v>145.81</v>
      </c>
      <c r="AN2486" t="s">
        <v>2926</v>
      </c>
      <c r="AO2486">
        <v>24000</v>
      </c>
      <c r="AU2486">
        <v>1</v>
      </c>
      <c r="AV2486" t="s">
        <v>351</v>
      </c>
      <c r="AW2486" t="s">
        <v>85</v>
      </c>
    </row>
    <row r="2487" spans="1:50">
      <c r="A2487" s="1" t="s">
        <v>115</v>
      </c>
      <c r="B2487" t="s">
        <v>164</v>
      </c>
      <c r="C2487" t="s">
        <v>5697</v>
      </c>
      <c r="D2487" t="s">
        <v>264</v>
      </c>
      <c r="E2487" t="s">
        <v>376</v>
      </c>
      <c r="F2487" t="s">
        <v>7745</v>
      </c>
      <c r="G2487" t="s">
        <v>8989</v>
      </c>
      <c r="H2487" t="s">
        <v>10529</v>
      </c>
      <c r="I2487" t="s">
        <v>1581</v>
      </c>
      <c r="J2487" t="s">
        <v>1641</v>
      </c>
      <c r="K2487">
        <v>10453</v>
      </c>
      <c r="L2487" t="s">
        <v>1670</v>
      </c>
      <c r="M2487" t="s">
        <v>1670</v>
      </c>
      <c r="O2487" t="s">
        <v>1675</v>
      </c>
      <c r="P2487" t="s">
        <v>1958</v>
      </c>
      <c r="Q2487" t="s">
        <v>1965</v>
      </c>
      <c r="R2487" t="s">
        <v>50</v>
      </c>
      <c r="S2487" t="s">
        <v>1671</v>
      </c>
      <c r="U2487" t="s">
        <v>1972</v>
      </c>
      <c r="W2487" t="s">
        <v>264</v>
      </c>
      <c r="X2487">
        <v>1275</v>
      </c>
      <c r="Y2487" t="s">
        <v>2006</v>
      </c>
      <c r="Z2487" t="s">
        <v>2013</v>
      </c>
      <c r="AA2487" t="s">
        <v>2029</v>
      </c>
      <c r="AB2487" t="s">
        <v>14789</v>
      </c>
      <c r="AD2487" t="s">
        <v>17199</v>
      </c>
      <c r="AE2487">
        <v>111</v>
      </c>
      <c r="AF2487" t="s">
        <v>2902</v>
      </c>
      <c r="AG2487" t="s">
        <v>1754</v>
      </c>
      <c r="AH2487">
        <v>17</v>
      </c>
      <c r="AI2487">
        <v>2</v>
      </c>
      <c r="AJ2487">
        <v>0</v>
      </c>
      <c r="AK2487">
        <v>145.81</v>
      </c>
      <c r="AN2487" t="s">
        <v>2926</v>
      </c>
      <c r="AO2487">
        <v>24000</v>
      </c>
      <c r="AU2487">
        <v>1.5</v>
      </c>
      <c r="AV2487" t="s">
        <v>376</v>
      </c>
      <c r="AW2487" t="s">
        <v>115</v>
      </c>
    </row>
    <row r="2488" spans="1:50">
      <c r="A2488" s="1" t="s">
        <v>104</v>
      </c>
      <c r="B2488" t="s">
        <v>164</v>
      </c>
      <c r="C2488" t="s">
        <v>5698</v>
      </c>
      <c r="D2488" t="s">
        <v>307</v>
      </c>
      <c r="E2488" t="s">
        <v>3029</v>
      </c>
      <c r="F2488" t="s">
        <v>7200</v>
      </c>
      <c r="G2488" t="s">
        <v>8610</v>
      </c>
      <c r="H2488" t="s">
        <v>1338</v>
      </c>
      <c r="I2488" t="s">
        <v>11405</v>
      </c>
      <c r="J2488" t="s">
        <v>1646</v>
      </c>
      <c r="K2488">
        <v>10304</v>
      </c>
      <c r="L2488" t="s">
        <v>1670</v>
      </c>
      <c r="M2488" t="s">
        <v>1670</v>
      </c>
      <c r="N2488" t="s">
        <v>1693</v>
      </c>
      <c r="O2488" t="s">
        <v>1675</v>
      </c>
      <c r="P2488" t="s">
        <v>1958</v>
      </c>
      <c r="Q2488" t="s">
        <v>1965</v>
      </c>
      <c r="R2488" t="s">
        <v>50</v>
      </c>
      <c r="S2488" t="s">
        <v>1671</v>
      </c>
      <c r="U2488" t="s">
        <v>1972</v>
      </c>
      <c r="V2488" t="s">
        <v>1984</v>
      </c>
      <c r="W2488" t="s">
        <v>307</v>
      </c>
      <c r="X2488">
        <v>860</v>
      </c>
      <c r="Y2488" t="s">
        <v>2010</v>
      </c>
      <c r="Z2488" t="s">
        <v>2020</v>
      </c>
      <c r="AA2488" t="s">
        <v>2029</v>
      </c>
      <c r="AB2488" t="s">
        <v>14790</v>
      </c>
      <c r="AD2488" t="s">
        <v>17200</v>
      </c>
      <c r="AE2488">
        <v>50</v>
      </c>
      <c r="AF2488" t="s">
        <v>2909</v>
      </c>
      <c r="AG2488" t="s">
        <v>2915</v>
      </c>
      <c r="AH2488">
        <v>10</v>
      </c>
      <c r="AI2488">
        <v>2</v>
      </c>
      <c r="AJ2488">
        <v>0</v>
      </c>
      <c r="AK2488">
        <v>145.81</v>
      </c>
      <c r="AN2488" t="s">
        <v>2926</v>
      </c>
      <c r="AO2488">
        <v>24000</v>
      </c>
      <c r="AU2488">
        <v>1.7</v>
      </c>
      <c r="AV2488" t="s">
        <v>3029</v>
      </c>
      <c r="AW2488" t="s">
        <v>18654</v>
      </c>
    </row>
    <row r="2489" spans="1:50">
      <c r="A2489" s="1" t="s">
        <v>3206</v>
      </c>
      <c r="B2489" t="s">
        <v>163</v>
      </c>
      <c r="C2489" t="s">
        <v>5699</v>
      </c>
      <c r="D2489" t="s">
        <v>332</v>
      </c>
      <c r="F2489" t="s">
        <v>7746</v>
      </c>
      <c r="G2489" t="s">
        <v>8990</v>
      </c>
      <c r="H2489" t="s">
        <v>10530</v>
      </c>
      <c r="J2489" t="s">
        <v>1644</v>
      </c>
      <c r="K2489">
        <v>11208</v>
      </c>
      <c r="L2489" t="s">
        <v>1670</v>
      </c>
      <c r="M2489" t="s">
        <v>1670</v>
      </c>
      <c r="P2489" t="s">
        <v>1958</v>
      </c>
      <c r="R2489" t="s">
        <v>50</v>
      </c>
      <c r="S2489" t="s">
        <v>1671</v>
      </c>
      <c r="U2489" t="s">
        <v>1972</v>
      </c>
      <c r="W2489" t="s">
        <v>267</v>
      </c>
      <c r="X2489">
        <v>1000</v>
      </c>
      <c r="Y2489" t="s">
        <v>2009</v>
      </c>
      <c r="AB2489" t="s">
        <v>14791</v>
      </c>
      <c r="AE2489" t="s">
        <v>13051</v>
      </c>
      <c r="AH2489">
        <v>18</v>
      </c>
      <c r="AI2489">
        <v>2</v>
      </c>
      <c r="AJ2489">
        <v>0</v>
      </c>
      <c r="AK2489">
        <v>145.81</v>
      </c>
      <c r="AN2489" t="s">
        <v>2926</v>
      </c>
      <c r="AO2489">
        <v>24000</v>
      </c>
      <c r="AU2489" t="s">
        <v>13051</v>
      </c>
      <c r="AW2489" t="s">
        <v>158</v>
      </c>
    </row>
    <row r="2490" spans="1:50">
      <c r="A2490" s="1" t="s">
        <v>61</v>
      </c>
      <c r="B2490" t="s">
        <v>163</v>
      </c>
      <c r="C2490" t="s">
        <v>5700</v>
      </c>
      <c r="D2490" t="s">
        <v>387</v>
      </c>
      <c r="F2490" t="s">
        <v>7747</v>
      </c>
      <c r="G2490" t="s">
        <v>8991</v>
      </c>
      <c r="H2490" t="s">
        <v>10531</v>
      </c>
      <c r="I2490" t="s">
        <v>1550</v>
      </c>
      <c r="J2490" t="s">
        <v>1644</v>
      </c>
      <c r="K2490">
        <v>11225</v>
      </c>
      <c r="L2490" t="s">
        <v>1670</v>
      </c>
      <c r="M2490" t="s">
        <v>1670</v>
      </c>
      <c r="N2490" t="s">
        <v>12591</v>
      </c>
      <c r="O2490" t="s">
        <v>1940</v>
      </c>
      <c r="P2490" t="s">
        <v>1960</v>
      </c>
      <c r="R2490" t="s">
        <v>50</v>
      </c>
      <c r="S2490" t="s">
        <v>1671</v>
      </c>
      <c r="U2490" t="s">
        <v>1972</v>
      </c>
      <c r="V2490" t="s">
        <v>1984</v>
      </c>
      <c r="W2490" t="s">
        <v>387</v>
      </c>
      <c r="X2490">
        <v>1014.09</v>
      </c>
      <c r="Y2490" t="s">
        <v>2009</v>
      </c>
      <c r="Z2490" t="s">
        <v>2025</v>
      </c>
      <c r="AB2490" t="s">
        <v>14792</v>
      </c>
      <c r="AD2490" t="s">
        <v>17201</v>
      </c>
      <c r="AE2490">
        <v>53</v>
      </c>
      <c r="AF2490" t="s">
        <v>2902</v>
      </c>
      <c r="AG2490" t="s">
        <v>1754</v>
      </c>
      <c r="AH2490">
        <v>38</v>
      </c>
      <c r="AI2490">
        <v>2</v>
      </c>
      <c r="AJ2490">
        <v>0</v>
      </c>
      <c r="AK2490">
        <v>145.81</v>
      </c>
      <c r="AM2490" t="s">
        <v>18033</v>
      </c>
      <c r="AN2490" t="s">
        <v>2926</v>
      </c>
      <c r="AO2490">
        <v>24000</v>
      </c>
      <c r="AU2490">
        <v>90.5</v>
      </c>
      <c r="AV2490" t="s">
        <v>397</v>
      </c>
      <c r="AW2490" t="s">
        <v>55</v>
      </c>
    </row>
    <row r="2491" spans="1:50">
      <c r="A2491" s="1" t="s">
        <v>126</v>
      </c>
      <c r="B2491" t="s">
        <v>163</v>
      </c>
      <c r="C2491" t="s">
        <v>5701</v>
      </c>
      <c r="D2491" t="s">
        <v>309</v>
      </c>
      <c r="F2491" t="s">
        <v>7464</v>
      </c>
      <c r="G2491" t="s">
        <v>888</v>
      </c>
      <c r="H2491" t="s">
        <v>9627</v>
      </c>
      <c r="I2491" t="s">
        <v>11406</v>
      </c>
      <c r="J2491" t="s">
        <v>1641</v>
      </c>
      <c r="K2491">
        <v>10451</v>
      </c>
      <c r="L2491" t="s">
        <v>1670</v>
      </c>
      <c r="M2491" t="s">
        <v>1670</v>
      </c>
      <c r="N2491" t="s">
        <v>11981</v>
      </c>
      <c r="O2491" t="s">
        <v>1939</v>
      </c>
      <c r="P2491" t="s">
        <v>1960</v>
      </c>
      <c r="R2491" t="s">
        <v>50</v>
      </c>
      <c r="S2491" t="s">
        <v>1670</v>
      </c>
      <c r="U2491" t="s">
        <v>1972</v>
      </c>
      <c r="W2491" t="s">
        <v>359</v>
      </c>
      <c r="X2491">
        <v>1325</v>
      </c>
      <c r="Y2491" t="s">
        <v>2006</v>
      </c>
      <c r="Z2491" t="s">
        <v>2015</v>
      </c>
      <c r="AB2491" t="s">
        <v>14793</v>
      </c>
      <c r="AE2491">
        <v>100</v>
      </c>
      <c r="AF2491" t="s">
        <v>2908</v>
      </c>
      <c r="AG2491" t="s">
        <v>1754</v>
      </c>
      <c r="AH2491">
        <v>35</v>
      </c>
      <c r="AI2491">
        <v>2</v>
      </c>
      <c r="AJ2491">
        <v>0</v>
      </c>
      <c r="AK2491">
        <v>145.81</v>
      </c>
      <c r="AN2491" t="s">
        <v>2927</v>
      </c>
      <c r="AO2491">
        <v>24000</v>
      </c>
      <c r="AP2491" t="s">
        <v>18146</v>
      </c>
      <c r="AU2491" t="s">
        <v>13051</v>
      </c>
      <c r="AW2491" t="s">
        <v>3047</v>
      </c>
    </row>
    <row r="2492" spans="1:50">
      <c r="A2492" s="1" t="s">
        <v>123</v>
      </c>
      <c r="B2492" t="s">
        <v>163</v>
      </c>
      <c r="C2492" t="s">
        <v>5702</v>
      </c>
      <c r="D2492" t="s">
        <v>190</v>
      </c>
      <c r="F2492" t="s">
        <v>6935</v>
      </c>
      <c r="G2492" t="s">
        <v>8992</v>
      </c>
      <c r="H2492" t="s">
        <v>10532</v>
      </c>
      <c r="I2492" t="s">
        <v>1534</v>
      </c>
      <c r="J2492" t="s">
        <v>1641</v>
      </c>
      <c r="K2492">
        <v>10457</v>
      </c>
      <c r="L2492" t="s">
        <v>1670</v>
      </c>
      <c r="M2492" t="s">
        <v>1670</v>
      </c>
      <c r="N2492" t="s">
        <v>12592</v>
      </c>
      <c r="O2492" t="s">
        <v>1936</v>
      </c>
      <c r="P2492" t="s">
        <v>1958</v>
      </c>
      <c r="R2492" t="s">
        <v>50</v>
      </c>
      <c r="U2492" t="s">
        <v>1972</v>
      </c>
      <c r="W2492" t="s">
        <v>190</v>
      </c>
      <c r="X2492">
        <v>1213</v>
      </c>
      <c r="Y2492" t="s">
        <v>2006</v>
      </c>
      <c r="AB2492" t="s">
        <v>14794</v>
      </c>
      <c r="AD2492" t="s">
        <v>17202</v>
      </c>
      <c r="AE2492" t="s">
        <v>13051</v>
      </c>
      <c r="AF2492" t="s">
        <v>2902</v>
      </c>
      <c r="AG2492" t="s">
        <v>2920</v>
      </c>
      <c r="AH2492">
        <v>3</v>
      </c>
      <c r="AI2492">
        <v>1</v>
      </c>
      <c r="AJ2492">
        <v>0</v>
      </c>
      <c r="AK2492">
        <v>145.84</v>
      </c>
      <c r="AN2492" t="s">
        <v>2926</v>
      </c>
      <c r="AO2492">
        <v>18216</v>
      </c>
      <c r="AU2492">
        <v>1.1</v>
      </c>
      <c r="AV2492" t="s">
        <v>406</v>
      </c>
      <c r="AW2492" t="s">
        <v>3071</v>
      </c>
    </row>
    <row r="2493" spans="1:50">
      <c r="A2493" s="1" t="s">
        <v>63</v>
      </c>
      <c r="B2493" t="s">
        <v>163</v>
      </c>
      <c r="C2493" t="s">
        <v>5703</v>
      </c>
      <c r="D2493" t="s">
        <v>336</v>
      </c>
      <c r="F2493" t="s">
        <v>741</v>
      </c>
      <c r="G2493" t="s">
        <v>8993</v>
      </c>
      <c r="H2493" t="s">
        <v>10533</v>
      </c>
      <c r="I2493" t="s">
        <v>1477</v>
      </c>
      <c r="J2493" t="s">
        <v>1641</v>
      </c>
      <c r="K2493">
        <v>10457</v>
      </c>
      <c r="L2493" t="s">
        <v>1670</v>
      </c>
      <c r="M2493" t="s">
        <v>1670</v>
      </c>
      <c r="O2493" t="s">
        <v>1941</v>
      </c>
      <c r="P2493" t="s">
        <v>1962</v>
      </c>
      <c r="R2493" t="s">
        <v>50</v>
      </c>
      <c r="S2493" t="s">
        <v>1671</v>
      </c>
      <c r="U2493" t="s">
        <v>1972</v>
      </c>
      <c r="W2493" t="s">
        <v>285</v>
      </c>
      <c r="X2493">
        <v>300</v>
      </c>
      <c r="Y2493" t="s">
        <v>2006</v>
      </c>
      <c r="Z2493" t="s">
        <v>2015</v>
      </c>
      <c r="AB2493" t="s">
        <v>14795</v>
      </c>
      <c r="AD2493" t="s">
        <v>17203</v>
      </c>
      <c r="AE2493">
        <v>8</v>
      </c>
      <c r="AF2493" t="s">
        <v>2902</v>
      </c>
      <c r="AG2493" t="s">
        <v>2915</v>
      </c>
      <c r="AH2493">
        <v>2</v>
      </c>
      <c r="AI2493">
        <v>3</v>
      </c>
      <c r="AJ2493">
        <v>0</v>
      </c>
      <c r="AK2493">
        <v>146.27</v>
      </c>
      <c r="AN2493" t="s">
        <v>2927</v>
      </c>
      <c r="AO2493">
        <v>31200</v>
      </c>
      <c r="AU2493">
        <v>0.5</v>
      </c>
      <c r="AV2493" t="s">
        <v>353</v>
      </c>
      <c r="AW2493" t="s">
        <v>3046</v>
      </c>
    </row>
    <row r="2494" spans="1:50">
      <c r="A2494" s="1" t="s">
        <v>72</v>
      </c>
      <c r="B2494" t="s">
        <v>164</v>
      </c>
      <c r="C2494" t="s">
        <v>5704</v>
      </c>
      <c r="D2494" t="s">
        <v>190</v>
      </c>
      <c r="E2494" t="s">
        <v>183</v>
      </c>
      <c r="F2494" t="s">
        <v>668</v>
      </c>
      <c r="G2494" t="s">
        <v>7999</v>
      </c>
      <c r="H2494" t="s">
        <v>10534</v>
      </c>
      <c r="I2494" t="s">
        <v>11407</v>
      </c>
      <c r="J2494" t="s">
        <v>1643</v>
      </c>
      <c r="K2494">
        <v>10029</v>
      </c>
      <c r="L2494" t="s">
        <v>1670</v>
      </c>
      <c r="M2494" t="s">
        <v>1670</v>
      </c>
      <c r="O2494" t="s">
        <v>1675</v>
      </c>
      <c r="P2494" t="s">
        <v>1962</v>
      </c>
      <c r="Q2494" t="s">
        <v>1968</v>
      </c>
      <c r="R2494" t="s">
        <v>50</v>
      </c>
      <c r="S2494" t="s">
        <v>1671</v>
      </c>
      <c r="U2494" t="s">
        <v>1972</v>
      </c>
      <c r="V2494" t="s">
        <v>1984</v>
      </c>
      <c r="W2494" t="s">
        <v>316</v>
      </c>
      <c r="X2494">
        <v>351.16</v>
      </c>
      <c r="Y2494" t="s">
        <v>2008</v>
      </c>
      <c r="Z2494" t="s">
        <v>2026</v>
      </c>
      <c r="AA2494" t="s">
        <v>2029</v>
      </c>
      <c r="AB2494" t="s">
        <v>14796</v>
      </c>
      <c r="AD2494" t="s">
        <v>17204</v>
      </c>
      <c r="AE2494">
        <v>12</v>
      </c>
      <c r="AF2494" t="s">
        <v>2908</v>
      </c>
      <c r="AG2494" t="s">
        <v>1754</v>
      </c>
      <c r="AH2494">
        <v>22</v>
      </c>
      <c r="AI2494">
        <v>1</v>
      </c>
      <c r="AJ2494">
        <v>0</v>
      </c>
      <c r="AK2494">
        <v>146.42</v>
      </c>
      <c r="AN2494" t="s">
        <v>2926</v>
      </c>
      <c r="AO2494">
        <v>18288</v>
      </c>
      <c r="AU2494">
        <v>3</v>
      </c>
      <c r="AV2494" t="s">
        <v>183</v>
      </c>
      <c r="AW2494" t="s">
        <v>3078</v>
      </c>
    </row>
    <row r="2495" spans="1:50">
      <c r="A2495" s="1" t="s">
        <v>124</v>
      </c>
      <c r="B2495" t="s">
        <v>163</v>
      </c>
      <c r="C2495" t="s">
        <v>5705</v>
      </c>
      <c r="D2495" t="s">
        <v>237</v>
      </c>
      <c r="F2495" t="s">
        <v>7748</v>
      </c>
      <c r="G2495" t="s">
        <v>897</v>
      </c>
      <c r="H2495" t="s">
        <v>10535</v>
      </c>
      <c r="I2495" t="s">
        <v>1484</v>
      </c>
      <c r="J2495" t="s">
        <v>1644</v>
      </c>
      <c r="K2495">
        <v>11206</v>
      </c>
      <c r="L2495" t="s">
        <v>1670</v>
      </c>
      <c r="M2495" t="s">
        <v>1670</v>
      </c>
      <c r="N2495" t="s">
        <v>12593</v>
      </c>
      <c r="O2495" t="s">
        <v>1936</v>
      </c>
      <c r="P2495" t="s">
        <v>1960</v>
      </c>
      <c r="R2495" t="s">
        <v>50</v>
      </c>
      <c r="S2495" t="s">
        <v>1671</v>
      </c>
      <c r="U2495" t="s">
        <v>1972</v>
      </c>
      <c r="W2495" t="s">
        <v>285</v>
      </c>
      <c r="X2495">
        <v>1575</v>
      </c>
      <c r="Y2495" t="s">
        <v>2009</v>
      </c>
      <c r="AB2495" t="s">
        <v>14797</v>
      </c>
      <c r="AD2495" t="s">
        <v>17205</v>
      </c>
      <c r="AE2495" t="s">
        <v>13051</v>
      </c>
      <c r="AH2495">
        <v>5</v>
      </c>
      <c r="AI2495">
        <v>1</v>
      </c>
      <c r="AJ2495">
        <v>0</v>
      </c>
      <c r="AK2495">
        <v>146.52</v>
      </c>
      <c r="AN2495" t="s">
        <v>2926</v>
      </c>
      <c r="AO2495">
        <v>18300</v>
      </c>
      <c r="AU2495">
        <v>52.5</v>
      </c>
      <c r="AV2495" t="s">
        <v>400</v>
      </c>
      <c r="AW2495" t="s">
        <v>158</v>
      </c>
    </row>
    <row r="2496" spans="1:50">
      <c r="A2496" s="1" t="s">
        <v>64</v>
      </c>
      <c r="B2496" t="s">
        <v>163</v>
      </c>
      <c r="C2496" t="s">
        <v>5706</v>
      </c>
      <c r="D2496" t="s">
        <v>2000</v>
      </c>
      <c r="F2496" t="s">
        <v>7749</v>
      </c>
      <c r="G2496" t="s">
        <v>1016</v>
      </c>
      <c r="H2496" t="s">
        <v>1243</v>
      </c>
      <c r="I2496" t="s">
        <v>1517</v>
      </c>
      <c r="J2496" t="s">
        <v>1643</v>
      </c>
      <c r="K2496">
        <v>10033</v>
      </c>
      <c r="L2496" t="s">
        <v>1670</v>
      </c>
      <c r="M2496" t="s">
        <v>1670</v>
      </c>
      <c r="O2496" t="s">
        <v>1939</v>
      </c>
      <c r="P2496" t="s">
        <v>1962</v>
      </c>
      <c r="R2496" t="s">
        <v>50</v>
      </c>
      <c r="S2496" t="s">
        <v>1670</v>
      </c>
      <c r="U2496" t="s">
        <v>1972</v>
      </c>
      <c r="W2496" t="s">
        <v>2000</v>
      </c>
      <c r="X2496">
        <v>1295.41</v>
      </c>
      <c r="Y2496" t="s">
        <v>2008</v>
      </c>
      <c r="Z2496" t="s">
        <v>2013</v>
      </c>
      <c r="AB2496" t="s">
        <v>14798</v>
      </c>
      <c r="AD2496" t="s">
        <v>17206</v>
      </c>
      <c r="AE2496">
        <v>232</v>
      </c>
      <c r="AF2496" t="s">
        <v>2902</v>
      </c>
      <c r="AG2496" t="s">
        <v>2919</v>
      </c>
      <c r="AH2496">
        <v>50</v>
      </c>
      <c r="AI2496">
        <v>1</v>
      </c>
      <c r="AJ2496">
        <v>0</v>
      </c>
      <c r="AK2496">
        <v>146.59</v>
      </c>
      <c r="AN2496" t="s">
        <v>2926</v>
      </c>
      <c r="AO2496">
        <v>17796</v>
      </c>
      <c r="AU2496">
        <v>1.7</v>
      </c>
      <c r="AV2496" t="s">
        <v>206</v>
      </c>
      <c r="AW2496" t="s">
        <v>3042</v>
      </c>
    </row>
    <row r="2497" spans="1:50">
      <c r="A2497" s="1" t="s">
        <v>61</v>
      </c>
      <c r="B2497" t="s">
        <v>163</v>
      </c>
      <c r="C2497" t="s">
        <v>5707</v>
      </c>
      <c r="D2497" t="s">
        <v>383</v>
      </c>
      <c r="F2497" t="s">
        <v>6946</v>
      </c>
      <c r="G2497" t="s">
        <v>8024</v>
      </c>
      <c r="H2497" t="s">
        <v>9383</v>
      </c>
      <c r="I2497" t="s">
        <v>11012</v>
      </c>
      <c r="J2497" t="s">
        <v>1644</v>
      </c>
      <c r="K2497">
        <v>11226</v>
      </c>
      <c r="L2497" t="s">
        <v>1670</v>
      </c>
      <c r="M2497" t="s">
        <v>1670</v>
      </c>
      <c r="O2497" t="s">
        <v>1675</v>
      </c>
      <c r="P2497" t="s">
        <v>1962</v>
      </c>
      <c r="R2497" t="s">
        <v>50</v>
      </c>
      <c r="S2497" t="s">
        <v>1671</v>
      </c>
      <c r="U2497" t="s">
        <v>1972</v>
      </c>
      <c r="W2497" t="s">
        <v>383</v>
      </c>
      <c r="X2497">
        <v>1822.5</v>
      </c>
      <c r="Y2497" t="s">
        <v>2009</v>
      </c>
      <c r="Z2497" t="s">
        <v>2015</v>
      </c>
      <c r="AB2497" t="s">
        <v>13297</v>
      </c>
      <c r="AD2497" t="s">
        <v>15879</v>
      </c>
      <c r="AE2497">
        <v>120</v>
      </c>
      <c r="AF2497" t="s">
        <v>2902</v>
      </c>
      <c r="AH2497">
        <v>4</v>
      </c>
      <c r="AI2497">
        <v>2</v>
      </c>
      <c r="AJ2497">
        <v>0</v>
      </c>
      <c r="AK2497">
        <v>146.74</v>
      </c>
      <c r="AN2497" t="s">
        <v>2926</v>
      </c>
      <c r="AO2497">
        <v>24154</v>
      </c>
      <c r="AU2497">
        <v>5.2</v>
      </c>
      <c r="AV2497" t="s">
        <v>230</v>
      </c>
      <c r="AW2497" t="s">
        <v>3049</v>
      </c>
      <c r="AX2497" t="s">
        <v>18685</v>
      </c>
    </row>
    <row r="2498" spans="1:50">
      <c r="A2498" s="1" t="s">
        <v>71</v>
      </c>
      <c r="B2498" t="s">
        <v>163</v>
      </c>
      <c r="C2498" t="s">
        <v>5708</v>
      </c>
      <c r="D2498" t="s">
        <v>217</v>
      </c>
      <c r="F2498" t="s">
        <v>658</v>
      </c>
      <c r="G2498" t="s">
        <v>8994</v>
      </c>
      <c r="H2498" t="s">
        <v>10536</v>
      </c>
      <c r="I2498" t="s">
        <v>11302</v>
      </c>
      <c r="J2498" t="s">
        <v>1646</v>
      </c>
      <c r="K2498">
        <v>10304</v>
      </c>
      <c r="L2498" t="s">
        <v>1670</v>
      </c>
      <c r="M2498" t="s">
        <v>1670</v>
      </c>
      <c r="N2498" t="s">
        <v>12594</v>
      </c>
      <c r="O2498" t="s">
        <v>1940</v>
      </c>
      <c r="P2498" t="s">
        <v>1960</v>
      </c>
      <c r="R2498" t="s">
        <v>50</v>
      </c>
      <c r="S2498" t="s">
        <v>1671</v>
      </c>
      <c r="U2498" t="s">
        <v>1972</v>
      </c>
      <c r="V2498" t="s">
        <v>1984</v>
      </c>
      <c r="W2498" t="s">
        <v>217</v>
      </c>
      <c r="X2498">
        <v>850</v>
      </c>
      <c r="Y2498" t="s">
        <v>2010</v>
      </c>
      <c r="Z2498" t="s">
        <v>2011</v>
      </c>
      <c r="AB2498" t="s">
        <v>14799</v>
      </c>
      <c r="AD2498" t="s">
        <v>17207</v>
      </c>
      <c r="AE2498">
        <v>4</v>
      </c>
      <c r="AF2498" t="s">
        <v>2903</v>
      </c>
      <c r="AG2498" t="s">
        <v>1754</v>
      </c>
      <c r="AH2498">
        <v>6</v>
      </c>
      <c r="AI2498">
        <v>1</v>
      </c>
      <c r="AJ2498">
        <v>0</v>
      </c>
      <c r="AK2498">
        <v>147</v>
      </c>
      <c r="AN2498" t="s">
        <v>2926</v>
      </c>
      <c r="AO2498">
        <v>18360</v>
      </c>
      <c r="AU2498">
        <v>16.55</v>
      </c>
      <c r="AV2498" t="s">
        <v>3034</v>
      </c>
      <c r="AW2498" t="s">
        <v>3056</v>
      </c>
      <c r="AX2498" t="s">
        <v>18685</v>
      </c>
    </row>
    <row r="2499" spans="1:50">
      <c r="A2499" s="1" t="s">
        <v>115</v>
      </c>
      <c r="B2499" t="s">
        <v>164</v>
      </c>
      <c r="C2499" t="s">
        <v>5709</v>
      </c>
      <c r="D2499" t="s">
        <v>265</v>
      </c>
      <c r="E2499" t="s">
        <v>350</v>
      </c>
      <c r="F2499" t="s">
        <v>461</v>
      </c>
      <c r="G2499" t="s">
        <v>8995</v>
      </c>
      <c r="H2499" t="s">
        <v>10537</v>
      </c>
      <c r="I2499" t="s">
        <v>11162</v>
      </c>
      <c r="J2499" t="s">
        <v>1641</v>
      </c>
      <c r="K2499">
        <v>10453</v>
      </c>
      <c r="L2499" t="s">
        <v>1670</v>
      </c>
      <c r="M2499" t="s">
        <v>1670</v>
      </c>
      <c r="O2499" t="s">
        <v>1675</v>
      </c>
      <c r="P2499" t="s">
        <v>1958</v>
      </c>
      <c r="Q2499" t="s">
        <v>1965</v>
      </c>
      <c r="R2499" t="s">
        <v>50</v>
      </c>
      <c r="S2499" t="s">
        <v>1671</v>
      </c>
      <c r="U2499" t="s">
        <v>1972</v>
      </c>
      <c r="W2499" t="s">
        <v>265</v>
      </c>
      <c r="X2499">
        <v>1266.7</v>
      </c>
      <c r="Y2499" t="s">
        <v>2006</v>
      </c>
      <c r="Z2499" t="s">
        <v>2015</v>
      </c>
      <c r="AA2499" t="s">
        <v>2029</v>
      </c>
      <c r="AB2499" t="s">
        <v>14800</v>
      </c>
      <c r="AD2499" t="s">
        <v>17208</v>
      </c>
      <c r="AE2499">
        <v>111</v>
      </c>
      <c r="AF2499" t="s">
        <v>2902</v>
      </c>
      <c r="AG2499" t="s">
        <v>2916</v>
      </c>
      <c r="AH2499">
        <v>2</v>
      </c>
      <c r="AI2499">
        <v>1</v>
      </c>
      <c r="AJ2499">
        <v>0</v>
      </c>
      <c r="AK2499">
        <v>147.48</v>
      </c>
      <c r="AN2499" t="s">
        <v>2926</v>
      </c>
      <c r="AO2499">
        <v>18420</v>
      </c>
      <c r="AU2499">
        <v>2.7</v>
      </c>
      <c r="AV2499" t="s">
        <v>350</v>
      </c>
      <c r="AW2499" t="s">
        <v>115</v>
      </c>
    </row>
    <row r="2500" spans="1:50">
      <c r="A2500" s="1" t="s">
        <v>100</v>
      </c>
      <c r="B2500" t="s">
        <v>164</v>
      </c>
      <c r="C2500" t="s">
        <v>5710</v>
      </c>
      <c r="D2500" t="s">
        <v>310</v>
      </c>
      <c r="E2500" t="s">
        <v>310</v>
      </c>
      <c r="F2500" t="s">
        <v>662</v>
      </c>
      <c r="G2500" t="s">
        <v>780</v>
      </c>
      <c r="H2500" t="s">
        <v>10538</v>
      </c>
      <c r="J2500" t="s">
        <v>1643</v>
      </c>
      <c r="K2500">
        <v>10034</v>
      </c>
      <c r="L2500" t="s">
        <v>1670</v>
      </c>
      <c r="M2500" t="s">
        <v>1672</v>
      </c>
      <c r="N2500" t="s">
        <v>12595</v>
      </c>
      <c r="O2500" t="s">
        <v>1936</v>
      </c>
      <c r="P2500" t="s">
        <v>1958</v>
      </c>
      <c r="Q2500" t="s">
        <v>1965</v>
      </c>
      <c r="R2500" t="s">
        <v>50</v>
      </c>
      <c r="U2500" t="s">
        <v>1972</v>
      </c>
      <c r="W2500" t="s">
        <v>310</v>
      </c>
      <c r="X2500" t="s">
        <v>13051</v>
      </c>
      <c r="Y2500" t="s">
        <v>2008</v>
      </c>
      <c r="Z2500" t="s">
        <v>2013</v>
      </c>
      <c r="AA2500" t="s">
        <v>2029</v>
      </c>
      <c r="AB2500" t="s">
        <v>14801</v>
      </c>
      <c r="AD2500" t="s">
        <v>17209</v>
      </c>
      <c r="AE2500">
        <v>60</v>
      </c>
      <c r="AF2500" t="s">
        <v>2902</v>
      </c>
      <c r="AG2500" t="s">
        <v>1754</v>
      </c>
      <c r="AH2500" t="s">
        <v>13051</v>
      </c>
      <c r="AI2500">
        <v>2</v>
      </c>
      <c r="AJ2500">
        <v>0</v>
      </c>
      <c r="AK2500">
        <v>147.84</v>
      </c>
      <c r="AN2500" t="s">
        <v>2932</v>
      </c>
      <c r="AO2500">
        <v>25000</v>
      </c>
      <c r="AU2500">
        <v>0.1</v>
      </c>
      <c r="AV2500" t="s">
        <v>310</v>
      </c>
      <c r="AW2500" t="s">
        <v>3077</v>
      </c>
      <c r="AX2500" t="s">
        <v>18685</v>
      </c>
    </row>
    <row r="2501" spans="1:50">
      <c r="A2501" s="1" t="s">
        <v>123</v>
      </c>
      <c r="B2501" t="s">
        <v>163</v>
      </c>
      <c r="C2501" t="s">
        <v>5711</v>
      </c>
      <c r="D2501" t="s">
        <v>268</v>
      </c>
      <c r="F2501" t="s">
        <v>530</v>
      </c>
      <c r="G2501" t="s">
        <v>8996</v>
      </c>
      <c r="H2501" t="s">
        <v>10539</v>
      </c>
      <c r="I2501" t="s">
        <v>11408</v>
      </c>
      <c r="J2501" t="s">
        <v>1641</v>
      </c>
      <c r="K2501">
        <v>10452</v>
      </c>
      <c r="L2501" t="s">
        <v>1670</v>
      </c>
      <c r="M2501" t="s">
        <v>1672</v>
      </c>
      <c r="N2501" t="s">
        <v>1759</v>
      </c>
      <c r="O2501" t="s">
        <v>1675</v>
      </c>
      <c r="P2501" t="s">
        <v>1958</v>
      </c>
      <c r="R2501" t="s">
        <v>50</v>
      </c>
      <c r="U2501" t="s">
        <v>1972</v>
      </c>
      <c r="W2501" t="s">
        <v>1991</v>
      </c>
      <c r="X2501">
        <v>1329</v>
      </c>
      <c r="Y2501" t="s">
        <v>2006</v>
      </c>
      <c r="Z2501" t="s">
        <v>2013</v>
      </c>
      <c r="AB2501" t="s">
        <v>14159</v>
      </c>
      <c r="AD2501" t="s">
        <v>17210</v>
      </c>
      <c r="AE2501">
        <v>120</v>
      </c>
      <c r="AF2501" t="s">
        <v>2913</v>
      </c>
      <c r="AG2501" t="s">
        <v>1754</v>
      </c>
      <c r="AH2501">
        <v>7</v>
      </c>
      <c r="AI2501">
        <v>2</v>
      </c>
      <c r="AJ2501">
        <v>0</v>
      </c>
      <c r="AK2501">
        <v>147.84</v>
      </c>
      <c r="AN2501" t="s">
        <v>2926</v>
      </c>
      <c r="AO2501">
        <v>25000</v>
      </c>
      <c r="AU2501">
        <v>1.5</v>
      </c>
      <c r="AV2501" t="s">
        <v>400</v>
      </c>
      <c r="AW2501" t="s">
        <v>123</v>
      </c>
      <c r="AX2501" t="s">
        <v>18685</v>
      </c>
    </row>
    <row r="2502" spans="1:50">
      <c r="A2502" s="1" t="s">
        <v>118</v>
      </c>
      <c r="B2502" t="s">
        <v>163</v>
      </c>
      <c r="C2502" t="s">
        <v>5712</v>
      </c>
      <c r="D2502" t="s">
        <v>193</v>
      </c>
      <c r="F2502" t="s">
        <v>726</v>
      </c>
      <c r="G2502" t="s">
        <v>8997</v>
      </c>
      <c r="H2502" t="s">
        <v>9805</v>
      </c>
      <c r="I2502" t="s">
        <v>10938</v>
      </c>
      <c r="J2502" t="s">
        <v>1641</v>
      </c>
      <c r="K2502">
        <v>10452</v>
      </c>
      <c r="L2502" t="s">
        <v>1670</v>
      </c>
      <c r="M2502" t="s">
        <v>1670</v>
      </c>
      <c r="O2502" t="s">
        <v>1675</v>
      </c>
      <c r="P2502" t="s">
        <v>1959</v>
      </c>
      <c r="R2502" t="s">
        <v>50</v>
      </c>
      <c r="S2502" t="s">
        <v>1670</v>
      </c>
      <c r="U2502" t="s">
        <v>1972</v>
      </c>
      <c r="W2502" t="s">
        <v>1991</v>
      </c>
      <c r="X2502">
        <v>622</v>
      </c>
      <c r="Y2502" t="s">
        <v>2006</v>
      </c>
      <c r="Z2502" t="s">
        <v>2015</v>
      </c>
      <c r="AB2502" t="s">
        <v>14802</v>
      </c>
      <c r="AE2502">
        <v>60</v>
      </c>
      <c r="AF2502" t="s">
        <v>2902</v>
      </c>
      <c r="AG2502" t="s">
        <v>1754</v>
      </c>
      <c r="AH2502">
        <v>12</v>
      </c>
      <c r="AI2502">
        <v>2</v>
      </c>
      <c r="AJ2502">
        <v>0</v>
      </c>
      <c r="AK2502">
        <v>147.84</v>
      </c>
      <c r="AN2502" t="s">
        <v>2927</v>
      </c>
      <c r="AO2502">
        <v>25000</v>
      </c>
      <c r="AU2502" t="s">
        <v>13051</v>
      </c>
      <c r="AW2502" t="s">
        <v>3046</v>
      </c>
      <c r="AX2502" t="s">
        <v>18685</v>
      </c>
    </row>
    <row r="2503" spans="1:50">
      <c r="A2503" s="1" t="s">
        <v>3172</v>
      </c>
      <c r="B2503" t="s">
        <v>163</v>
      </c>
      <c r="C2503" t="s">
        <v>5713</v>
      </c>
      <c r="D2503" t="s">
        <v>393</v>
      </c>
      <c r="F2503" t="s">
        <v>7750</v>
      </c>
      <c r="G2503" t="s">
        <v>8998</v>
      </c>
      <c r="H2503" t="s">
        <v>9612</v>
      </c>
      <c r="I2503" t="s">
        <v>11135</v>
      </c>
      <c r="J2503" t="s">
        <v>1668</v>
      </c>
      <c r="K2503">
        <v>11354</v>
      </c>
      <c r="L2503" t="s">
        <v>1670</v>
      </c>
      <c r="M2503" t="s">
        <v>1672</v>
      </c>
      <c r="N2503" t="s">
        <v>12203</v>
      </c>
      <c r="O2503" t="s">
        <v>1938</v>
      </c>
      <c r="P2503" t="s">
        <v>1961</v>
      </c>
      <c r="R2503" t="s">
        <v>50</v>
      </c>
      <c r="S2503" t="s">
        <v>1670</v>
      </c>
      <c r="U2503" t="s">
        <v>1972</v>
      </c>
      <c r="V2503" t="s">
        <v>1984</v>
      </c>
      <c r="W2503" t="s">
        <v>222</v>
      </c>
      <c r="X2503" t="s">
        <v>13051</v>
      </c>
      <c r="Y2503" t="s">
        <v>2007</v>
      </c>
      <c r="Z2503" t="s">
        <v>2026</v>
      </c>
      <c r="AB2503" t="s">
        <v>14803</v>
      </c>
      <c r="AE2503">
        <v>91</v>
      </c>
      <c r="AF2503" t="s">
        <v>2902</v>
      </c>
      <c r="AG2503" t="s">
        <v>1754</v>
      </c>
      <c r="AH2503">
        <v>40</v>
      </c>
      <c r="AI2503">
        <v>2</v>
      </c>
      <c r="AJ2503">
        <v>0</v>
      </c>
      <c r="AK2503">
        <v>147.84</v>
      </c>
      <c r="AN2503" t="s">
        <v>2927</v>
      </c>
      <c r="AO2503">
        <v>25000</v>
      </c>
      <c r="AU2503">
        <v>0.15</v>
      </c>
      <c r="AV2503" t="s">
        <v>393</v>
      </c>
      <c r="AW2503" t="s">
        <v>3172</v>
      </c>
      <c r="AX2503" t="s">
        <v>18685</v>
      </c>
    </row>
    <row r="2504" spans="1:50">
      <c r="A2504" s="1" t="s">
        <v>132</v>
      </c>
      <c r="B2504" t="s">
        <v>163</v>
      </c>
      <c r="C2504" t="s">
        <v>5714</v>
      </c>
      <c r="D2504" t="s">
        <v>399</v>
      </c>
      <c r="F2504" t="s">
        <v>461</v>
      </c>
      <c r="G2504" t="s">
        <v>1058</v>
      </c>
      <c r="H2504" t="s">
        <v>1290</v>
      </c>
      <c r="I2504" t="s">
        <v>1520</v>
      </c>
      <c r="J2504" t="s">
        <v>1644</v>
      </c>
      <c r="K2504">
        <v>11221</v>
      </c>
      <c r="L2504" t="s">
        <v>1670</v>
      </c>
      <c r="M2504" t="s">
        <v>1672</v>
      </c>
      <c r="N2504" t="s">
        <v>1754</v>
      </c>
      <c r="O2504" t="s">
        <v>1937</v>
      </c>
      <c r="P2504" t="s">
        <v>1962</v>
      </c>
      <c r="R2504" t="s">
        <v>50</v>
      </c>
      <c r="S2504" t="s">
        <v>1670</v>
      </c>
      <c r="U2504" t="s">
        <v>1977</v>
      </c>
      <c r="V2504" t="s">
        <v>1984</v>
      </c>
      <c r="W2504" t="s">
        <v>266</v>
      </c>
      <c r="X2504">
        <v>1091.82</v>
      </c>
      <c r="Y2504" t="s">
        <v>2009</v>
      </c>
      <c r="Z2504" t="s">
        <v>2015</v>
      </c>
      <c r="AB2504" t="s">
        <v>14804</v>
      </c>
      <c r="AC2504" t="s">
        <v>15153</v>
      </c>
      <c r="AD2504" t="s">
        <v>17211</v>
      </c>
      <c r="AE2504">
        <v>12</v>
      </c>
      <c r="AF2504" t="s">
        <v>2902</v>
      </c>
      <c r="AG2504" t="s">
        <v>2915</v>
      </c>
      <c r="AH2504">
        <v>12</v>
      </c>
      <c r="AI2504">
        <v>1</v>
      </c>
      <c r="AJ2504">
        <v>0</v>
      </c>
      <c r="AK2504">
        <v>147.93</v>
      </c>
      <c r="AN2504" t="s">
        <v>2926</v>
      </c>
      <c r="AO2504">
        <v>18476.9</v>
      </c>
      <c r="AU2504" t="s">
        <v>13051</v>
      </c>
      <c r="AW2504" t="s">
        <v>3060</v>
      </c>
      <c r="AX2504" t="s">
        <v>18685</v>
      </c>
    </row>
    <row r="2505" spans="1:50">
      <c r="A2505" s="1" t="s">
        <v>135</v>
      </c>
      <c r="B2505" t="s">
        <v>163</v>
      </c>
      <c r="C2505" t="s">
        <v>5715</v>
      </c>
      <c r="D2505" t="s">
        <v>326</v>
      </c>
      <c r="F2505" t="s">
        <v>461</v>
      </c>
      <c r="G2505" t="s">
        <v>1058</v>
      </c>
      <c r="H2505" t="s">
        <v>1290</v>
      </c>
      <c r="I2505" t="s">
        <v>1520</v>
      </c>
      <c r="J2505" t="s">
        <v>1644</v>
      </c>
      <c r="K2505">
        <v>11221</v>
      </c>
      <c r="L2505" t="s">
        <v>1670</v>
      </c>
      <c r="M2505" t="s">
        <v>1671</v>
      </c>
      <c r="O2505" t="s">
        <v>1946</v>
      </c>
      <c r="P2505" t="s">
        <v>1964</v>
      </c>
      <c r="R2505" t="s">
        <v>50</v>
      </c>
      <c r="S2505" t="s">
        <v>1670</v>
      </c>
      <c r="U2505" t="s">
        <v>1978</v>
      </c>
      <c r="V2505" t="s">
        <v>1984</v>
      </c>
      <c r="W2505" t="s">
        <v>326</v>
      </c>
      <c r="X2505">
        <v>1091.82</v>
      </c>
      <c r="Y2505" t="s">
        <v>2009</v>
      </c>
      <c r="Z2505" t="s">
        <v>2015</v>
      </c>
      <c r="AB2505" t="s">
        <v>14804</v>
      </c>
      <c r="AC2505" t="s">
        <v>15155</v>
      </c>
      <c r="AD2505" t="s">
        <v>17211</v>
      </c>
      <c r="AE2505">
        <v>12</v>
      </c>
      <c r="AF2505" t="s">
        <v>2902</v>
      </c>
      <c r="AG2505" t="s">
        <v>2915</v>
      </c>
      <c r="AH2505">
        <v>12</v>
      </c>
      <c r="AI2505">
        <v>1</v>
      </c>
      <c r="AJ2505">
        <v>0</v>
      </c>
      <c r="AK2505">
        <v>147.93</v>
      </c>
      <c r="AN2505" t="s">
        <v>2926</v>
      </c>
      <c r="AO2505">
        <v>18476.9</v>
      </c>
      <c r="AU2505">
        <v>10.4</v>
      </c>
      <c r="AV2505" t="s">
        <v>399</v>
      </c>
      <c r="AW2505" t="s">
        <v>3060</v>
      </c>
      <c r="AX2505" t="s">
        <v>18685</v>
      </c>
    </row>
    <row r="2506" spans="1:50">
      <c r="A2506" s="1" t="s">
        <v>135</v>
      </c>
      <c r="B2506" t="s">
        <v>163</v>
      </c>
      <c r="C2506" t="s">
        <v>5716</v>
      </c>
      <c r="D2506" t="s">
        <v>191</v>
      </c>
      <c r="F2506" t="s">
        <v>461</v>
      </c>
      <c r="G2506" t="s">
        <v>1058</v>
      </c>
      <c r="H2506" t="s">
        <v>1290</v>
      </c>
      <c r="I2506" t="s">
        <v>1520</v>
      </c>
      <c r="J2506" t="s">
        <v>1644</v>
      </c>
      <c r="K2506">
        <v>11221</v>
      </c>
      <c r="L2506" t="s">
        <v>1670</v>
      </c>
      <c r="M2506" t="s">
        <v>1672</v>
      </c>
      <c r="N2506" t="s">
        <v>12596</v>
      </c>
      <c r="O2506" t="s">
        <v>1936</v>
      </c>
      <c r="P2506" t="s">
        <v>1960</v>
      </c>
      <c r="R2506" t="s">
        <v>50</v>
      </c>
      <c r="S2506" t="s">
        <v>1670</v>
      </c>
      <c r="U2506" t="s">
        <v>1972</v>
      </c>
      <c r="V2506" t="s">
        <v>1984</v>
      </c>
      <c r="W2506" t="s">
        <v>369</v>
      </c>
      <c r="X2506">
        <v>1091.82</v>
      </c>
      <c r="Y2506" t="s">
        <v>2009</v>
      </c>
      <c r="Z2506" t="s">
        <v>2015</v>
      </c>
      <c r="AB2506" t="s">
        <v>14804</v>
      </c>
      <c r="AC2506" t="s">
        <v>15155</v>
      </c>
      <c r="AD2506" t="s">
        <v>17211</v>
      </c>
      <c r="AE2506">
        <v>12</v>
      </c>
      <c r="AF2506" t="s">
        <v>2902</v>
      </c>
      <c r="AG2506" t="s">
        <v>2915</v>
      </c>
      <c r="AH2506">
        <v>12</v>
      </c>
      <c r="AI2506">
        <v>1</v>
      </c>
      <c r="AJ2506">
        <v>0</v>
      </c>
      <c r="AK2506">
        <v>147.93</v>
      </c>
      <c r="AN2506" t="s">
        <v>2926</v>
      </c>
      <c r="AO2506">
        <v>18476.9</v>
      </c>
      <c r="AU2506">
        <v>2</v>
      </c>
      <c r="AV2506" t="s">
        <v>293</v>
      </c>
      <c r="AW2506" t="s">
        <v>3059</v>
      </c>
      <c r="AX2506" t="s">
        <v>18685</v>
      </c>
    </row>
    <row r="2507" spans="1:50">
      <c r="A2507" s="1" t="s">
        <v>3207</v>
      </c>
      <c r="B2507" t="s">
        <v>164</v>
      </c>
      <c r="C2507" t="s">
        <v>5717</v>
      </c>
      <c r="D2507" t="s">
        <v>340</v>
      </c>
      <c r="E2507" t="s">
        <v>306</v>
      </c>
      <c r="F2507" t="s">
        <v>7751</v>
      </c>
      <c r="G2507" t="s">
        <v>8999</v>
      </c>
      <c r="H2507" t="s">
        <v>10540</v>
      </c>
      <c r="I2507" t="s">
        <v>1510</v>
      </c>
      <c r="J2507" t="s">
        <v>1644</v>
      </c>
      <c r="K2507">
        <v>11217</v>
      </c>
      <c r="L2507" t="s">
        <v>1670</v>
      </c>
      <c r="M2507" t="s">
        <v>1670</v>
      </c>
      <c r="N2507" t="s">
        <v>12597</v>
      </c>
      <c r="O2507" t="s">
        <v>1940</v>
      </c>
      <c r="P2507" t="s">
        <v>1958</v>
      </c>
      <c r="Q2507" t="s">
        <v>1965</v>
      </c>
      <c r="R2507" t="s">
        <v>50</v>
      </c>
      <c r="U2507" t="s">
        <v>1972</v>
      </c>
      <c r="W2507" t="s">
        <v>306</v>
      </c>
      <c r="X2507">
        <v>1400</v>
      </c>
      <c r="Y2507" t="s">
        <v>2009</v>
      </c>
      <c r="Z2507" t="s">
        <v>2014</v>
      </c>
      <c r="AA2507" t="s">
        <v>2029</v>
      </c>
      <c r="AB2507" t="s">
        <v>14805</v>
      </c>
      <c r="AD2507" t="s">
        <v>17212</v>
      </c>
      <c r="AE2507">
        <v>20</v>
      </c>
      <c r="AG2507" t="s">
        <v>1754</v>
      </c>
      <c r="AH2507">
        <v>2</v>
      </c>
      <c r="AI2507">
        <v>1</v>
      </c>
      <c r="AJ2507">
        <v>0</v>
      </c>
      <c r="AK2507">
        <v>148.27</v>
      </c>
      <c r="AN2507" t="s">
        <v>2926</v>
      </c>
      <c r="AO2507">
        <v>18000</v>
      </c>
      <c r="AU2507">
        <v>3.2</v>
      </c>
      <c r="AV2507" t="s">
        <v>261</v>
      </c>
      <c r="AW2507" t="s">
        <v>3074</v>
      </c>
    </row>
    <row r="2508" spans="1:50">
      <c r="A2508" s="1" t="s">
        <v>94</v>
      </c>
      <c r="B2508" t="s">
        <v>164</v>
      </c>
      <c r="C2508" t="s">
        <v>5718</v>
      </c>
      <c r="D2508" t="s">
        <v>169</v>
      </c>
      <c r="E2508" t="s">
        <v>223</v>
      </c>
      <c r="F2508" t="s">
        <v>7752</v>
      </c>
      <c r="G2508" t="s">
        <v>888</v>
      </c>
      <c r="H2508" t="s">
        <v>1460</v>
      </c>
      <c r="I2508" t="s">
        <v>1502</v>
      </c>
      <c r="J2508" t="s">
        <v>1643</v>
      </c>
      <c r="K2508">
        <v>10032</v>
      </c>
      <c r="L2508" t="s">
        <v>1670</v>
      </c>
      <c r="M2508" t="s">
        <v>1670</v>
      </c>
      <c r="O2508" t="s">
        <v>1936</v>
      </c>
      <c r="P2508" t="s">
        <v>1958</v>
      </c>
      <c r="Q2508" t="s">
        <v>1965</v>
      </c>
      <c r="R2508" t="s">
        <v>50</v>
      </c>
      <c r="S2508" t="s">
        <v>1671</v>
      </c>
      <c r="U2508" t="s">
        <v>1972</v>
      </c>
      <c r="W2508" t="s">
        <v>169</v>
      </c>
      <c r="X2508">
        <v>787.17</v>
      </c>
      <c r="Y2508" t="s">
        <v>2008</v>
      </c>
      <c r="Z2508" t="s">
        <v>2013</v>
      </c>
      <c r="AA2508" t="s">
        <v>2029</v>
      </c>
      <c r="AB2508" t="s">
        <v>14806</v>
      </c>
      <c r="AD2508" t="s">
        <v>17213</v>
      </c>
      <c r="AE2508">
        <v>54</v>
      </c>
      <c r="AF2508" t="s">
        <v>2902</v>
      </c>
      <c r="AG2508" t="s">
        <v>1754</v>
      </c>
      <c r="AH2508">
        <v>35</v>
      </c>
      <c r="AI2508">
        <v>1</v>
      </c>
      <c r="AJ2508">
        <v>0</v>
      </c>
      <c r="AK2508">
        <v>148.27</v>
      </c>
      <c r="AN2508" t="s">
        <v>2926</v>
      </c>
      <c r="AO2508">
        <v>18000</v>
      </c>
      <c r="AU2508">
        <v>5.3</v>
      </c>
      <c r="AV2508" t="s">
        <v>223</v>
      </c>
      <c r="AW2508" t="s">
        <v>3042</v>
      </c>
    </row>
    <row r="2509" spans="1:50">
      <c r="A2509" s="1" t="s">
        <v>98</v>
      </c>
      <c r="B2509" t="s">
        <v>164</v>
      </c>
      <c r="C2509" t="s">
        <v>5719</v>
      </c>
      <c r="D2509" t="s">
        <v>321</v>
      </c>
      <c r="E2509" t="s">
        <v>247</v>
      </c>
      <c r="F2509" t="s">
        <v>7753</v>
      </c>
      <c r="G2509" t="s">
        <v>8499</v>
      </c>
      <c r="H2509" t="s">
        <v>10541</v>
      </c>
      <c r="I2509" t="s">
        <v>11000</v>
      </c>
      <c r="J2509" t="s">
        <v>1641</v>
      </c>
      <c r="K2509">
        <v>10452</v>
      </c>
      <c r="L2509" t="s">
        <v>1670</v>
      </c>
      <c r="M2509" t="s">
        <v>1670</v>
      </c>
      <c r="O2509" t="s">
        <v>1675</v>
      </c>
      <c r="P2509" t="s">
        <v>1962</v>
      </c>
      <c r="Q2509" t="s">
        <v>1968</v>
      </c>
      <c r="R2509" t="s">
        <v>50</v>
      </c>
      <c r="S2509" t="s">
        <v>1671</v>
      </c>
      <c r="U2509" t="s">
        <v>1972</v>
      </c>
      <c r="W2509" t="s">
        <v>351</v>
      </c>
      <c r="X2509">
        <v>525.26</v>
      </c>
      <c r="Y2509" t="s">
        <v>2006</v>
      </c>
      <c r="Z2509" t="s">
        <v>2015</v>
      </c>
      <c r="AA2509" t="s">
        <v>2029</v>
      </c>
      <c r="AB2509" t="s">
        <v>14807</v>
      </c>
      <c r="AE2509">
        <v>60</v>
      </c>
      <c r="AF2509" t="s">
        <v>2902</v>
      </c>
      <c r="AG2509" t="s">
        <v>1754</v>
      </c>
      <c r="AH2509">
        <v>47</v>
      </c>
      <c r="AI2509">
        <v>1</v>
      </c>
      <c r="AJ2509">
        <v>0</v>
      </c>
      <c r="AK2509">
        <v>148.27</v>
      </c>
      <c r="AN2509" t="s">
        <v>2926</v>
      </c>
      <c r="AO2509">
        <v>18000</v>
      </c>
      <c r="AU2509">
        <v>2.6</v>
      </c>
      <c r="AV2509" t="s">
        <v>247</v>
      </c>
      <c r="AW2509" t="s">
        <v>98</v>
      </c>
    </row>
    <row r="2510" spans="1:50">
      <c r="A2510" s="1" t="s">
        <v>52</v>
      </c>
      <c r="B2510" t="s">
        <v>163</v>
      </c>
      <c r="C2510" t="s">
        <v>5720</v>
      </c>
      <c r="D2510" t="s">
        <v>187</v>
      </c>
      <c r="F2510" t="s">
        <v>7754</v>
      </c>
      <c r="G2510" t="s">
        <v>8308</v>
      </c>
      <c r="H2510" t="s">
        <v>1136</v>
      </c>
      <c r="I2510" t="s">
        <v>11002</v>
      </c>
      <c r="J2510" t="s">
        <v>1641</v>
      </c>
      <c r="K2510">
        <v>10457</v>
      </c>
      <c r="L2510" t="s">
        <v>1670</v>
      </c>
      <c r="M2510" t="s">
        <v>1670</v>
      </c>
      <c r="N2510" t="s">
        <v>1695</v>
      </c>
      <c r="O2510" t="s">
        <v>1938</v>
      </c>
      <c r="P2510" t="s">
        <v>1961</v>
      </c>
      <c r="R2510" t="s">
        <v>50</v>
      </c>
      <c r="S2510" t="s">
        <v>1670</v>
      </c>
      <c r="U2510" t="s">
        <v>1972</v>
      </c>
      <c r="W2510" t="s">
        <v>359</v>
      </c>
      <c r="X2510">
        <v>847</v>
      </c>
      <c r="Y2510" t="s">
        <v>2006</v>
      </c>
      <c r="Z2510" t="s">
        <v>2015</v>
      </c>
      <c r="AB2510" t="s">
        <v>14808</v>
      </c>
      <c r="AD2510" t="s">
        <v>17214</v>
      </c>
      <c r="AE2510">
        <v>47</v>
      </c>
      <c r="AF2510" t="s">
        <v>2902</v>
      </c>
      <c r="AG2510" t="s">
        <v>1754</v>
      </c>
      <c r="AH2510">
        <v>30</v>
      </c>
      <c r="AI2510">
        <v>1</v>
      </c>
      <c r="AJ2510">
        <v>0</v>
      </c>
      <c r="AK2510">
        <v>148.27</v>
      </c>
      <c r="AN2510" t="s">
        <v>2926</v>
      </c>
      <c r="AO2510">
        <v>18000</v>
      </c>
      <c r="AU2510">
        <v>0.8</v>
      </c>
      <c r="AV2510" t="s">
        <v>319</v>
      </c>
      <c r="AW2510" t="s">
        <v>3046</v>
      </c>
    </row>
    <row r="2511" spans="1:50">
      <c r="A2511" s="1" t="s">
        <v>53</v>
      </c>
      <c r="B2511" t="s">
        <v>164</v>
      </c>
      <c r="C2511" t="s">
        <v>5721</v>
      </c>
      <c r="D2511" t="s">
        <v>356</v>
      </c>
      <c r="E2511" t="s">
        <v>258</v>
      </c>
      <c r="F2511" t="s">
        <v>460</v>
      </c>
      <c r="G2511" t="s">
        <v>9000</v>
      </c>
      <c r="H2511" t="s">
        <v>10542</v>
      </c>
      <c r="J2511" t="s">
        <v>11757</v>
      </c>
      <c r="K2511">
        <v>11356</v>
      </c>
      <c r="L2511" t="s">
        <v>1670</v>
      </c>
      <c r="M2511" t="s">
        <v>1670</v>
      </c>
      <c r="N2511" t="s">
        <v>12598</v>
      </c>
      <c r="O2511" t="s">
        <v>1940</v>
      </c>
      <c r="P2511" t="s">
        <v>1960</v>
      </c>
      <c r="Q2511" t="s">
        <v>1969</v>
      </c>
      <c r="R2511" t="s">
        <v>50</v>
      </c>
      <c r="S2511" t="s">
        <v>1671</v>
      </c>
      <c r="U2511" t="s">
        <v>1972</v>
      </c>
      <c r="V2511" t="s">
        <v>1984</v>
      </c>
      <c r="W2511" t="s">
        <v>356</v>
      </c>
      <c r="X2511">
        <v>1100</v>
      </c>
      <c r="Y2511" t="s">
        <v>2007</v>
      </c>
      <c r="Z2511" t="s">
        <v>2014</v>
      </c>
      <c r="AA2511" t="s">
        <v>2032</v>
      </c>
      <c r="AB2511" t="s">
        <v>14809</v>
      </c>
      <c r="AC2511" t="s">
        <v>15077</v>
      </c>
      <c r="AD2511" t="s">
        <v>17215</v>
      </c>
      <c r="AE2511">
        <v>2</v>
      </c>
      <c r="AF2511" t="s">
        <v>2903</v>
      </c>
      <c r="AG2511" t="s">
        <v>1754</v>
      </c>
      <c r="AH2511">
        <v>6</v>
      </c>
      <c r="AI2511">
        <v>1</v>
      </c>
      <c r="AJ2511">
        <v>0</v>
      </c>
      <c r="AK2511">
        <v>148.27</v>
      </c>
      <c r="AN2511" t="s">
        <v>2926</v>
      </c>
      <c r="AO2511">
        <v>18000</v>
      </c>
      <c r="AQ2511" t="s">
        <v>2979</v>
      </c>
      <c r="AR2511" t="s">
        <v>2017</v>
      </c>
      <c r="AS2511" t="s">
        <v>2993</v>
      </c>
      <c r="AT2511" t="s">
        <v>18568</v>
      </c>
      <c r="AU2511">
        <v>16.45</v>
      </c>
      <c r="AV2511" t="s">
        <v>266</v>
      </c>
      <c r="AW2511" t="s">
        <v>89</v>
      </c>
    </row>
    <row r="2512" spans="1:50">
      <c r="A2512" s="1" t="s">
        <v>125</v>
      </c>
      <c r="B2512" t="s">
        <v>164</v>
      </c>
      <c r="C2512" t="s">
        <v>5722</v>
      </c>
      <c r="D2512" t="s">
        <v>6208</v>
      </c>
      <c r="E2512" t="s">
        <v>190</v>
      </c>
      <c r="F2512" t="s">
        <v>7755</v>
      </c>
      <c r="G2512" t="s">
        <v>8321</v>
      </c>
      <c r="H2512" t="s">
        <v>10543</v>
      </c>
      <c r="I2512">
        <v>5</v>
      </c>
      <c r="J2512" t="s">
        <v>1644</v>
      </c>
      <c r="K2512">
        <v>11218</v>
      </c>
      <c r="L2512" t="s">
        <v>1670</v>
      </c>
      <c r="M2512" t="s">
        <v>1670</v>
      </c>
      <c r="N2512" t="s">
        <v>12599</v>
      </c>
      <c r="O2512" t="s">
        <v>1936</v>
      </c>
      <c r="P2512" t="s">
        <v>1960</v>
      </c>
      <c r="Q2512" t="s">
        <v>1969</v>
      </c>
      <c r="R2512" t="s">
        <v>50</v>
      </c>
      <c r="S2512" t="s">
        <v>1671</v>
      </c>
      <c r="U2512" t="s">
        <v>1972</v>
      </c>
      <c r="W2512" t="s">
        <v>1990</v>
      </c>
      <c r="X2512">
        <v>1230</v>
      </c>
      <c r="Y2512" t="s">
        <v>2009</v>
      </c>
      <c r="Z2512" t="s">
        <v>2028</v>
      </c>
      <c r="AA2512" t="s">
        <v>2034</v>
      </c>
      <c r="AB2512" t="s">
        <v>14810</v>
      </c>
      <c r="AE2512">
        <v>6</v>
      </c>
      <c r="AF2512" t="s">
        <v>2902</v>
      </c>
      <c r="AH2512">
        <v>8</v>
      </c>
      <c r="AI2512">
        <v>1</v>
      </c>
      <c r="AJ2512">
        <v>0</v>
      </c>
      <c r="AK2512">
        <v>148.27</v>
      </c>
      <c r="AN2512" t="s">
        <v>2931</v>
      </c>
      <c r="AO2512">
        <v>18000</v>
      </c>
      <c r="AQ2512" t="s">
        <v>18425</v>
      </c>
      <c r="AR2512" t="s">
        <v>2017</v>
      </c>
      <c r="AS2512" t="s">
        <v>2993</v>
      </c>
      <c r="AT2512" t="s">
        <v>18532</v>
      </c>
      <c r="AU2512">
        <v>10.3</v>
      </c>
      <c r="AV2512" t="s">
        <v>271</v>
      </c>
      <c r="AW2512" t="s">
        <v>3184</v>
      </c>
    </row>
    <row r="2513" spans="1:50">
      <c r="A2513" s="1" t="s">
        <v>74</v>
      </c>
      <c r="B2513" t="s">
        <v>163</v>
      </c>
      <c r="C2513" t="s">
        <v>5723</v>
      </c>
      <c r="D2513" t="s">
        <v>6209</v>
      </c>
      <c r="F2513" t="s">
        <v>608</v>
      </c>
      <c r="G2513" t="s">
        <v>8979</v>
      </c>
      <c r="H2513" t="s">
        <v>1131</v>
      </c>
      <c r="I2513" t="s">
        <v>11403</v>
      </c>
      <c r="J2513" t="s">
        <v>1641</v>
      </c>
      <c r="K2513">
        <v>10460</v>
      </c>
      <c r="L2513" t="s">
        <v>1670</v>
      </c>
      <c r="M2513" t="s">
        <v>1670</v>
      </c>
      <c r="N2513" t="s">
        <v>1692</v>
      </c>
      <c r="O2513" t="s">
        <v>1939</v>
      </c>
      <c r="P2513" t="s">
        <v>1960</v>
      </c>
      <c r="R2513" t="s">
        <v>50</v>
      </c>
      <c r="S2513" t="s">
        <v>1670</v>
      </c>
      <c r="U2513" t="s">
        <v>1972</v>
      </c>
      <c r="W2513" t="s">
        <v>283</v>
      </c>
      <c r="X2513">
        <v>500</v>
      </c>
      <c r="Y2513" t="s">
        <v>2006</v>
      </c>
      <c r="Z2513" t="s">
        <v>2015</v>
      </c>
      <c r="AB2513" t="s">
        <v>14266</v>
      </c>
      <c r="AD2513" t="s">
        <v>17186</v>
      </c>
      <c r="AE2513">
        <v>168</v>
      </c>
      <c r="AF2513" t="s">
        <v>2904</v>
      </c>
      <c r="AG2513" t="s">
        <v>2915</v>
      </c>
      <c r="AH2513">
        <v>5</v>
      </c>
      <c r="AI2513">
        <v>1</v>
      </c>
      <c r="AJ2513">
        <v>0</v>
      </c>
      <c r="AK2513">
        <v>148.27</v>
      </c>
      <c r="AN2513" t="s">
        <v>2926</v>
      </c>
      <c r="AO2513">
        <v>18000</v>
      </c>
      <c r="AU2513" t="s">
        <v>13051</v>
      </c>
      <c r="AW2513" t="s">
        <v>3047</v>
      </c>
      <c r="AX2513" t="s">
        <v>18685</v>
      </c>
    </row>
    <row r="2514" spans="1:50">
      <c r="A2514" s="1" t="s">
        <v>52</v>
      </c>
      <c r="B2514" t="s">
        <v>163</v>
      </c>
      <c r="C2514" t="s">
        <v>5724</v>
      </c>
      <c r="D2514" t="s">
        <v>187</v>
      </c>
      <c r="F2514" t="s">
        <v>7754</v>
      </c>
      <c r="G2514" t="s">
        <v>8308</v>
      </c>
      <c r="H2514" t="s">
        <v>1136</v>
      </c>
      <c r="I2514" t="s">
        <v>11002</v>
      </c>
      <c r="J2514" t="s">
        <v>1641</v>
      </c>
      <c r="K2514">
        <v>10457</v>
      </c>
      <c r="L2514" t="s">
        <v>1670</v>
      </c>
      <c r="M2514" t="s">
        <v>1670</v>
      </c>
      <c r="N2514" t="s">
        <v>1696</v>
      </c>
      <c r="O2514" t="s">
        <v>1939</v>
      </c>
      <c r="P2514" t="s">
        <v>1960</v>
      </c>
      <c r="R2514" t="s">
        <v>50</v>
      </c>
      <c r="S2514" t="s">
        <v>1670</v>
      </c>
      <c r="U2514" t="s">
        <v>1972</v>
      </c>
      <c r="W2514" t="s">
        <v>359</v>
      </c>
      <c r="X2514">
        <v>847</v>
      </c>
      <c r="Y2514" t="s">
        <v>2006</v>
      </c>
      <c r="Z2514" t="s">
        <v>2015</v>
      </c>
      <c r="AB2514" t="s">
        <v>14808</v>
      </c>
      <c r="AD2514" t="s">
        <v>17214</v>
      </c>
      <c r="AE2514">
        <v>47</v>
      </c>
      <c r="AF2514" t="s">
        <v>2902</v>
      </c>
      <c r="AG2514" t="s">
        <v>1754</v>
      </c>
      <c r="AH2514">
        <v>30</v>
      </c>
      <c r="AI2514">
        <v>1</v>
      </c>
      <c r="AJ2514">
        <v>0</v>
      </c>
      <c r="AK2514">
        <v>148.27</v>
      </c>
      <c r="AN2514" t="s">
        <v>2926</v>
      </c>
      <c r="AO2514">
        <v>18000</v>
      </c>
      <c r="AU2514">
        <v>1</v>
      </c>
      <c r="AV2514" t="s">
        <v>307</v>
      </c>
      <c r="AW2514" t="s">
        <v>3046</v>
      </c>
    </row>
    <row r="2515" spans="1:50">
      <c r="A2515" s="1" t="s">
        <v>57</v>
      </c>
      <c r="B2515" t="s">
        <v>163</v>
      </c>
      <c r="C2515" t="s">
        <v>5725</v>
      </c>
      <c r="D2515" t="s">
        <v>190</v>
      </c>
      <c r="F2515" t="s">
        <v>7146</v>
      </c>
      <c r="G2515" t="s">
        <v>8980</v>
      </c>
      <c r="H2515" t="s">
        <v>1112</v>
      </c>
      <c r="I2515" t="s">
        <v>11109</v>
      </c>
      <c r="J2515" t="s">
        <v>1641</v>
      </c>
      <c r="K2515">
        <v>10453</v>
      </c>
      <c r="L2515" t="s">
        <v>1670</v>
      </c>
      <c r="M2515" t="s">
        <v>1670</v>
      </c>
      <c r="N2515" t="s">
        <v>1677</v>
      </c>
      <c r="O2515" t="s">
        <v>1939</v>
      </c>
      <c r="P2515" t="s">
        <v>1960</v>
      </c>
      <c r="R2515" t="s">
        <v>50</v>
      </c>
      <c r="S2515" t="s">
        <v>1670</v>
      </c>
      <c r="U2515" t="s">
        <v>1972</v>
      </c>
      <c r="W2515" t="s">
        <v>283</v>
      </c>
      <c r="X2515">
        <v>1020.49</v>
      </c>
      <c r="Y2515" t="s">
        <v>2006</v>
      </c>
      <c r="Z2515" t="s">
        <v>2015</v>
      </c>
      <c r="AB2515" t="s">
        <v>14780</v>
      </c>
      <c r="AD2515" t="s">
        <v>17187</v>
      </c>
      <c r="AE2515">
        <v>170</v>
      </c>
      <c r="AF2515" t="s">
        <v>2902</v>
      </c>
      <c r="AG2515" t="s">
        <v>1754</v>
      </c>
      <c r="AH2515">
        <v>10</v>
      </c>
      <c r="AI2515">
        <v>1</v>
      </c>
      <c r="AJ2515">
        <v>0</v>
      </c>
      <c r="AK2515">
        <v>148.27</v>
      </c>
      <c r="AN2515" t="s">
        <v>2926</v>
      </c>
      <c r="AO2515">
        <v>18000</v>
      </c>
      <c r="AU2515" t="s">
        <v>13051</v>
      </c>
      <c r="AW2515" t="s">
        <v>3045</v>
      </c>
    </row>
    <row r="2516" spans="1:50">
      <c r="A2516" s="1" t="s">
        <v>126</v>
      </c>
      <c r="B2516" t="s">
        <v>163</v>
      </c>
      <c r="C2516" t="s">
        <v>5726</v>
      </c>
      <c r="D2516" t="s">
        <v>245</v>
      </c>
      <c r="F2516" t="s">
        <v>7756</v>
      </c>
      <c r="G2516" t="s">
        <v>8501</v>
      </c>
      <c r="H2516" t="s">
        <v>9627</v>
      </c>
      <c r="I2516" t="s">
        <v>11409</v>
      </c>
      <c r="J2516" t="s">
        <v>1641</v>
      </c>
      <c r="K2516">
        <v>10451</v>
      </c>
      <c r="L2516" t="s">
        <v>1670</v>
      </c>
      <c r="M2516" t="s">
        <v>1670</v>
      </c>
      <c r="N2516" t="s">
        <v>11981</v>
      </c>
      <c r="O2516" t="s">
        <v>1939</v>
      </c>
      <c r="P2516" t="s">
        <v>1960</v>
      </c>
      <c r="R2516" t="s">
        <v>50</v>
      </c>
      <c r="S2516" t="s">
        <v>1670</v>
      </c>
      <c r="U2516" t="s">
        <v>1972</v>
      </c>
      <c r="W2516" t="s">
        <v>359</v>
      </c>
      <c r="X2516">
        <v>820</v>
      </c>
      <c r="Y2516" t="s">
        <v>2006</v>
      </c>
      <c r="Z2516" t="s">
        <v>2015</v>
      </c>
      <c r="AB2516" t="s">
        <v>14811</v>
      </c>
      <c r="AD2516" t="s">
        <v>17216</v>
      </c>
      <c r="AE2516">
        <v>100</v>
      </c>
      <c r="AF2516" t="s">
        <v>2902</v>
      </c>
      <c r="AG2516" t="s">
        <v>2915</v>
      </c>
      <c r="AH2516">
        <v>15</v>
      </c>
      <c r="AI2516">
        <v>1</v>
      </c>
      <c r="AJ2516">
        <v>0</v>
      </c>
      <c r="AK2516">
        <v>148.27</v>
      </c>
      <c r="AN2516" t="s">
        <v>2927</v>
      </c>
      <c r="AO2516">
        <v>18000</v>
      </c>
      <c r="AU2516" t="s">
        <v>13051</v>
      </c>
      <c r="AW2516" t="s">
        <v>3047</v>
      </c>
    </row>
    <row r="2517" spans="1:50">
      <c r="A2517" s="1" t="s">
        <v>56</v>
      </c>
      <c r="B2517" t="s">
        <v>164</v>
      </c>
      <c r="C2517" t="s">
        <v>5727</v>
      </c>
      <c r="D2517" t="s">
        <v>328</v>
      </c>
      <c r="E2517" t="s">
        <v>3037</v>
      </c>
      <c r="F2517" t="s">
        <v>7528</v>
      </c>
      <c r="G2517" t="s">
        <v>9001</v>
      </c>
      <c r="H2517" t="s">
        <v>10544</v>
      </c>
      <c r="I2517">
        <v>1</v>
      </c>
      <c r="J2517" t="s">
        <v>11758</v>
      </c>
      <c r="K2517">
        <v>11413</v>
      </c>
      <c r="L2517" t="s">
        <v>1670</v>
      </c>
      <c r="M2517" t="s">
        <v>1672</v>
      </c>
      <c r="N2517" t="s">
        <v>12600</v>
      </c>
      <c r="O2517" t="s">
        <v>1940</v>
      </c>
      <c r="P2517" t="s">
        <v>1958</v>
      </c>
      <c r="Q2517" t="s">
        <v>1965</v>
      </c>
      <c r="R2517" t="s">
        <v>50</v>
      </c>
      <c r="S2517" t="s">
        <v>1671</v>
      </c>
      <c r="U2517" t="s">
        <v>1972</v>
      </c>
      <c r="V2517" t="s">
        <v>1984</v>
      </c>
      <c r="W2517" t="s">
        <v>328</v>
      </c>
      <c r="X2517">
        <v>1487</v>
      </c>
      <c r="Y2517" t="s">
        <v>2007</v>
      </c>
      <c r="Z2517" t="s">
        <v>2014</v>
      </c>
      <c r="AA2517" t="s">
        <v>2029</v>
      </c>
      <c r="AB2517" t="s">
        <v>14812</v>
      </c>
      <c r="AC2517" t="s">
        <v>15077</v>
      </c>
      <c r="AD2517" t="s">
        <v>17217</v>
      </c>
      <c r="AE2517">
        <v>2</v>
      </c>
      <c r="AF2517" t="s">
        <v>2903</v>
      </c>
      <c r="AG2517" t="s">
        <v>2915</v>
      </c>
      <c r="AH2517">
        <v>10</v>
      </c>
      <c r="AI2517">
        <v>1</v>
      </c>
      <c r="AJ2517">
        <v>0</v>
      </c>
      <c r="AK2517">
        <v>148.92</v>
      </c>
      <c r="AN2517" t="s">
        <v>2926</v>
      </c>
      <c r="AO2517">
        <v>18600</v>
      </c>
      <c r="AU2517">
        <v>1.1</v>
      </c>
      <c r="AV2517" t="s">
        <v>392</v>
      </c>
      <c r="AW2517" t="s">
        <v>3073</v>
      </c>
      <c r="AX2517" t="s">
        <v>18685</v>
      </c>
    </row>
    <row r="2518" spans="1:50">
      <c r="A2518" s="1" t="s">
        <v>66</v>
      </c>
      <c r="B2518" t="s">
        <v>164</v>
      </c>
      <c r="C2518" t="s">
        <v>5728</v>
      </c>
      <c r="D2518" t="s">
        <v>350</v>
      </c>
      <c r="E2518" t="s">
        <v>269</v>
      </c>
      <c r="F2518" t="s">
        <v>6867</v>
      </c>
      <c r="G2518" t="s">
        <v>6804</v>
      </c>
      <c r="H2518" t="s">
        <v>10545</v>
      </c>
      <c r="I2518" t="s">
        <v>11410</v>
      </c>
      <c r="J2518" t="s">
        <v>1644</v>
      </c>
      <c r="K2518">
        <v>11212</v>
      </c>
      <c r="L2518" t="s">
        <v>1671</v>
      </c>
      <c r="M2518" t="s">
        <v>1670</v>
      </c>
      <c r="N2518" t="s">
        <v>12601</v>
      </c>
      <c r="O2518" t="s">
        <v>1940</v>
      </c>
      <c r="P2518" t="s">
        <v>1958</v>
      </c>
      <c r="Q2518" t="s">
        <v>1968</v>
      </c>
      <c r="R2518" t="s">
        <v>50</v>
      </c>
      <c r="S2518" t="s">
        <v>1671</v>
      </c>
      <c r="U2518" t="s">
        <v>1972</v>
      </c>
      <c r="W2518" t="s">
        <v>301</v>
      </c>
      <c r="X2518">
        <v>725</v>
      </c>
      <c r="Y2518" t="s">
        <v>2009</v>
      </c>
      <c r="Z2518" t="s">
        <v>2014</v>
      </c>
      <c r="AA2518" t="s">
        <v>2029</v>
      </c>
      <c r="AB2518" t="s">
        <v>14813</v>
      </c>
      <c r="AD2518" t="s">
        <v>17218</v>
      </c>
      <c r="AE2518">
        <v>2</v>
      </c>
      <c r="AF2518" t="s">
        <v>2903</v>
      </c>
      <c r="AG2518" t="s">
        <v>1754</v>
      </c>
      <c r="AH2518">
        <v>1</v>
      </c>
      <c r="AI2518">
        <v>1</v>
      </c>
      <c r="AJ2518">
        <v>0</v>
      </c>
      <c r="AK2518">
        <v>149.88</v>
      </c>
      <c r="AN2518" t="s">
        <v>2926</v>
      </c>
      <c r="AO2518">
        <v>18720</v>
      </c>
      <c r="AU2518">
        <v>2.4</v>
      </c>
      <c r="AV2518" t="s">
        <v>212</v>
      </c>
      <c r="AW2518" t="s">
        <v>3059</v>
      </c>
    </row>
    <row r="2519" spans="1:50">
      <c r="A2519" s="1" t="s">
        <v>74</v>
      </c>
      <c r="B2519" t="s">
        <v>163</v>
      </c>
      <c r="C2519" t="s">
        <v>5729</v>
      </c>
      <c r="D2519" t="s">
        <v>230</v>
      </c>
      <c r="F2519" t="s">
        <v>427</v>
      </c>
      <c r="G2519" t="s">
        <v>8798</v>
      </c>
      <c r="H2519" t="s">
        <v>1131</v>
      </c>
      <c r="I2519" t="s">
        <v>11411</v>
      </c>
      <c r="J2519" t="s">
        <v>1641</v>
      </c>
      <c r="K2519">
        <v>10460</v>
      </c>
      <c r="L2519" t="s">
        <v>1670</v>
      </c>
      <c r="M2519" t="s">
        <v>1672</v>
      </c>
      <c r="O2519" t="s">
        <v>1675</v>
      </c>
      <c r="P2519" t="s">
        <v>1959</v>
      </c>
      <c r="R2519" t="s">
        <v>50</v>
      </c>
      <c r="S2519" t="s">
        <v>1670</v>
      </c>
      <c r="U2519" t="s">
        <v>1972</v>
      </c>
      <c r="W2519" t="s">
        <v>1991</v>
      </c>
      <c r="X2519">
        <v>960</v>
      </c>
      <c r="Y2519" t="s">
        <v>2006</v>
      </c>
      <c r="Z2519" t="s">
        <v>2015</v>
      </c>
      <c r="AB2519" t="s">
        <v>14814</v>
      </c>
      <c r="AD2519" t="s">
        <v>17219</v>
      </c>
      <c r="AE2519">
        <v>168</v>
      </c>
      <c r="AF2519" t="s">
        <v>2902</v>
      </c>
      <c r="AG2519" t="s">
        <v>1754</v>
      </c>
      <c r="AH2519">
        <v>25</v>
      </c>
      <c r="AI2519">
        <v>2</v>
      </c>
      <c r="AJ2519">
        <v>0</v>
      </c>
      <c r="AK2519">
        <v>149.88</v>
      </c>
      <c r="AN2519" t="s">
        <v>2927</v>
      </c>
      <c r="AO2519">
        <v>25344</v>
      </c>
      <c r="AU2519" t="s">
        <v>13051</v>
      </c>
      <c r="AW2519" t="s">
        <v>3045</v>
      </c>
      <c r="AX2519" t="s">
        <v>18685</v>
      </c>
    </row>
    <row r="2520" spans="1:50">
      <c r="A2520" s="1" t="s">
        <v>113</v>
      </c>
      <c r="B2520" t="s">
        <v>164</v>
      </c>
      <c r="C2520" t="s">
        <v>5730</v>
      </c>
      <c r="D2520" t="s">
        <v>358</v>
      </c>
      <c r="E2520" t="s">
        <v>375</v>
      </c>
      <c r="F2520" t="s">
        <v>7757</v>
      </c>
      <c r="G2520" t="s">
        <v>877</v>
      </c>
      <c r="H2520" t="s">
        <v>9388</v>
      </c>
      <c r="I2520" t="s">
        <v>11412</v>
      </c>
      <c r="J2520" t="s">
        <v>1643</v>
      </c>
      <c r="K2520">
        <v>10025</v>
      </c>
      <c r="L2520" t="s">
        <v>1670</v>
      </c>
      <c r="M2520" t="s">
        <v>1670</v>
      </c>
      <c r="O2520" t="s">
        <v>1675</v>
      </c>
      <c r="P2520" t="s">
        <v>1958</v>
      </c>
      <c r="Q2520" t="s">
        <v>1965</v>
      </c>
      <c r="R2520" t="s">
        <v>50</v>
      </c>
      <c r="S2520" t="s">
        <v>1671</v>
      </c>
      <c r="U2520" t="s">
        <v>1972</v>
      </c>
      <c r="W2520" t="s">
        <v>358</v>
      </c>
      <c r="X2520">
        <v>1155.17</v>
      </c>
      <c r="Y2520" t="s">
        <v>2008</v>
      </c>
      <c r="Z2520" t="s">
        <v>2013</v>
      </c>
      <c r="AA2520" t="s">
        <v>2029</v>
      </c>
      <c r="AB2520" t="s">
        <v>14815</v>
      </c>
      <c r="AD2520" t="s">
        <v>17220</v>
      </c>
      <c r="AE2520">
        <v>120</v>
      </c>
      <c r="AG2520" t="s">
        <v>1754</v>
      </c>
      <c r="AH2520">
        <v>8</v>
      </c>
      <c r="AI2520">
        <v>1</v>
      </c>
      <c r="AJ2520">
        <v>0</v>
      </c>
      <c r="AK2520">
        <v>149.92</v>
      </c>
      <c r="AN2520" t="s">
        <v>2926</v>
      </c>
      <c r="AO2520">
        <v>18200</v>
      </c>
      <c r="AU2520">
        <v>0.4</v>
      </c>
      <c r="AV2520" t="s">
        <v>292</v>
      </c>
      <c r="AW2520" t="s">
        <v>3051</v>
      </c>
    </row>
    <row r="2521" spans="1:50">
      <c r="A2521" s="1" t="s">
        <v>66</v>
      </c>
      <c r="B2521" t="s">
        <v>164</v>
      </c>
      <c r="C2521" t="s">
        <v>5731</v>
      </c>
      <c r="D2521" t="s">
        <v>297</v>
      </c>
      <c r="E2521" t="s">
        <v>236</v>
      </c>
      <c r="F2521" t="s">
        <v>508</v>
      </c>
      <c r="G2521" t="s">
        <v>9002</v>
      </c>
      <c r="H2521" t="s">
        <v>10546</v>
      </c>
      <c r="I2521" t="s">
        <v>1525</v>
      </c>
      <c r="J2521" t="s">
        <v>1644</v>
      </c>
      <c r="K2521">
        <v>11207</v>
      </c>
      <c r="L2521" t="s">
        <v>1670</v>
      </c>
      <c r="M2521" t="s">
        <v>1670</v>
      </c>
      <c r="N2521" t="s">
        <v>12602</v>
      </c>
      <c r="O2521" t="s">
        <v>1936</v>
      </c>
      <c r="P2521" t="s">
        <v>1958</v>
      </c>
      <c r="Q2521" t="s">
        <v>1968</v>
      </c>
      <c r="R2521" t="s">
        <v>50</v>
      </c>
      <c r="S2521" t="s">
        <v>1671</v>
      </c>
      <c r="U2521" t="s">
        <v>1972</v>
      </c>
      <c r="W2521" t="s">
        <v>267</v>
      </c>
      <c r="X2521">
        <v>2685</v>
      </c>
      <c r="Y2521" t="s">
        <v>2009</v>
      </c>
      <c r="Z2521" t="s">
        <v>2017</v>
      </c>
      <c r="AA2521" t="s">
        <v>2029</v>
      </c>
      <c r="AB2521" t="s">
        <v>14816</v>
      </c>
      <c r="AE2521">
        <v>8</v>
      </c>
      <c r="AF2521" t="s">
        <v>2902</v>
      </c>
      <c r="AG2521" t="s">
        <v>1754</v>
      </c>
      <c r="AH2521">
        <v>3</v>
      </c>
      <c r="AI2521">
        <v>1</v>
      </c>
      <c r="AJ2521">
        <v>0</v>
      </c>
      <c r="AK2521">
        <v>149.92</v>
      </c>
      <c r="AN2521" t="s">
        <v>2926</v>
      </c>
      <c r="AO2521">
        <v>18200</v>
      </c>
      <c r="AU2521">
        <v>2.4</v>
      </c>
      <c r="AV2521" t="s">
        <v>319</v>
      </c>
      <c r="AW2521" t="s">
        <v>3083</v>
      </c>
    </row>
    <row r="2522" spans="1:50">
      <c r="A2522" s="1" t="s">
        <v>78</v>
      </c>
      <c r="B2522" t="s">
        <v>164</v>
      </c>
      <c r="C2522" t="s">
        <v>5732</v>
      </c>
      <c r="D2522" t="s">
        <v>329</v>
      </c>
      <c r="E2522" t="s">
        <v>393</v>
      </c>
      <c r="F2522" t="s">
        <v>6867</v>
      </c>
      <c r="G2522" t="s">
        <v>8064</v>
      </c>
      <c r="H2522" t="s">
        <v>9562</v>
      </c>
      <c r="I2522" t="s">
        <v>11034</v>
      </c>
      <c r="J2522" t="s">
        <v>1646</v>
      </c>
      <c r="K2522">
        <v>10304</v>
      </c>
      <c r="L2522" t="s">
        <v>1670</v>
      </c>
      <c r="M2522" t="s">
        <v>1670</v>
      </c>
      <c r="N2522" t="s">
        <v>1691</v>
      </c>
      <c r="O2522" t="s">
        <v>1943</v>
      </c>
      <c r="P2522" t="s">
        <v>1959</v>
      </c>
      <c r="Q2522" t="s">
        <v>1970</v>
      </c>
      <c r="R2522" t="s">
        <v>50</v>
      </c>
      <c r="S2522" t="s">
        <v>1671</v>
      </c>
      <c r="U2522" t="s">
        <v>1972</v>
      </c>
      <c r="V2522" t="s">
        <v>1984</v>
      </c>
      <c r="W2522" t="s">
        <v>329</v>
      </c>
      <c r="X2522">
        <v>1300</v>
      </c>
      <c r="Y2522" t="s">
        <v>2010</v>
      </c>
      <c r="Z2522" t="s">
        <v>2012</v>
      </c>
      <c r="AA2522" t="s">
        <v>2041</v>
      </c>
      <c r="AB2522" t="s">
        <v>2421</v>
      </c>
      <c r="AD2522" t="s">
        <v>15918</v>
      </c>
      <c r="AE2522">
        <v>4</v>
      </c>
      <c r="AF2522" t="s">
        <v>2902</v>
      </c>
      <c r="AH2522">
        <v>26</v>
      </c>
      <c r="AI2522">
        <v>1</v>
      </c>
      <c r="AJ2522">
        <v>0</v>
      </c>
      <c r="AK2522">
        <v>149.92</v>
      </c>
      <c r="AL2522" t="s">
        <v>2923</v>
      </c>
      <c r="AM2522" t="s">
        <v>2924</v>
      </c>
      <c r="AN2522" t="s">
        <v>2926</v>
      </c>
      <c r="AO2522">
        <v>18200</v>
      </c>
      <c r="AQ2522" t="s">
        <v>2979</v>
      </c>
      <c r="AR2522" t="s">
        <v>2985</v>
      </c>
      <c r="AS2522" t="s">
        <v>2992</v>
      </c>
      <c r="AT2522" t="s">
        <v>18599</v>
      </c>
      <c r="AU2522">
        <v>1.65</v>
      </c>
      <c r="AV2522" t="s">
        <v>1991</v>
      </c>
      <c r="AW2522" t="s">
        <v>3199</v>
      </c>
    </row>
    <row r="2523" spans="1:50">
      <c r="A2523" s="1" t="s">
        <v>115</v>
      </c>
      <c r="B2523" t="s">
        <v>164</v>
      </c>
      <c r="C2523" t="s">
        <v>5733</v>
      </c>
      <c r="D2523" t="s">
        <v>247</v>
      </c>
      <c r="E2523" t="s">
        <v>359</v>
      </c>
      <c r="F2523" t="s">
        <v>7758</v>
      </c>
      <c r="G2523" t="s">
        <v>9003</v>
      </c>
      <c r="H2523" t="s">
        <v>9700</v>
      </c>
      <c r="I2523">
        <v>50</v>
      </c>
      <c r="J2523" t="s">
        <v>1641</v>
      </c>
      <c r="K2523">
        <v>10452</v>
      </c>
      <c r="L2523" t="s">
        <v>1670</v>
      </c>
      <c r="M2523" t="s">
        <v>1670</v>
      </c>
      <c r="O2523" t="s">
        <v>1939</v>
      </c>
      <c r="P2523" t="s">
        <v>1958</v>
      </c>
      <c r="Q2523" t="s">
        <v>1965</v>
      </c>
      <c r="R2523" t="s">
        <v>50</v>
      </c>
      <c r="S2523" t="s">
        <v>1670</v>
      </c>
      <c r="U2523" t="s">
        <v>1972</v>
      </c>
      <c r="W2523" t="s">
        <v>359</v>
      </c>
      <c r="X2523">
        <v>857</v>
      </c>
      <c r="Y2523" t="s">
        <v>2006</v>
      </c>
      <c r="Z2523" t="s">
        <v>2015</v>
      </c>
      <c r="AA2523" t="s">
        <v>2029</v>
      </c>
      <c r="AB2523" t="s">
        <v>14817</v>
      </c>
      <c r="AE2523">
        <v>149</v>
      </c>
      <c r="AF2523" t="s">
        <v>2902</v>
      </c>
      <c r="AG2523" t="s">
        <v>1754</v>
      </c>
      <c r="AH2523">
        <v>35</v>
      </c>
      <c r="AI2523">
        <v>2</v>
      </c>
      <c r="AJ2523">
        <v>0</v>
      </c>
      <c r="AK2523">
        <v>149.96</v>
      </c>
      <c r="AN2523" t="s">
        <v>2926</v>
      </c>
      <c r="AO2523">
        <v>24684</v>
      </c>
      <c r="AU2523">
        <v>0.2</v>
      </c>
      <c r="AV2523" t="s">
        <v>271</v>
      </c>
      <c r="AW2523" t="s">
        <v>3054</v>
      </c>
    </row>
    <row r="2524" spans="1:50">
      <c r="A2524" s="1" t="s">
        <v>65</v>
      </c>
      <c r="B2524" t="s">
        <v>163</v>
      </c>
      <c r="C2524" t="s">
        <v>5734</v>
      </c>
      <c r="D2524" t="s">
        <v>316</v>
      </c>
      <c r="F2524" t="s">
        <v>420</v>
      </c>
      <c r="G2524" t="s">
        <v>7887</v>
      </c>
      <c r="H2524" t="s">
        <v>9391</v>
      </c>
      <c r="I2524" t="s">
        <v>1488</v>
      </c>
      <c r="J2524" t="s">
        <v>1644</v>
      </c>
      <c r="K2524">
        <v>11225</v>
      </c>
      <c r="L2524" t="s">
        <v>1670</v>
      </c>
      <c r="M2524" t="s">
        <v>1670</v>
      </c>
      <c r="O2524" t="s">
        <v>1952</v>
      </c>
      <c r="P2524" t="s">
        <v>1960</v>
      </c>
      <c r="R2524" t="s">
        <v>50</v>
      </c>
      <c r="U2524" t="s">
        <v>1972</v>
      </c>
      <c r="W2524" t="s">
        <v>2001</v>
      </c>
      <c r="X2524" t="s">
        <v>13051</v>
      </c>
      <c r="Y2524" t="s">
        <v>2009</v>
      </c>
      <c r="AB2524" t="s">
        <v>13090</v>
      </c>
      <c r="AD2524" t="s">
        <v>15718</v>
      </c>
      <c r="AE2524" t="s">
        <v>13051</v>
      </c>
      <c r="AH2524" t="s">
        <v>13051</v>
      </c>
      <c r="AI2524">
        <v>3</v>
      </c>
      <c r="AJ2524">
        <v>0</v>
      </c>
      <c r="AK2524">
        <v>150.02</v>
      </c>
      <c r="AN2524" t="s">
        <v>2926</v>
      </c>
      <c r="AO2524">
        <v>32000</v>
      </c>
      <c r="AU2524">
        <v>7.7</v>
      </c>
      <c r="AV2524" t="s">
        <v>334</v>
      </c>
      <c r="AW2524" t="s">
        <v>158</v>
      </c>
    </row>
    <row r="2525" spans="1:50">
      <c r="A2525" s="1" t="s">
        <v>65</v>
      </c>
      <c r="B2525" t="s">
        <v>163</v>
      </c>
      <c r="C2525" t="s">
        <v>5735</v>
      </c>
      <c r="D2525" t="s">
        <v>256</v>
      </c>
      <c r="F2525" t="s">
        <v>420</v>
      </c>
      <c r="G2525" t="s">
        <v>7887</v>
      </c>
      <c r="H2525" t="s">
        <v>9391</v>
      </c>
      <c r="I2525" t="s">
        <v>1488</v>
      </c>
      <c r="J2525" t="s">
        <v>1644</v>
      </c>
      <c r="K2525">
        <v>11225</v>
      </c>
      <c r="L2525" t="s">
        <v>1670</v>
      </c>
      <c r="M2525" t="s">
        <v>1670</v>
      </c>
      <c r="O2525" t="s">
        <v>1952</v>
      </c>
      <c r="P2525" t="s">
        <v>1960</v>
      </c>
      <c r="R2525" t="s">
        <v>50</v>
      </c>
      <c r="S2525" t="s">
        <v>1670</v>
      </c>
      <c r="U2525" t="s">
        <v>1972</v>
      </c>
      <c r="W2525" t="s">
        <v>2001</v>
      </c>
      <c r="X2525" t="s">
        <v>13051</v>
      </c>
      <c r="Y2525" t="s">
        <v>2009</v>
      </c>
      <c r="AB2525" t="s">
        <v>13090</v>
      </c>
      <c r="AD2525" t="s">
        <v>15718</v>
      </c>
      <c r="AE2525" t="s">
        <v>13051</v>
      </c>
      <c r="AH2525" t="s">
        <v>13051</v>
      </c>
      <c r="AI2525">
        <v>3</v>
      </c>
      <c r="AJ2525">
        <v>0</v>
      </c>
      <c r="AK2525">
        <v>150.02</v>
      </c>
      <c r="AN2525" t="s">
        <v>2926</v>
      </c>
      <c r="AO2525">
        <v>32000</v>
      </c>
      <c r="AU2525">
        <v>3</v>
      </c>
      <c r="AV2525" t="s">
        <v>235</v>
      </c>
      <c r="AW2525" t="s">
        <v>158</v>
      </c>
    </row>
    <row r="2526" spans="1:50">
      <c r="A2526" s="1" t="s">
        <v>3158</v>
      </c>
      <c r="B2526" t="s">
        <v>164</v>
      </c>
      <c r="C2526" t="s">
        <v>5736</v>
      </c>
      <c r="D2526" t="s">
        <v>378</v>
      </c>
      <c r="E2526" t="s">
        <v>175</v>
      </c>
      <c r="F2526" t="s">
        <v>685</v>
      </c>
      <c r="G2526" t="s">
        <v>9004</v>
      </c>
      <c r="H2526" t="s">
        <v>10547</v>
      </c>
      <c r="I2526" t="s">
        <v>1498</v>
      </c>
      <c r="J2526" t="s">
        <v>1643</v>
      </c>
      <c r="K2526">
        <v>10033</v>
      </c>
      <c r="L2526" t="s">
        <v>1670</v>
      </c>
      <c r="M2526" t="s">
        <v>1670</v>
      </c>
      <c r="O2526" t="s">
        <v>1949</v>
      </c>
      <c r="P2526" t="s">
        <v>1958</v>
      </c>
      <c r="Q2526" t="s">
        <v>1965</v>
      </c>
      <c r="R2526" t="s">
        <v>50</v>
      </c>
      <c r="S2526" t="s">
        <v>1671</v>
      </c>
      <c r="U2526" t="s">
        <v>1972</v>
      </c>
      <c r="W2526" t="s">
        <v>378</v>
      </c>
      <c r="X2526">
        <v>786.61</v>
      </c>
      <c r="Y2526" t="s">
        <v>2008</v>
      </c>
      <c r="Z2526" t="s">
        <v>2013</v>
      </c>
      <c r="AA2526" t="s">
        <v>2029</v>
      </c>
      <c r="AB2526" t="s">
        <v>14818</v>
      </c>
      <c r="AD2526" t="s">
        <v>17221</v>
      </c>
      <c r="AE2526">
        <v>49</v>
      </c>
      <c r="AF2526" t="s">
        <v>2902</v>
      </c>
      <c r="AG2526" t="s">
        <v>1754</v>
      </c>
      <c r="AH2526">
        <v>30</v>
      </c>
      <c r="AI2526">
        <v>2</v>
      </c>
      <c r="AJ2526">
        <v>0</v>
      </c>
      <c r="AK2526">
        <v>150.06</v>
      </c>
      <c r="AN2526" t="s">
        <v>2927</v>
      </c>
      <c r="AO2526">
        <v>24700</v>
      </c>
      <c r="AU2526">
        <v>0.7</v>
      </c>
      <c r="AV2526" t="s">
        <v>175</v>
      </c>
      <c r="AW2526" t="s">
        <v>3042</v>
      </c>
    </row>
    <row r="2527" spans="1:50">
      <c r="A2527" s="1" t="s">
        <v>119</v>
      </c>
      <c r="B2527" t="s">
        <v>163</v>
      </c>
      <c r="C2527" t="s">
        <v>5737</v>
      </c>
      <c r="D2527" t="s">
        <v>345</v>
      </c>
      <c r="F2527" t="s">
        <v>7759</v>
      </c>
      <c r="G2527" t="s">
        <v>9005</v>
      </c>
      <c r="H2527" t="s">
        <v>10548</v>
      </c>
      <c r="I2527" t="s">
        <v>1549</v>
      </c>
      <c r="J2527" t="s">
        <v>1644</v>
      </c>
      <c r="K2527">
        <v>11208</v>
      </c>
      <c r="L2527" t="s">
        <v>1670</v>
      </c>
      <c r="M2527" t="s">
        <v>1670</v>
      </c>
      <c r="N2527" t="s">
        <v>12603</v>
      </c>
      <c r="O2527" t="s">
        <v>1940</v>
      </c>
      <c r="P2527" t="s">
        <v>1958</v>
      </c>
      <c r="R2527" t="s">
        <v>50</v>
      </c>
      <c r="U2527" t="s">
        <v>1972</v>
      </c>
      <c r="W2527" t="s">
        <v>320</v>
      </c>
      <c r="X2527" t="s">
        <v>13051</v>
      </c>
      <c r="Y2527" t="s">
        <v>2009</v>
      </c>
      <c r="Z2527" t="s">
        <v>2014</v>
      </c>
      <c r="AA2527" t="s">
        <v>2029</v>
      </c>
      <c r="AB2527" t="s">
        <v>14819</v>
      </c>
      <c r="AD2527" t="s">
        <v>17222</v>
      </c>
      <c r="AE2527">
        <v>2</v>
      </c>
      <c r="AG2527" t="s">
        <v>1754</v>
      </c>
      <c r="AH2527">
        <v>40</v>
      </c>
      <c r="AI2527">
        <v>3</v>
      </c>
      <c r="AJ2527">
        <v>0</v>
      </c>
      <c r="AK2527">
        <v>150.14</v>
      </c>
      <c r="AN2527" t="s">
        <v>2926</v>
      </c>
      <c r="AO2527">
        <v>31200</v>
      </c>
      <c r="AU2527">
        <v>4.6</v>
      </c>
      <c r="AV2527" t="s">
        <v>302</v>
      </c>
      <c r="AW2527" t="s">
        <v>3074</v>
      </c>
    </row>
    <row r="2528" spans="1:50">
      <c r="A2528" s="1" t="s">
        <v>54</v>
      </c>
      <c r="B2528" t="s">
        <v>163</v>
      </c>
      <c r="C2528" t="s">
        <v>5738</v>
      </c>
      <c r="D2528" t="s">
        <v>387</v>
      </c>
      <c r="F2528" t="s">
        <v>427</v>
      </c>
      <c r="G2528" t="s">
        <v>806</v>
      </c>
      <c r="H2528" t="s">
        <v>10549</v>
      </c>
      <c r="I2528" t="s">
        <v>11413</v>
      </c>
      <c r="J2528" t="s">
        <v>1643</v>
      </c>
      <c r="K2528">
        <v>10033</v>
      </c>
      <c r="L2528" t="s">
        <v>1670</v>
      </c>
      <c r="M2528" t="s">
        <v>1670</v>
      </c>
      <c r="N2528" t="s">
        <v>12604</v>
      </c>
      <c r="O2528" t="s">
        <v>1940</v>
      </c>
      <c r="P2528" t="s">
        <v>1960</v>
      </c>
      <c r="R2528" t="s">
        <v>50</v>
      </c>
      <c r="S2528" t="s">
        <v>1671</v>
      </c>
      <c r="U2528" t="s">
        <v>1972</v>
      </c>
      <c r="W2528" t="s">
        <v>387</v>
      </c>
      <c r="X2528">
        <v>1849.62</v>
      </c>
      <c r="Y2528" t="s">
        <v>2008</v>
      </c>
      <c r="Z2528" t="s">
        <v>2013</v>
      </c>
      <c r="AB2528" t="s">
        <v>14820</v>
      </c>
      <c r="AD2528" t="s">
        <v>17223</v>
      </c>
      <c r="AE2528">
        <v>19</v>
      </c>
      <c r="AF2528" t="s">
        <v>2902</v>
      </c>
      <c r="AG2528" t="s">
        <v>1754</v>
      </c>
      <c r="AH2528">
        <v>15</v>
      </c>
      <c r="AI2528">
        <v>3</v>
      </c>
      <c r="AJ2528">
        <v>0</v>
      </c>
      <c r="AK2528">
        <v>150.14</v>
      </c>
      <c r="AN2528" t="s">
        <v>2927</v>
      </c>
      <c r="AO2528">
        <v>31200</v>
      </c>
      <c r="AU2528">
        <v>92.75</v>
      </c>
      <c r="AV2528" t="s">
        <v>3030</v>
      </c>
      <c r="AW2528" t="s">
        <v>3042</v>
      </c>
    </row>
    <row r="2529" spans="1:50">
      <c r="A2529" s="1" t="s">
        <v>62</v>
      </c>
      <c r="B2529" t="s">
        <v>163</v>
      </c>
      <c r="C2529" t="s">
        <v>5739</v>
      </c>
      <c r="D2529" t="s">
        <v>2003</v>
      </c>
      <c r="F2529" t="s">
        <v>622</v>
      </c>
      <c r="G2529" t="s">
        <v>868</v>
      </c>
      <c r="H2529" t="s">
        <v>9451</v>
      </c>
      <c r="I2529" t="s">
        <v>11209</v>
      </c>
      <c r="J2529" t="s">
        <v>1644</v>
      </c>
      <c r="K2529">
        <v>11225</v>
      </c>
      <c r="L2529" t="s">
        <v>1670</v>
      </c>
      <c r="M2529" t="s">
        <v>1670</v>
      </c>
      <c r="O2529" t="s">
        <v>1939</v>
      </c>
      <c r="P2529" t="s">
        <v>1960</v>
      </c>
      <c r="R2529" t="s">
        <v>50</v>
      </c>
      <c r="S2529" t="s">
        <v>1670</v>
      </c>
      <c r="T2529" t="s">
        <v>13026</v>
      </c>
      <c r="U2529" t="s">
        <v>1972</v>
      </c>
      <c r="V2529" t="s">
        <v>1984</v>
      </c>
      <c r="W2529" t="s">
        <v>278</v>
      </c>
      <c r="X2529">
        <v>813</v>
      </c>
      <c r="Y2529" t="s">
        <v>2009</v>
      </c>
      <c r="Z2529" t="s">
        <v>2015</v>
      </c>
      <c r="AB2529" t="s">
        <v>13087</v>
      </c>
      <c r="AE2529">
        <v>47</v>
      </c>
      <c r="AF2529" t="s">
        <v>2902</v>
      </c>
      <c r="AG2529" t="s">
        <v>2919</v>
      </c>
      <c r="AH2529">
        <v>43</v>
      </c>
      <c r="AI2529">
        <v>2</v>
      </c>
      <c r="AJ2529">
        <v>0</v>
      </c>
      <c r="AK2529">
        <v>150.18</v>
      </c>
      <c r="AO2529">
        <v>24720</v>
      </c>
      <c r="AU2529">
        <v>1</v>
      </c>
      <c r="AV2529" t="s">
        <v>2003</v>
      </c>
      <c r="AW2529" t="s">
        <v>3079</v>
      </c>
    </row>
    <row r="2530" spans="1:50">
      <c r="A2530" s="1" t="s">
        <v>107</v>
      </c>
      <c r="B2530" t="s">
        <v>163</v>
      </c>
      <c r="C2530" t="s">
        <v>5740</v>
      </c>
      <c r="D2530" t="s">
        <v>301</v>
      </c>
      <c r="F2530" t="s">
        <v>583</v>
      </c>
      <c r="G2530" t="s">
        <v>9006</v>
      </c>
      <c r="H2530" t="s">
        <v>10550</v>
      </c>
      <c r="I2530" t="s">
        <v>1477</v>
      </c>
      <c r="J2530" t="s">
        <v>1644</v>
      </c>
      <c r="K2530">
        <v>11239</v>
      </c>
      <c r="L2530" t="s">
        <v>1670</v>
      </c>
      <c r="M2530" t="s">
        <v>1671</v>
      </c>
      <c r="N2530" t="s">
        <v>12605</v>
      </c>
      <c r="O2530" t="s">
        <v>1940</v>
      </c>
      <c r="P2530" t="s">
        <v>1962</v>
      </c>
      <c r="R2530" t="s">
        <v>50</v>
      </c>
      <c r="S2530" t="s">
        <v>1671</v>
      </c>
      <c r="U2530" t="s">
        <v>1972</v>
      </c>
      <c r="V2530" t="s">
        <v>1984</v>
      </c>
      <c r="W2530" t="s">
        <v>249</v>
      </c>
      <c r="X2530">
        <v>968</v>
      </c>
      <c r="Y2530" t="s">
        <v>2009</v>
      </c>
      <c r="Z2530" t="s">
        <v>2020</v>
      </c>
      <c r="AB2530" t="s">
        <v>14821</v>
      </c>
      <c r="AD2530" t="s">
        <v>17224</v>
      </c>
      <c r="AE2530">
        <v>2229</v>
      </c>
      <c r="AF2530" t="s">
        <v>2902</v>
      </c>
      <c r="AG2530" t="s">
        <v>1754</v>
      </c>
      <c r="AH2530">
        <v>2</v>
      </c>
      <c r="AI2530">
        <v>1</v>
      </c>
      <c r="AJ2530">
        <v>0</v>
      </c>
      <c r="AK2530">
        <v>150.24</v>
      </c>
      <c r="AN2530" t="s">
        <v>2927</v>
      </c>
      <c r="AO2530">
        <v>18765.24</v>
      </c>
      <c r="AU2530">
        <v>1.5</v>
      </c>
      <c r="AV2530" t="s">
        <v>274</v>
      </c>
      <c r="AW2530" t="s">
        <v>3059</v>
      </c>
      <c r="AX2530" t="s">
        <v>18685</v>
      </c>
    </row>
    <row r="2531" spans="1:50">
      <c r="A2531" s="1" t="s">
        <v>132</v>
      </c>
      <c r="B2531" t="s">
        <v>163</v>
      </c>
      <c r="C2531" t="s">
        <v>5741</v>
      </c>
      <c r="D2531" t="s">
        <v>399</v>
      </c>
      <c r="F2531" t="s">
        <v>526</v>
      </c>
      <c r="G2531" t="s">
        <v>9007</v>
      </c>
      <c r="H2531" t="s">
        <v>9532</v>
      </c>
      <c r="I2531" t="s">
        <v>1488</v>
      </c>
      <c r="J2531" t="s">
        <v>1644</v>
      </c>
      <c r="K2531">
        <v>11221</v>
      </c>
      <c r="L2531" t="s">
        <v>1671</v>
      </c>
      <c r="M2531" t="s">
        <v>1672</v>
      </c>
      <c r="N2531" t="s">
        <v>1754</v>
      </c>
      <c r="O2531" t="s">
        <v>1937</v>
      </c>
      <c r="P2531" t="s">
        <v>1962</v>
      </c>
      <c r="R2531" t="s">
        <v>50</v>
      </c>
      <c r="S2531" t="s">
        <v>1670</v>
      </c>
      <c r="U2531" t="s">
        <v>1977</v>
      </c>
      <c r="V2531" t="s">
        <v>1984</v>
      </c>
      <c r="W2531" t="s">
        <v>266</v>
      </c>
      <c r="X2531">
        <v>790</v>
      </c>
      <c r="Y2531" t="s">
        <v>2009</v>
      </c>
      <c r="Z2531" t="s">
        <v>2015</v>
      </c>
      <c r="AB2531" t="s">
        <v>13463</v>
      </c>
      <c r="AC2531" t="s">
        <v>1754</v>
      </c>
      <c r="AD2531" t="s">
        <v>17225</v>
      </c>
      <c r="AE2531">
        <v>13</v>
      </c>
      <c r="AF2531" t="s">
        <v>2902</v>
      </c>
      <c r="AG2531" t="s">
        <v>1754</v>
      </c>
      <c r="AH2531">
        <v>20</v>
      </c>
      <c r="AI2531">
        <v>1</v>
      </c>
      <c r="AJ2531">
        <v>0</v>
      </c>
      <c r="AK2531">
        <v>150.68</v>
      </c>
      <c r="AN2531" t="s">
        <v>2926</v>
      </c>
      <c r="AO2531">
        <v>18820</v>
      </c>
      <c r="AU2531" t="s">
        <v>13051</v>
      </c>
      <c r="AW2531" t="s">
        <v>3060</v>
      </c>
      <c r="AX2531" t="s">
        <v>1754</v>
      </c>
    </row>
    <row r="2532" spans="1:50">
      <c r="A2532" s="1" t="s">
        <v>143</v>
      </c>
      <c r="B2532" t="s">
        <v>163</v>
      </c>
      <c r="C2532" t="s">
        <v>5742</v>
      </c>
      <c r="D2532" t="s">
        <v>326</v>
      </c>
      <c r="F2532" t="s">
        <v>526</v>
      </c>
      <c r="G2532" t="s">
        <v>9007</v>
      </c>
      <c r="H2532" t="s">
        <v>9532</v>
      </c>
      <c r="I2532" t="s">
        <v>1488</v>
      </c>
      <c r="J2532" t="s">
        <v>1644</v>
      </c>
      <c r="K2532">
        <v>11221</v>
      </c>
      <c r="L2532" t="s">
        <v>1671</v>
      </c>
      <c r="M2532" t="s">
        <v>1671</v>
      </c>
      <c r="O2532" t="s">
        <v>1946</v>
      </c>
      <c r="P2532" t="s">
        <v>1964</v>
      </c>
      <c r="R2532" t="s">
        <v>50</v>
      </c>
      <c r="S2532" t="s">
        <v>1670</v>
      </c>
      <c r="U2532" t="s">
        <v>1978</v>
      </c>
      <c r="W2532" t="s">
        <v>326</v>
      </c>
      <c r="X2532">
        <v>790</v>
      </c>
      <c r="Y2532" t="s">
        <v>2009</v>
      </c>
      <c r="Z2532" t="s">
        <v>2015</v>
      </c>
      <c r="AB2532" t="s">
        <v>13463</v>
      </c>
      <c r="AC2532" t="s">
        <v>1754</v>
      </c>
      <c r="AD2532" t="s">
        <v>17225</v>
      </c>
      <c r="AE2532">
        <v>13</v>
      </c>
      <c r="AF2532" t="s">
        <v>2902</v>
      </c>
      <c r="AG2532" t="s">
        <v>1754</v>
      </c>
      <c r="AH2532">
        <v>20</v>
      </c>
      <c r="AI2532">
        <v>1</v>
      </c>
      <c r="AJ2532">
        <v>0</v>
      </c>
      <c r="AK2532">
        <v>150.68</v>
      </c>
      <c r="AN2532" t="s">
        <v>2926</v>
      </c>
      <c r="AO2532">
        <v>18820</v>
      </c>
      <c r="AU2532" t="s">
        <v>13051</v>
      </c>
      <c r="AW2532" t="s">
        <v>3060</v>
      </c>
    </row>
    <row r="2533" spans="1:50">
      <c r="A2533" s="1" t="s">
        <v>123</v>
      </c>
      <c r="B2533" t="s">
        <v>163</v>
      </c>
      <c r="C2533" t="s">
        <v>5743</v>
      </c>
      <c r="D2533" t="s">
        <v>282</v>
      </c>
      <c r="F2533" t="s">
        <v>535</v>
      </c>
      <c r="G2533" t="s">
        <v>7751</v>
      </c>
      <c r="H2533" t="s">
        <v>1234</v>
      </c>
      <c r="I2533" t="s">
        <v>11414</v>
      </c>
      <c r="J2533" t="s">
        <v>1641</v>
      </c>
      <c r="K2533">
        <v>10452</v>
      </c>
      <c r="L2533" t="s">
        <v>1670</v>
      </c>
      <c r="M2533" t="s">
        <v>1672</v>
      </c>
      <c r="N2533" t="s">
        <v>1769</v>
      </c>
      <c r="O2533" t="s">
        <v>1949</v>
      </c>
      <c r="P2533" t="s">
        <v>1961</v>
      </c>
      <c r="R2533" t="s">
        <v>50</v>
      </c>
      <c r="S2533" t="s">
        <v>1670</v>
      </c>
      <c r="U2533" t="s">
        <v>1972</v>
      </c>
      <c r="W2533" t="s">
        <v>1989</v>
      </c>
      <c r="X2533">
        <v>914.08</v>
      </c>
      <c r="Y2533" t="s">
        <v>2006</v>
      </c>
      <c r="Z2533" t="s">
        <v>2015</v>
      </c>
      <c r="AB2533" t="s">
        <v>14822</v>
      </c>
      <c r="AD2533" t="s">
        <v>17226</v>
      </c>
      <c r="AE2533">
        <v>122</v>
      </c>
      <c r="AF2533" t="s">
        <v>2902</v>
      </c>
      <c r="AG2533" t="s">
        <v>1754</v>
      </c>
      <c r="AH2533">
        <v>13</v>
      </c>
      <c r="AI2533">
        <v>1</v>
      </c>
      <c r="AJ2533">
        <v>0</v>
      </c>
      <c r="AK2533">
        <v>150.91</v>
      </c>
      <c r="AN2533" t="s">
        <v>2926</v>
      </c>
      <c r="AO2533">
        <v>18200</v>
      </c>
      <c r="AP2533" t="s">
        <v>2950</v>
      </c>
      <c r="AU2533" t="s">
        <v>13051</v>
      </c>
      <c r="AW2533" t="s">
        <v>3054</v>
      </c>
    </row>
    <row r="2534" spans="1:50">
      <c r="A2534" s="1" t="s">
        <v>94</v>
      </c>
      <c r="B2534" t="s">
        <v>164</v>
      </c>
      <c r="C2534" t="s">
        <v>5744</v>
      </c>
      <c r="D2534" t="s">
        <v>190</v>
      </c>
      <c r="E2534" t="s">
        <v>286</v>
      </c>
      <c r="F2534" t="s">
        <v>6822</v>
      </c>
      <c r="G2534" t="s">
        <v>8504</v>
      </c>
      <c r="H2534" t="s">
        <v>10551</v>
      </c>
      <c r="I2534" t="s">
        <v>1590</v>
      </c>
      <c r="J2534" t="s">
        <v>1643</v>
      </c>
      <c r="K2534">
        <v>10034</v>
      </c>
      <c r="L2534" t="s">
        <v>1670</v>
      </c>
      <c r="M2534" t="s">
        <v>1670</v>
      </c>
      <c r="O2534" t="s">
        <v>1941</v>
      </c>
      <c r="P2534" t="s">
        <v>1958</v>
      </c>
      <c r="Q2534" t="s">
        <v>1965</v>
      </c>
      <c r="R2534" t="s">
        <v>50</v>
      </c>
      <c r="S2534" t="s">
        <v>1671</v>
      </c>
      <c r="U2534" t="s">
        <v>1972</v>
      </c>
      <c r="W2534" t="s">
        <v>190</v>
      </c>
      <c r="X2534">
        <v>489.71</v>
      </c>
      <c r="Y2534" t="s">
        <v>2008</v>
      </c>
      <c r="Z2534" t="s">
        <v>2013</v>
      </c>
      <c r="AA2534" t="s">
        <v>2029</v>
      </c>
      <c r="AB2534" t="s">
        <v>14789</v>
      </c>
      <c r="AD2534" t="s">
        <v>17227</v>
      </c>
      <c r="AE2534" t="s">
        <v>13051</v>
      </c>
      <c r="AF2534" t="s">
        <v>2902</v>
      </c>
      <c r="AG2534" t="s">
        <v>1754</v>
      </c>
      <c r="AH2534">
        <v>27</v>
      </c>
      <c r="AI2534">
        <v>1</v>
      </c>
      <c r="AJ2534">
        <v>0</v>
      </c>
      <c r="AK2534">
        <v>152.12</v>
      </c>
      <c r="AN2534" t="s">
        <v>2926</v>
      </c>
      <c r="AO2534">
        <v>19000</v>
      </c>
      <c r="AU2534">
        <v>1.8</v>
      </c>
      <c r="AV2534" t="s">
        <v>286</v>
      </c>
      <c r="AW2534" t="s">
        <v>3042</v>
      </c>
      <c r="AX2534" t="s">
        <v>18685</v>
      </c>
    </row>
    <row r="2535" spans="1:50">
      <c r="A2535" s="1" t="s">
        <v>132</v>
      </c>
      <c r="B2535" t="s">
        <v>164</v>
      </c>
      <c r="C2535" t="s">
        <v>5745</v>
      </c>
      <c r="D2535" t="s">
        <v>343</v>
      </c>
      <c r="E2535" t="s">
        <v>394</v>
      </c>
      <c r="F2535" t="s">
        <v>461</v>
      </c>
      <c r="G2535" t="s">
        <v>1058</v>
      </c>
      <c r="H2535" t="s">
        <v>1290</v>
      </c>
      <c r="I2535" t="s">
        <v>1520</v>
      </c>
      <c r="J2535" t="s">
        <v>1644</v>
      </c>
      <c r="K2535">
        <v>11221</v>
      </c>
      <c r="L2535" t="s">
        <v>1670</v>
      </c>
      <c r="M2535" t="s">
        <v>1670</v>
      </c>
      <c r="O2535" t="s">
        <v>1937</v>
      </c>
      <c r="P2535" t="s">
        <v>1962</v>
      </c>
      <c r="Q2535" t="s">
        <v>1968</v>
      </c>
      <c r="R2535" t="s">
        <v>50</v>
      </c>
      <c r="U2535" t="s">
        <v>1972</v>
      </c>
      <c r="W2535" t="s">
        <v>207</v>
      </c>
      <c r="X2535">
        <v>1091.22</v>
      </c>
      <c r="Y2535" t="s">
        <v>2009</v>
      </c>
      <c r="Z2535" t="s">
        <v>2015</v>
      </c>
      <c r="AA2535" t="s">
        <v>2031</v>
      </c>
      <c r="AB2535" t="s">
        <v>14804</v>
      </c>
      <c r="AC2535" t="s">
        <v>15155</v>
      </c>
      <c r="AD2535" t="s">
        <v>17211</v>
      </c>
      <c r="AE2535">
        <v>12</v>
      </c>
      <c r="AF2535" t="s">
        <v>2902</v>
      </c>
      <c r="AG2535" t="s">
        <v>2915</v>
      </c>
      <c r="AH2535">
        <v>12</v>
      </c>
      <c r="AI2535">
        <v>1</v>
      </c>
      <c r="AJ2535">
        <v>0</v>
      </c>
      <c r="AK2535">
        <v>152.2</v>
      </c>
      <c r="AN2535" t="s">
        <v>2926</v>
      </c>
      <c r="AO2535">
        <v>18476.9</v>
      </c>
      <c r="AU2535">
        <v>0.08</v>
      </c>
      <c r="AV2535" t="s">
        <v>367</v>
      </c>
      <c r="AW2535" t="s">
        <v>3060</v>
      </c>
    </row>
    <row r="2536" spans="1:50">
      <c r="A2536" s="1" t="s">
        <v>132</v>
      </c>
      <c r="B2536" t="s">
        <v>163</v>
      </c>
      <c r="C2536" t="s">
        <v>5746</v>
      </c>
      <c r="D2536" t="s">
        <v>343</v>
      </c>
      <c r="F2536" t="s">
        <v>461</v>
      </c>
      <c r="G2536" t="s">
        <v>1058</v>
      </c>
      <c r="H2536" t="s">
        <v>1290</v>
      </c>
      <c r="I2536" t="s">
        <v>1520</v>
      </c>
      <c r="J2536" t="s">
        <v>1644</v>
      </c>
      <c r="K2536">
        <v>11221</v>
      </c>
      <c r="L2536" t="s">
        <v>1670</v>
      </c>
      <c r="M2536" t="s">
        <v>1670</v>
      </c>
      <c r="O2536" t="s">
        <v>1938</v>
      </c>
      <c r="P2536" t="s">
        <v>1961</v>
      </c>
      <c r="R2536" t="s">
        <v>50</v>
      </c>
      <c r="U2536" t="s">
        <v>1972</v>
      </c>
      <c r="W2536" t="s">
        <v>207</v>
      </c>
      <c r="X2536">
        <v>1091.82</v>
      </c>
      <c r="Y2536" t="s">
        <v>2009</v>
      </c>
      <c r="Z2536" t="s">
        <v>2015</v>
      </c>
      <c r="AB2536" t="s">
        <v>14804</v>
      </c>
      <c r="AC2536" t="s">
        <v>15155</v>
      </c>
      <c r="AD2536" t="s">
        <v>17211</v>
      </c>
      <c r="AE2536">
        <v>12</v>
      </c>
      <c r="AF2536" t="s">
        <v>2902</v>
      </c>
      <c r="AG2536" t="s">
        <v>2915</v>
      </c>
      <c r="AH2536">
        <v>12</v>
      </c>
      <c r="AI2536">
        <v>1</v>
      </c>
      <c r="AJ2536">
        <v>0</v>
      </c>
      <c r="AK2536">
        <v>152.2</v>
      </c>
      <c r="AN2536" t="s">
        <v>2926</v>
      </c>
      <c r="AO2536">
        <v>18476.9</v>
      </c>
      <c r="AP2536" t="s">
        <v>18350</v>
      </c>
      <c r="AU2536" t="s">
        <v>13051</v>
      </c>
      <c r="AW2536" t="s">
        <v>3060</v>
      </c>
    </row>
    <row r="2537" spans="1:50">
      <c r="A2537" s="1" t="s">
        <v>132</v>
      </c>
      <c r="B2537" t="s">
        <v>163</v>
      </c>
      <c r="C2537" t="s">
        <v>5747</v>
      </c>
      <c r="D2537" t="s">
        <v>343</v>
      </c>
      <c r="F2537" t="s">
        <v>461</v>
      </c>
      <c r="G2537" t="s">
        <v>1058</v>
      </c>
      <c r="H2537" t="s">
        <v>1290</v>
      </c>
      <c r="I2537" t="s">
        <v>1520</v>
      </c>
      <c r="J2537" t="s">
        <v>1644</v>
      </c>
      <c r="K2537">
        <v>11221</v>
      </c>
      <c r="L2537" t="s">
        <v>1670</v>
      </c>
      <c r="M2537" t="s">
        <v>1670</v>
      </c>
      <c r="O2537" t="s">
        <v>1939</v>
      </c>
      <c r="P2537" t="s">
        <v>1960</v>
      </c>
      <c r="R2537" t="s">
        <v>50</v>
      </c>
      <c r="S2537" t="s">
        <v>1670</v>
      </c>
      <c r="U2537" t="s">
        <v>1972</v>
      </c>
      <c r="W2537" t="s">
        <v>207</v>
      </c>
      <c r="X2537">
        <v>1091.82</v>
      </c>
      <c r="Y2537" t="s">
        <v>2009</v>
      </c>
      <c r="Z2537" t="s">
        <v>2015</v>
      </c>
      <c r="AB2537" t="s">
        <v>14804</v>
      </c>
      <c r="AC2537" t="s">
        <v>15155</v>
      </c>
      <c r="AD2537" t="s">
        <v>17211</v>
      </c>
      <c r="AE2537">
        <v>12</v>
      </c>
      <c r="AF2537" t="s">
        <v>2902</v>
      </c>
      <c r="AG2537" t="s">
        <v>2915</v>
      </c>
      <c r="AH2537">
        <v>12</v>
      </c>
      <c r="AI2537">
        <v>1</v>
      </c>
      <c r="AJ2537">
        <v>0</v>
      </c>
      <c r="AK2537">
        <v>152.2</v>
      </c>
      <c r="AN2537" t="s">
        <v>2926</v>
      </c>
      <c r="AO2537">
        <v>18476.9</v>
      </c>
      <c r="AP2537" t="s">
        <v>18350</v>
      </c>
      <c r="AU2537" t="s">
        <v>13051</v>
      </c>
      <c r="AW2537" t="s">
        <v>3060</v>
      </c>
    </row>
    <row r="2538" spans="1:50">
      <c r="A2538" s="1" t="s">
        <v>116</v>
      </c>
      <c r="B2538" t="s">
        <v>164</v>
      </c>
      <c r="C2538" t="s">
        <v>5748</v>
      </c>
      <c r="D2538" t="s">
        <v>384</v>
      </c>
      <c r="E2538" t="s">
        <v>193</v>
      </c>
      <c r="F2538" t="s">
        <v>7760</v>
      </c>
      <c r="G2538" t="s">
        <v>9008</v>
      </c>
      <c r="H2538" t="s">
        <v>10552</v>
      </c>
      <c r="I2538" t="s">
        <v>11415</v>
      </c>
      <c r="J2538" t="s">
        <v>1643</v>
      </c>
      <c r="K2538">
        <v>10029</v>
      </c>
      <c r="L2538" t="s">
        <v>1670</v>
      </c>
      <c r="M2538" t="s">
        <v>1670</v>
      </c>
      <c r="N2538" t="s">
        <v>12606</v>
      </c>
      <c r="O2538" t="s">
        <v>1940</v>
      </c>
      <c r="P2538" t="s">
        <v>1958</v>
      </c>
      <c r="Q2538" t="s">
        <v>1965</v>
      </c>
      <c r="R2538" t="s">
        <v>50</v>
      </c>
      <c r="S2538" t="s">
        <v>1671</v>
      </c>
      <c r="U2538" t="s">
        <v>1972</v>
      </c>
      <c r="V2538" t="s">
        <v>1984</v>
      </c>
      <c r="W2538" t="s">
        <v>255</v>
      </c>
      <c r="X2538">
        <v>3287</v>
      </c>
      <c r="Y2538" t="s">
        <v>2008</v>
      </c>
      <c r="Z2538" t="s">
        <v>2020</v>
      </c>
      <c r="AA2538" t="s">
        <v>2029</v>
      </c>
      <c r="AB2538" t="s">
        <v>13599</v>
      </c>
      <c r="AD2538" t="s">
        <v>17228</v>
      </c>
      <c r="AE2538">
        <v>36</v>
      </c>
      <c r="AF2538" t="s">
        <v>2907</v>
      </c>
      <c r="AG2538" t="s">
        <v>2915</v>
      </c>
      <c r="AH2538">
        <v>14</v>
      </c>
      <c r="AI2538">
        <v>1</v>
      </c>
      <c r="AJ2538">
        <v>0</v>
      </c>
      <c r="AK2538">
        <v>152.47</v>
      </c>
      <c r="AN2538" t="s">
        <v>2926</v>
      </c>
      <c r="AO2538">
        <v>19044</v>
      </c>
      <c r="AU2538">
        <v>0.9</v>
      </c>
      <c r="AV2538" t="s">
        <v>3031</v>
      </c>
      <c r="AW2538" t="s">
        <v>3058</v>
      </c>
    </row>
    <row r="2539" spans="1:50">
      <c r="A2539" s="1" t="s">
        <v>61</v>
      </c>
      <c r="B2539" t="s">
        <v>163</v>
      </c>
      <c r="C2539" t="s">
        <v>5749</v>
      </c>
      <c r="D2539" t="s">
        <v>337</v>
      </c>
      <c r="F2539" t="s">
        <v>7761</v>
      </c>
      <c r="G2539" t="s">
        <v>8221</v>
      </c>
      <c r="H2539" t="s">
        <v>10553</v>
      </c>
      <c r="I2539" t="s">
        <v>11223</v>
      </c>
      <c r="J2539" t="s">
        <v>1644</v>
      </c>
      <c r="K2539">
        <v>11203</v>
      </c>
      <c r="L2539" t="s">
        <v>1670</v>
      </c>
      <c r="M2539" t="s">
        <v>1672</v>
      </c>
      <c r="O2539" t="s">
        <v>1940</v>
      </c>
      <c r="P2539" t="s">
        <v>1958</v>
      </c>
      <c r="R2539" t="s">
        <v>50</v>
      </c>
      <c r="S2539" t="s">
        <v>1671</v>
      </c>
      <c r="U2539" t="s">
        <v>1972</v>
      </c>
      <c r="W2539" t="s">
        <v>337</v>
      </c>
      <c r="X2539" t="s">
        <v>13051</v>
      </c>
      <c r="Y2539" t="s">
        <v>2009</v>
      </c>
      <c r="AB2539" t="s">
        <v>14823</v>
      </c>
      <c r="AD2539" t="s">
        <v>17229</v>
      </c>
      <c r="AE2539" t="s">
        <v>13051</v>
      </c>
      <c r="AH2539" t="s">
        <v>13051</v>
      </c>
      <c r="AI2539">
        <v>2</v>
      </c>
      <c r="AJ2539">
        <v>0</v>
      </c>
      <c r="AK2539">
        <v>152.57</v>
      </c>
      <c r="AN2539" t="s">
        <v>2926</v>
      </c>
      <c r="AO2539">
        <v>25800</v>
      </c>
      <c r="AU2539">
        <v>0.4</v>
      </c>
      <c r="AV2539" t="s">
        <v>337</v>
      </c>
      <c r="AW2539" t="s">
        <v>69</v>
      </c>
    </row>
    <row r="2540" spans="1:50">
      <c r="A2540" s="1" t="s">
        <v>59</v>
      </c>
      <c r="B2540" t="s">
        <v>163</v>
      </c>
      <c r="C2540" t="s">
        <v>5750</v>
      </c>
      <c r="D2540" t="s">
        <v>389</v>
      </c>
      <c r="F2540" t="s">
        <v>720</v>
      </c>
      <c r="G2540" t="s">
        <v>8761</v>
      </c>
      <c r="H2540" t="s">
        <v>10554</v>
      </c>
      <c r="I2540" t="s">
        <v>1510</v>
      </c>
      <c r="J2540" t="s">
        <v>1641</v>
      </c>
      <c r="K2540">
        <v>10452</v>
      </c>
      <c r="L2540" t="s">
        <v>1670</v>
      </c>
      <c r="M2540" t="s">
        <v>1672</v>
      </c>
      <c r="O2540" t="s">
        <v>1675</v>
      </c>
      <c r="P2540" t="s">
        <v>1958</v>
      </c>
      <c r="R2540" t="s">
        <v>50</v>
      </c>
      <c r="S2540" t="s">
        <v>1671</v>
      </c>
      <c r="U2540" t="s">
        <v>1972</v>
      </c>
      <c r="W2540" t="s">
        <v>1991</v>
      </c>
      <c r="X2540">
        <v>937.48</v>
      </c>
      <c r="Y2540" t="s">
        <v>2006</v>
      </c>
      <c r="Z2540" t="s">
        <v>2015</v>
      </c>
      <c r="AB2540" t="s">
        <v>14824</v>
      </c>
      <c r="AE2540">
        <v>59</v>
      </c>
      <c r="AF2540" t="s">
        <v>2902</v>
      </c>
      <c r="AG2540" t="s">
        <v>2919</v>
      </c>
      <c r="AH2540">
        <v>20</v>
      </c>
      <c r="AI2540">
        <v>1</v>
      </c>
      <c r="AJ2540">
        <v>0</v>
      </c>
      <c r="AK2540">
        <v>152.84</v>
      </c>
      <c r="AN2540" t="s">
        <v>2926</v>
      </c>
      <c r="AO2540">
        <v>19089.6</v>
      </c>
      <c r="AU2540" t="s">
        <v>13051</v>
      </c>
      <c r="AW2540" t="s">
        <v>59</v>
      </c>
      <c r="AX2540" t="s">
        <v>18686</v>
      </c>
    </row>
    <row r="2541" spans="1:50">
      <c r="A2541" s="1" t="s">
        <v>97</v>
      </c>
      <c r="B2541" t="s">
        <v>163</v>
      </c>
      <c r="C2541" t="s">
        <v>5751</v>
      </c>
      <c r="D2541" t="s">
        <v>257</v>
      </c>
      <c r="F2541" t="s">
        <v>6916</v>
      </c>
      <c r="G2541" t="s">
        <v>1043</v>
      </c>
      <c r="H2541" t="s">
        <v>10555</v>
      </c>
      <c r="I2541" t="s">
        <v>11416</v>
      </c>
      <c r="J2541" t="s">
        <v>1643</v>
      </c>
      <c r="K2541">
        <v>10034</v>
      </c>
      <c r="L2541" t="s">
        <v>1670</v>
      </c>
      <c r="M2541" t="s">
        <v>1672</v>
      </c>
      <c r="N2541" t="s">
        <v>12607</v>
      </c>
      <c r="O2541" t="s">
        <v>1940</v>
      </c>
      <c r="P2541" t="s">
        <v>1958</v>
      </c>
      <c r="R2541" t="s">
        <v>50</v>
      </c>
      <c r="S2541" t="s">
        <v>1671</v>
      </c>
      <c r="U2541" t="s">
        <v>1972</v>
      </c>
      <c r="W2541" t="s">
        <v>217</v>
      </c>
      <c r="X2541">
        <v>1039.15</v>
      </c>
      <c r="Y2541" t="s">
        <v>2008</v>
      </c>
      <c r="Z2541" t="s">
        <v>2013</v>
      </c>
      <c r="AB2541" t="s">
        <v>14825</v>
      </c>
      <c r="AD2541" t="s">
        <v>17230</v>
      </c>
      <c r="AE2541">
        <v>46</v>
      </c>
      <c r="AF2541" t="s">
        <v>2902</v>
      </c>
      <c r="AG2541" t="s">
        <v>1754</v>
      </c>
      <c r="AH2541">
        <v>13</v>
      </c>
      <c r="AI2541">
        <v>2</v>
      </c>
      <c r="AJ2541">
        <v>0</v>
      </c>
      <c r="AK2541">
        <v>153.1</v>
      </c>
      <c r="AN2541" t="s">
        <v>2927</v>
      </c>
      <c r="AO2541">
        <v>25200</v>
      </c>
      <c r="AU2541">
        <v>1.6</v>
      </c>
      <c r="AV2541" t="s">
        <v>217</v>
      </c>
      <c r="AW2541" t="s">
        <v>3065</v>
      </c>
      <c r="AX2541" t="s">
        <v>18685</v>
      </c>
    </row>
    <row r="2542" spans="1:50">
      <c r="A2542" s="1" t="s">
        <v>75</v>
      </c>
      <c r="B2542" t="s">
        <v>163</v>
      </c>
      <c r="C2542" t="s">
        <v>5752</v>
      </c>
      <c r="D2542" t="s">
        <v>378</v>
      </c>
      <c r="F2542" t="s">
        <v>427</v>
      </c>
      <c r="G2542" t="s">
        <v>9009</v>
      </c>
      <c r="H2542" t="s">
        <v>10556</v>
      </c>
      <c r="I2542" t="s">
        <v>11126</v>
      </c>
      <c r="J2542" t="s">
        <v>1643</v>
      </c>
      <c r="K2542">
        <v>10029</v>
      </c>
      <c r="L2542" t="s">
        <v>1670</v>
      </c>
      <c r="M2542" t="s">
        <v>1670</v>
      </c>
      <c r="N2542" t="s">
        <v>12608</v>
      </c>
      <c r="O2542" t="s">
        <v>1936</v>
      </c>
      <c r="P2542" t="s">
        <v>1962</v>
      </c>
      <c r="R2542" t="s">
        <v>50</v>
      </c>
      <c r="S2542" t="s">
        <v>1671</v>
      </c>
      <c r="U2542" t="s">
        <v>1972</v>
      </c>
      <c r="V2542" t="s">
        <v>1984</v>
      </c>
      <c r="W2542" t="s">
        <v>321</v>
      </c>
      <c r="X2542">
        <v>900</v>
      </c>
      <c r="Y2542" t="s">
        <v>2008</v>
      </c>
      <c r="Z2542" t="s">
        <v>2027</v>
      </c>
      <c r="AB2542" t="s">
        <v>14826</v>
      </c>
      <c r="AD2542" t="s">
        <v>17231</v>
      </c>
      <c r="AE2542">
        <v>51</v>
      </c>
      <c r="AF2542" t="s">
        <v>2902</v>
      </c>
      <c r="AG2542" t="s">
        <v>1754</v>
      </c>
      <c r="AH2542">
        <v>26</v>
      </c>
      <c r="AI2542">
        <v>2</v>
      </c>
      <c r="AJ2542">
        <v>0</v>
      </c>
      <c r="AK2542">
        <v>153.27</v>
      </c>
      <c r="AN2542" t="s">
        <v>2927</v>
      </c>
      <c r="AO2542">
        <v>25228</v>
      </c>
      <c r="AU2542">
        <v>4.7</v>
      </c>
      <c r="AV2542" t="s">
        <v>351</v>
      </c>
      <c r="AW2542" t="s">
        <v>18654</v>
      </c>
    </row>
    <row r="2543" spans="1:50">
      <c r="A2543" s="1" t="s">
        <v>68</v>
      </c>
      <c r="B2543" t="s">
        <v>163</v>
      </c>
      <c r="C2543" t="s">
        <v>5753</v>
      </c>
      <c r="D2543" t="s">
        <v>404</v>
      </c>
      <c r="F2543" t="s">
        <v>724</v>
      </c>
      <c r="G2543" t="s">
        <v>9010</v>
      </c>
      <c r="H2543" t="s">
        <v>10557</v>
      </c>
      <c r="I2543" t="s">
        <v>1534</v>
      </c>
      <c r="J2543" t="s">
        <v>1643</v>
      </c>
      <c r="K2543">
        <v>10034</v>
      </c>
      <c r="L2543" t="s">
        <v>1670</v>
      </c>
      <c r="M2543" t="s">
        <v>1672</v>
      </c>
      <c r="O2543" t="s">
        <v>1941</v>
      </c>
      <c r="P2543" t="s">
        <v>1963</v>
      </c>
      <c r="R2543" t="s">
        <v>50</v>
      </c>
      <c r="S2543" t="s">
        <v>1671</v>
      </c>
      <c r="U2543" t="s">
        <v>1972</v>
      </c>
      <c r="W2543" t="s">
        <v>404</v>
      </c>
      <c r="X2543">
        <v>822.39</v>
      </c>
      <c r="Y2543" t="s">
        <v>2008</v>
      </c>
      <c r="Z2543" t="s">
        <v>2013</v>
      </c>
      <c r="AB2543" t="s">
        <v>14827</v>
      </c>
      <c r="AD2543" t="s">
        <v>17232</v>
      </c>
      <c r="AE2543">
        <v>43</v>
      </c>
      <c r="AF2543" t="s">
        <v>2902</v>
      </c>
      <c r="AG2543" t="s">
        <v>1754</v>
      </c>
      <c r="AH2543">
        <v>3</v>
      </c>
      <c r="AI2543">
        <v>1</v>
      </c>
      <c r="AJ2543">
        <v>0</v>
      </c>
      <c r="AK2543">
        <v>153.72</v>
      </c>
      <c r="AN2543" t="s">
        <v>2927</v>
      </c>
      <c r="AO2543">
        <v>19200</v>
      </c>
      <c r="AU2543">
        <v>2.45</v>
      </c>
      <c r="AV2543" t="s">
        <v>393</v>
      </c>
      <c r="AW2543" t="s">
        <v>3042</v>
      </c>
      <c r="AX2543" t="s">
        <v>18685</v>
      </c>
    </row>
    <row r="2544" spans="1:50">
      <c r="A2544" s="1" t="s">
        <v>97</v>
      </c>
      <c r="B2544" t="s">
        <v>163</v>
      </c>
      <c r="C2544" t="s">
        <v>5754</v>
      </c>
      <c r="D2544" t="s">
        <v>253</v>
      </c>
      <c r="F2544" t="s">
        <v>7007</v>
      </c>
      <c r="G2544" t="s">
        <v>9011</v>
      </c>
      <c r="H2544" t="s">
        <v>1244</v>
      </c>
      <c r="I2544">
        <v>33</v>
      </c>
      <c r="J2544" t="s">
        <v>1643</v>
      </c>
      <c r="K2544">
        <v>10034</v>
      </c>
      <c r="L2544" t="s">
        <v>1670</v>
      </c>
      <c r="M2544" t="s">
        <v>1670</v>
      </c>
      <c r="O2544" t="s">
        <v>1941</v>
      </c>
      <c r="P2544" t="s">
        <v>1962</v>
      </c>
      <c r="R2544" t="s">
        <v>50</v>
      </c>
      <c r="S2544" t="s">
        <v>1671</v>
      </c>
      <c r="U2544" t="s">
        <v>1972</v>
      </c>
      <c r="W2544" t="s">
        <v>253</v>
      </c>
      <c r="X2544">
        <v>839</v>
      </c>
      <c r="Y2544" t="s">
        <v>2008</v>
      </c>
      <c r="Z2544" t="s">
        <v>2020</v>
      </c>
      <c r="AB2544" t="s">
        <v>14828</v>
      </c>
      <c r="AD2544" t="s">
        <v>17233</v>
      </c>
      <c r="AE2544">
        <v>25</v>
      </c>
      <c r="AF2544" t="s">
        <v>2902</v>
      </c>
      <c r="AG2544" t="s">
        <v>1754</v>
      </c>
      <c r="AH2544">
        <v>20</v>
      </c>
      <c r="AI2544">
        <v>2</v>
      </c>
      <c r="AJ2544">
        <v>0</v>
      </c>
      <c r="AK2544">
        <v>153.76</v>
      </c>
      <c r="AN2544" t="s">
        <v>2926</v>
      </c>
      <c r="AO2544">
        <v>26000</v>
      </c>
      <c r="AU2544">
        <v>16.2</v>
      </c>
      <c r="AV2544" t="s">
        <v>7866</v>
      </c>
      <c r="AW2544" t="s">
        <v>3042</v>
      </c>
      <c r="AX2544" t="s">
        <v>18685</v>
      </c>
    </row>
    <row r="2545" spans="1:50">
      <c r="A2545" s="1" t="s">
        <v>119</v>
      </c>
      <c r="B2545" t="s">
        <v>163</v>
      </c>
      <c r="C2545" t="s">
        <v>5755</v>
      </c>
      <c r="D2545" t="s">
        <v>3038</v>
      </c>
      <c r="F2545" t="s">
        <v>7053</v>
      </c>
      <c r="G2545" t="s">
        <v>803</v>
      </c>
      <c r="H2545" t="s">
        <v>9619</v>
      </c>
      <c r="I2545" t="s">
        <v>11066</v>
      </c>
      <c r="J2545" t="s">
        <v>1644</v>
      </c>
      <c r="K2545">
        <v>11233</v>
      </c>
      <c r="L2545" t="s">
        <v>1670</v>
      </c>
      <c r="M2545" t="s">
        <v>1671</v>
      </c>
      <c r="N2545" t="s">
        <v>12609</v>
      </c>
      <c r="O2545" t="s">
        <v>1940</v>
      </c>
      <c r="P2545" t="s">
        <v>1960</v>
      </c>
      <c r="R2545" t="s">
        <v>50</v>
      </c>
      <c r="S2545" t="s">
        <v>1671</v>
      </c>
      <c r="U2545" t="s">
        <v>1972</v>
      </c>
      <c r="W2545" t="s">
        <v>249</v>
      </c>
      <c r="X2545">
        <v>1365</v>
      </c>
      <c r="Y2545" t="s">
        <v>2009</v>
      </c>
      <c r="Z2545" t="s">
        <v>2017</v>
      </c>
      <c r="AB2545" t="s">
        <v>13450</v>
      </c>
      <c r="AD2545" t="s">
        <v>15990</v>
      </c>
      <c r="AE2545">
        <v>8</v>
      </c>
      <c r="AF2545" t="s">
        <v>2902</v>
      </c>
      <c r="AG2545" t="s">
        <v>2915</v>
      </c>
      <c r="AH2545">
        <v>23</v>
      </c>
      <c r="AI2545">
        <v>2</v>
      </c>
      <c r="AJ2545">
        <v>0</v>
      </c>
      <c r="AK2545">
        <v>153.76</v>
      </c>
      <c r="AN2545" t="s">
        <v>2927</v>
      </c>
      <c r="AO2545">
        <v>26000</v>
      </c>
      <c r="AU2545">
        <v>7.7</v>
      </c>
      <c r="AV2545" t="s">
        <v>268</v>
      </c>
      <c r="AW2545" t="s">
        <v>3059</v>
      </c>
      <c r="AX2545" t="s">
        <v>18685</v>
      </c>
    </row>
    <row r="2546" spans="1:50">
      <c r="A2546" s="1" t="s">
        <v>57</v>
      </c>
      <c r="B2546" t="s">
        <v>163</v>
      </c>
      <c r="C2546" t="s">
        <v>5756</v>
      </c>
      <c r="D2546" t="s">
        <v>274</v>
      </c>
      <c r="F2546" t="s">
        <v>7762</v>
      </c>
      <c r="G2546" t="s">
        <v>890</v>
      </c>
      <c r="H2546" t="s">
        <v>1112</v>
      </c>
      <c r="I2546" t="s">
        <v>11083</v>
      </c>
      <c r="J2546" t="s">
        <v>1641</v>
      </c>
      <c r="K2546">
        <v>10453</v>
      </c>
      <c r="L2546" t="s">
        <v>1670</v>
      </c>
      <c r="M2546" t="s">
        <v>1670</v>
      </c>
      <c r="N2546" t="s">
        <v>1677</v>
      </c>
      <c r="O2546" t="s">
        <v>1939</v>
      </c>
      <c r="P2546" t="s">
        <v>1960</v>
      </c>
      <c r="R2546" t="s">
        <v>50</v>
      </c>
      <c r="S2546" t="s">
        <v>1670</v>
      </c>
      <c r="U2546" t="s">
        <v>1972</v>
      </c>
      <c r="W2546" t="s">
        <v>283</v>
      </c>
      <c r="X2546">
        <v>1070</v>
      </c>
      <c r="Y2546" t="s">
        <v>2006</v>
      </c>
      <c r="Z2546" t="s">
        <v>2016</v>
      </c>
      <c r="AB2546" t="s">
        <v>14829</v>
      </c>
      <c r="AE2546">
        <v>170</v>
      </c>
      <c r="AF2546" t="s">
        <v>2902</v>
      </c>
      <c r="AG2546" t="s">
        <v>1754</v>
      </c>
      <c r="AH2546">
        <v>20</v>
      </c>
      <c r="AI2546">
        <v>2</v>
      </c>
      <c r="AJ2546">
        <v>0</v>
      </c>
      <c r="AK2546">
        <v>153.76</v>
      </c>
      <c r="AN2546" t="s">
        <v>2926</v>
      </c>
      <c r="AO2546">
        <v>26000</v>
      </c>
      <c r="AU2546" t="s">
        <v>13051</v>
      </c>
      <c r="AW2546" t="s">
        <v>3045</v>
      </c>
    </row>
    <row r="2547" spans="1:50">
      <c r="A2547" s="1" t="s">
        <v>115</v>
      </c>
      <c r="B2547" t="s">
        <v>163</v>
      </c>
      <c r="C2547" t="s">
        <v>5757</v>
      </c>
      <c r="D2547" t="s">
        <v>350</v>
      </c>
      <c r="F2547" t="s">
        <v>416</v>
      </c>
      <c r="G2547" t="s">
        <v>8142</v>
      </c>
      <c r="H2547" t="s">
        <v>10558</v>
      </c>
      <c r="I2547" t="s">
        <v>1489</v>
      </c>
      <c r="J2547" t="s">
        <v>1641</v>
      </c>
      <c r="K2547">
        <v>10455</v>
      </c>
      <c r="L2547" t="s">
        <v>1670</v>
      </c>
      <c r="M2547" t="s">
        <v>1670</v>
      </c>
      <c r="O2547" t="s">
        <v>1675</v>
      </c>
      <c r="P2547" t="s">
        <v>1958</v>
      </c>
      <c r="R2547" t="s">
        <v>50</v>
      </c>
      <c r="S2547" t="s">
        <v>1671</v>
      </c>
      <c r="U2547" t="s">
        <v>1972</v>
      </c>
      <c r="W2547" t="s">
        <v>350</v>
      </c>
      <c r="X2547">
        <v>1007.33</v>
      </c>
      <c r="Y2547" t="s">
        <v>2006</v>
      </c>
      <c r="AB2547" t="s">
        <v>13406</v>
      </c>
      <c r="AE2547">
        <v>52</v>
      </c>
      <c r="AF2547" t="s">
        <v>2902</v>
      </c>
      <c r="AG2547" t="s">
        <v>2915</v>
      </c>
      <c r="AH2547">
        <v>13</v>
      </c>
      <c r="AI2547">
        <v>4</v>
      </c>
      <c r="AJ2547">
        <v>0</v>
      </c>
      <c r="AK2547">
        <v>153.79</v>
      </c>
      <c r="AN2547" t="s">
        <v>2927</v>
      </c>
      <c r="AO2547">
        <v>39600</v>
      </c>
      <c r="AU2547">
        <v>1.7</v>
      </c>
      <c r="AV2547" t="s">
        <v>350</v>
      </c>
      <c r="AW2547" t="s">
        <v>115</v>
      </c>
      <c r="AX2547" t="s">
        <v>18685</v>
      </c>
    </row>
    <row r="2548" spans="1:50">
      <c r="A2548" s="1" t="s">
        <v>74</v>
      </c>
      <c r="B2548" t="s">
        <v>163</v>
      </c>
      <c r="C2548" t="s">
        <v>5758</v>
      </c>
      <c r="D2548" t="s">
        <v>6209</v>
      </c>
      <c r="F2548" t="s">
        <v>427</v>
      </c>
      <c r="G2548" t="s">
        <v>8798</v>
      </c>
      <c r="H2548" t="s">
        <v>1131</v>
      </c>
      <c r="I2548" t="s">
        <v>11411</v>
      </c>
      <c r="J2548" t="s">
        <v>1641</v>
      </c>
      <c r="K2548">
        <v>10460</v>
      </c>
      <c r="L2548" t="s">
        <v>1670</v>
      </c>
      <c r="M2548" t="s">
        <v>1670</v>
      </c>
      <c r="N2548" t="s">
        <v>1692</v>
      </c>
      <c r="O2548" t="s">
        <v>1939</v>
      </c>
      <c r="P2548" t="s">
        <v>1960</v>
      </c>
      <c r="R2548" t="s">
        <v>50</v>
      </c>
      <c r="S2548" t="s">
        <v>1670</v>
      </c>
      <c r="U2548" t="s">
        <v>1972</v>
      </c>
      <c r="W2548" t="s">
        <v>283</v>
      </c>
      <c r="X2548">
        <v>960</v>
      </c>
      <c r="Y2548" t="s">
        <v>2006</v>
      </c>
      <c r="Z2548" t="s">
        <v>2015</v>
      </c>
      <c r="AB2548" t="s">
        <v>14814</v>
      </c>
      <c r="AD2548" t="s">
        <v>17219</v>
      </c>
      <c r="AE2548">
        <v>169</v>
      </c>
      <c r="AF2548" t="s">
        <v>2902</v>
      </c>
      <c r="AG2548" t="s">
        <v>1754</v>
      </c>
      <c r="AH2548">
        <v>25</v>
      </c>
      <c r="AI2548">
        <v>2</v>
      </c>
      <c r="AJ2548">
        <v>0</v>
      </c>
      <c r="AK2548">
        <v>153.97</v>
      </c>
      <c r="AN2548" t="s">
        <v>2927</v>
      </c>
      <c r="AO2548">
        <v>25344</v>
      </c>
      <c r="AU2548" t="s">
        <v>13051</v>
      </c>
      <c r="AW2548" t="s">
        <v>76</v>
      </c>
    </row>
    <row r="2549" spans="1:50">
      <c r="A2549" s="1" t="s">
        <v>96</v>
      </c>
      <c r="B2549" t="s">
        <v>164</v>
      </c>
      <c r="C2549" t="s">
        <v>5759</v>
      </c>
      <c r="D2549" t="s">
        <v>6210</v>
      </c>
      <c r="E2549" t="s">
        <v>238</v>
      </c>
      <c r="F2549" t="s">
        <v>7252</v>
      </c>
      <c r="G2549" t="s">
        <v>9012</v>
      </c>
      <c r="H2549" t="s">
        <v>10559</v>
      </c>
      <c r="I2549">
        <v>2</v>
      </c>
      <c r="J2549" t="s">
        <v>1644</v>
      </c>
      <c r="K2549">
        <v>11207</v>
      </c>
      <c r="L2549" t="s">
        <v>1670</v>
      </c>
      <c r="M2549" t="s">
        <v>1672</v>
      </c>
      <c r="N2549" t="s">
        <v>12610</v>
      </c>
      <c r="O2549" t="s">
        <v>1940</v>
      </c>
      <c r="P2549" t="s">
        <v>1962</v>
      </c>
      <c r="Q2549" t="s">
        <v>1968</v>
      </c>
      <c r="R2549" t="s">
        <v>50</v>
      </c>
      <c r="S2549" t="s">
        <v>1671</v>
      </c>
      <c r="U2549" t="s">
        <v>1972</v>
      </c>
      <c r="W2549" t="s">
        <v>250</v>
      </c>
      <c r="X2549">
        <v>950</v>
      </c>
      <c r="Y2549" t="s">
        <v>2009</v>
      </c>
      <c r="Z2549" t="s">
        <v>2015</v>
      </c>
      <c r="AA2549" t="s">
        <v>2030</v>
      </c>
      <c r="AB2549" t="s">
        <v>13295</v>
      </c>
      <c r="AC2549" t="s">
        <v>15286</v>
      </c>
      <c r="AD2549" t="s">
        <v>17234</v>
      </c>
      <c r="AE2549">
        <v>2</v>
      </c>
      <c r="AF2549" t="s">
        <v>2903</v>
      </c>
      <c r="AG2549" t="s">
        <v>1754</v>
      </c>
      <c r="AH2549">
        <v>16</v>
      </c>
      <c r="AI2549">
        <v>3</v>
      </c>
      <c r="AJ2549">
        <v>0</v>
      </c>
      <c r="AK2549">
        <v>153.99</v>
      </c>
      <c r="AN2549" t="s">
        <v>2926</v>
      </c>
      <c r="AO2549">
        <v>32000</v>
      </c>
      <c r="AU2549">
        <v>1.5</v>
      </c>
      <c r="AV2549" t="s">
        <v>201</v>
      </c>
      <c r="AW2549" t="s">
        <v>3079</v>
      </c>
    </row>
    <row r="2550" spans="1:50">
      <c r="A2550" s="1" t="s">
        <v>59</v>
      </c>
      <c r="B2550" t="s">
        <v>164</v>
      </c>
      <c r="C2550" t="s">
        <v>5760</v>
      </c>
      <c r="D2550" t="s">
        <v>264</v>
      </c>
      <c r="E2550" t="s">
        <v>391</v>
      </c>
      <c r="F2550" t="s">
        <v>6796</v>
      </c>
      <c r="G2550" t="s">
        <v>7908</v>
      </c>
      <c r="H2550" t="s">
        <v>10560</v>
      </c>
      <c r="I2550" t="s">
        <v>1523</v>
      </c>
      <c r="J2550" t="s">
        <v>1641</v>
      </c>
      <c r="K2550">
        <v>10452</v>
      </c>
      <c r="L2550" t="s">
        <v>1670</v>
      </c>
      <c r="M2550" t="s">
        <v>1670</v>
      </c>
      <c r="O2550" t="s">
        <v>1938</v>
      </c>
      <c r="P2550" t="s">
        <v>1962</v>
      </c>
      <c r="Q2550" t="s">
        <v>1968</v>
      </c>
      <c r="R2550" t="s">
        <v>50</v>
      </c>
      <c r="S2550" t="s">
        <v>1671</v>
      </c>
      <c r="U2550" t="s">
        <v>1972</v>
      </c>
      <c r="W2550" t="s">
        <v>1992</v>
      </c>
      <c r="X2550">
        <v>1276</v>
      </c>
      <c r="Y2550" t="s">
        <v>2006</v>
      </c>
      <c r="Z2550" t="s">
        <v>2015</v>
      </c>
      <c r="AA2550" t="s">
        <v>2034</v>
      </c>
      <c r="AB2550" t="s">
        <v>14830</v>
      </c>
      <c r="AD2550" t="s">
        <v>17235</v>
      </c>
      <c r="AE2550">
        <v>140</v>
      </c>
      <c r="AF2550" t="s">
        <v>2904</v>
      </c>
      <c r="AG2550" t="s">
        <v>1754</v>
      </c>
      <c r="AH2550">
        <v>34</v>
      </c>
      <c r="AI2550">
        <v>2</v>
      </c>
      <c r="AJ2550">
        <v>0</v>
      </c>
      <c r="AK2550">
        <v>154.41</v>
      </c>
      <c r="AN2550" t="s">
        <v>2926</v>
      </c>
      <c r="AO2550">
        <v>25416</v>
      </c>
      <c r="AU2550">
        <v>0.1</v>
      </c>
      <c r="AV2550" t="s">
        <v>391</v>
      </c>
      <c r="AW2550" t="s">
        <v>3047</v>
      </c>
    </row>
    <row r="2551" spans="1:50">
      <c r="A2551" s="1" t="s">
        <v>103</v>
      </c>
      <c r="B2551" t="s">
        <v>164</v>
      </c>
      <c r="C2551" t="s">
        <v>5761</v>
      </c>
      <c r="D2551" t="s">
        <v>244</v>
      </c>
      <c r="E2551" t="s">
        <v>306</v>
      </c>
      <c r="F2551" t="s">
        <v>583</v>
      </c>
      <c r="G2551" t="s">
        <v>9006</v>
      </c>
      <c r="H2551" t="s">
        <v>10550</v>
      </c>
      <c r="I2551" t="s">
        <v>1477</v>
      </c>
      <c r="J2551" t="s">
        <v>1644</v>
      </c>
      <c r="K2551">
        <v>11239</v>
      </c>
      <c r="L2551" t="s">
        <v>1670</v>
      </c>
      <c r="M2551" t="s">
        <v>1670</v>
      </c>
      <c r="N2551" t="s">
        <v>12611</v>
      </c>
      <c r="O2551" t="s">
        <v>1936</v>
      </c>
      <c r="P2551" t="s">
        <v>1960</v>
      </c>
      <c r="Q2551" t="s">
        <v>1967</v>
      </c>
      <c r="R2551" t="s">
        <v>50</v>
      </c>
      <c r="U2551" t="s">
        <v>1972</v>
      </c>
      <c r="W2551" t="s">
        <v>244</v>
      </c>
      <c r="X2551">
        <v>968</v>
      </c>
      <c r="Y2551" t="s">
        <v>2009</v>
      </c>
      <c r="Z2551" t="s">
        <v>2017</v>
      </c>
      <c r="AA2551" t="s">
        <v>2032</v>
      </c>
      <c r="AB2551" t="s">
        <v>14821</v>
      </c>
      <c r="AD2551" t="s">
        <v>17224</v>
      </c>
      <c r="AE2551">
        <v>136</v>
      </c>
      <c r="AF2551" t="s">
        <v>2909</v>
      </c>
      <c r="AG2551" t="s">
        <v>1754</v>
      </c>
      <c r="AH2551">
        <v>2</v>
      </c>
      <c r="AI2551">
        <v>1</v>
      </c>
      <c r="AJ2551">
        <v>0</v>
      </c>
      <c r="AK2551">
        <v>154.57</v>
      </c>
      <c r="AN2551" t="s">
        <v>2927</v>
      </c>
      <c r="AO2551">
        <v>18765.24</v>
      </c>
      <c r="AU2551">
        <v>7.25</v>
      </c>
      <c r="AV2551" t="s">
        <v>312</v>
      </c>
      <c r="AW2551" t="s">
        <v>3078</v>
      </c>
    </row>
    <row r="2552" spans="1:50">
      <c r="A2552" s="1" t="s">
        <v>98</v>
      </c>
      <c r="B2552" t="s">
        <v>163</v>
      </c>
      <c r="C2552" t="s">
        <v>5762</v>
      </c>
      <c r="D2552" t="s">
        <v>333</v>
      </c>
      <c r="F2552" t="s">
        <v>7763</v>
      </c>
      <c r="G2552" t="s">
        <v>1003</v>
      </c>
      <c r="H2552" t="s">
        <v>10561</v>
      </c>
      <c r="I2552" t="s">
        <v>1488</v>
      </c>
      <c r="J2552" t="s">
        <v>1641</v>
      </c>
      <c r="K2552">
        <v>10452</v>
      </c>
      <c r="L2552" t="s">
        <v>1670</v>
      </c>
      <c r="M2552" t="s">
        <v>1672</v>
      </c>
      <c r="O2552" t="s">
        <v>1675</v>
      </c>
      <c r="P2552" t="s">
        <v>1962</v>
      </c>
      <c r="R2552" t="s">
        <v>50</v>
      </c>
      <c r="S2552" t="s">
        <v>1671</v>
      </c>
      <c r="U2552" t="s">
        <v>1972</v>
      </c>
      <c r="W2552" t="s">
        <v>1991</v>
      </c>
      <c r="X2552">
        <v>1637.27</v>
      </c>
      <c r="Y2552" t="s">
        <v>2006</v>
      </c>
      <c r="Z2552" t="s">
        <v>2015</v>
      </c>
      <c r="AB2552" t="s">
        <v>14168</v>
      </c>
      <c r="AD2552" t="s">
        <v>17236</v>
      </c>
      <c r="AE2552" t="s">
        <v>13051</v>
      </c>
      <c r="AF2552" t="s">
        <v>2902</v>
      </c>
      <c r="AG2552" t="s">
        <v>1754</v>
      </c>
      <c r="AH2552">
        <v>11</v>
      </c>
      <c r="AI2552">
        <v>3</v>
      </c>
      <c r="AJ2552">
        <v>0</v>
      </c>
      <c r="AK2552">
        <v>154.71</v>
      </c>
      <c r="AN2552" t="s">
        <v>2927</v>
      </c>
      <c r="AO2552">
        <v>33000</v>
      </c>
      <c r="AU2552">
        <v>2.9</v>
      </c>
      <c r="AV2552" t="s">
        <v>325</v>
      </c>
      <c r="AW2552" t="s">
        <v>98</v>
      </c>
      <c r="AX2552" t="s">
        <v>18685</v>
      </c>
    </row>
    <row r="2553" spans="1:50">
      <c r="A2553" s="1" t="s">
        <v>146</v>
      </c>
      <c r="B2553" t="s">
        <v>164</v>
      </c>
      <c r="C2553" t="s">
        <v>5763</v>
      </c>
      <c r="D2553" t="s">
        <v>6138</v>
      </c>
      <c r="E2553" t="s">
        <v>359</v>
      </c>
      <c r="F2553" t="s">
        <v>741</v>
      </c>
      <c r="G2553" t="s">
        <v>7464</v>
      </c>
      <c r="H2553" t="s">
        <v>10562</v>
      </c>
      <c r="I2553" t="s">
        <v>11417</v>
      </c>
      <c r="J2553" t="s">
        <v>1641</v>
      </c>
      <c r="K2553">
        <v>10460</v>
      </c>
      <c r="L2553" t="s">
        <v>1670</v>
      </c>
      <c r="M2553" t="s">
        <v>1670</v>
      </c>
      <c r="N2553" t="s">
        <v>12612</v>
      </c>
      <c r="O2553" t="s">
        <v>1936</v>
      </c>
      <c r="P2553" t="s">
        <v>1958</v>
      </c>
      <c r="Q2553" t="s">
        <v>1965</v>
      </c>
      <c r="R2553" t="s">
        <v>50</v>
      </c>
      <c r="U2553" t="s">
        <v>1972</v>
      </c>
      <c r="W2553" t="s">
        <v>1992</v>
      </c>
      <c r="X2553">
        <v>1350</v>
      </c>
      <c r="Y2553" t="s">
        <v>2006</v>
      </c>
      <c r="Z2553" t="s">
        <v>2023</v>
      </c>
      <c r="AA2553" t="s">
        <v>2029</v>
      </c>
      <c r="AB2553" t="s">
        <v>14831</v>
      </c>
      <c r="AD2553" t="s">
        <v>17237</v>
      </c>
      <c r="AE2553">
        <v>107</v>
      </c>
      <c r="AF2553" t="s">
        <v>2902</v>
      </c>
      <c r="AG2553" t="s">
        <v>1754</v>
      </c>
      <c r="AH2553">
        <v>33</v>
      </c>
      <c r="AI2553">
        <v>2</v>
      </c>
      <c r="AJ2553">
        <v>0</v>
      </c>
      <c r="AK2553">
        <v>154.8</v>
      </c>
      <c r="AN2553" t="s">
        <v>2927</v>
      </c>
      <c r="AO2553">
        <v>25480</v>
      </c>
      <c r="AU2553">
        <v>1.8</v>
      </c>
      <c r="AV2553" t="s">
        <v>370</v>
      </c>
      <c r="AW2553" t="s">
        <v>3052</v>
      </c>
    </row>
    <row r="2554" spans="1:50">
      <c r="A2554" s="1" t="s">
        <v>132</v>
      </c>
      <c r="B2554" t="s">
        <v>164</v>
      </c>
      <c r="C2554" t="s">
        <v>5764</v>
      </c>
      <c r="D2554" t="s">
        <v>227</v>
      </c>
      <c r="E2554" t="s">
        <v>394</v>
      </c>
      <c r="F2554" t="s">
        <v>526</v>
      </c>
      <c r="G2554" t="s">
        <v>9007</v>
      </c>
      <c r="H2554" t="s">
        <v>9532</v>
      </c>
      <c r="I2554" t="s">
        <v>1488</v>
      </c>
      <c r="J2554" t="s">
        <v>1644</v>
      </c>
      <c r="K2554">
        <v>11221</v>
      </c>
      <c r="L2554" t="s">
        <v>1670</v>
      </c>
      <c r="M2554" t="s">
        <v>1670</v>
      </c>
      <c r="O2554" t="s">
        <v>1937</v>
      </c>
      <c r="P2554" t="s">
        <v>1962</v>
      </c>
      <c r="Q2554" t="s">
        <v>1968</v>
      </c>
      <c r="R2554" t="s">
        <v>50</v>
      </c>
      <c r="S2554" t="s">
        <v>1670</v>
      </c>
      <c r="U2554" t="s">
        <v>1972</v>
      </c>
      <c r="W2554" t="s">
        <v>360</v>
      </c>
      <c r="X2554">
        <v>790</v>
      </c>
      <c r="Y2554" t="s">
        <v>2009</v>
      </c>
      <c r="Z2554" t="s">
        <v>2015</v>
      </c>
      <c r="AA2554" t="s">
        <v>2031</v>
      </c>
      <c r="AB2554" t="s">
        <v>13463</v>
      </c>
      <c r="AD2554" t="s">
        <v>17225</v>
      </c>
      <c r="AE2554">
        <v>13</v>
      </c>
      <c r="AF2554" t="s">
        <v>2902</v>
      </c>
      <c r="AG2554" t="s">
        <v>1754</v>
      </c>
      <c r="AH2554">
        <v>20</v>
      </c>
      <c r="AI2554">
        <v>1</v>
      </c>
      <c r="AJ2554">
        <v>0</v>
      </c>
      <c r="AK2554">
        <v>155.02</v>
      </c>
      <c r="AN2554" t="s">
        <v>2926</v>
      </c>
      <c r="AO2554">
        <v>18820</v>
      </c>
      <c r="AP2554" t="s">
        <v>2953</v>
      </c>
      <c r="AU2554">
        <v>0.08</v>
      </c>
      <c r="AV2554" t="s">
        <v>367</v>
      </c>
      <c r="AW2554" t="s">
        <v>3060</v>
      </c>
    </row>
    <row r="2555" spans="1:50">
      <c r="A2555" s="1" t="s">
        <v>132</v>
      </c>
      <c r="B2555" t="s">
        <v>163</v>
      </c>
      <c r="C2555" t="s">
        <v>5765</v>
      </c>
      <c r="D2555" t="s">
        <v>227</v>
      </c>
      <c r="F2555" t="s">
        <v>526</v>
      </c>
      <c r="G2555" t="s">
        <v>9007</v>
      </c>
      <c r="H2555" t="s">
        <v>9532</v>
      </c>
      <c r="I2555" t="s">
        <v>1488</v>
      </c>
      <c r="J2555" t="s">
        <v>1644</v>
      </c>
      <c r="K2555">
        <v>11221</v>
      </c>
      <c r="L2555" t="s">
        <v>1670</v>
      </c>
      <c r="M2555" t="s">
        <v>1670</v>
      </c>
      <c r="O2555" t="s">
        <v>1937</v>
      </c>
      <c r="P2555" t="s">
        <v>1961</v>
      </c>
      <c r="R2555" t="s">
        <v>50</v>
      </c>
      <c r="S2555" t="s">
        <v>1670</v>
      </c>
      <c r="U2555" t="s">
        <v>1972</v>
      </c>
      <c r="W2555" t="s">
        <v>360</v>
      </c>
      <c r="X2555">
        <v>790</v>
      </c>
      <c r="Y2555" t="s">
        <v>2009</v>
      </c>
      <c r="Z2555" t="s">
        <v>2015</v>
      </c>
      <c r="AB2555" t="s">
        <v>13463</v>
      </c>
      <c r="AD2555" t="s">
        <v>17225</v>
      </c>
      <c r="AE2555">
        <v>13</v>
      </c>
      <c r="AF2555" t="s">
        <v>2902</v>
      </c>
      <c r="AG2555" t="s">
        <v>1754</v>
      </c>
      <c r="AH2555">
        <v>20</v>
      </c>
      <c r="AI2555">
        <v>1</v>
      </c>
      <c r="AJ2555">
        <v>0</v>
      </c>
      <c r="AK2555">
        <v>155.02</v>
      </c>
      <c r="AN2555" t="s">
        <v>2926</v>
      </c>
      <c r="AO2555">
        <v>18820</v>
      </c>
      <c r="AU2555" t="s">
        <v>13051</v>
      </c>
      <c r="AW2555" t="s">
        <v>3060</v>
      </c>
    </row>
    <row r="2556" spans="1:50">
      <c r="A2556" s="1" t="s">
        <v>132</v>
      </c>
      <c r="B2556" t="s">
        <v>163</v>
      </c>
      <c r="C2556" t="s">
        <v>5766</v>
      </c>
      <c r="D2556" t="s">
        <v>227</v>
      </c>
      <c r="F2556" t="s">
        <v>526</v>
      </c>
      <c r="G2556" t="s">
        <v>9007</v>
      </c>
      <c r="H2556" t="s">
        <v>9532</v>
      </c>
      <c r="I2556" t="s">
        <v>1488</v>
      </c>
      <c r="J2556" t="s">
        <v>1644</v>
      </c>
      <c r="K2556">
        <v>11221</v>
      </c>
      <c r="L2556" t="s">
        <v>1670</v>
      </c>
      <c r="M2556" t="s">
        <v>1670</v>
      </c>
      <c r="O2556" t="s">
        <v>1939</v>
      </c>
      <c r="P2556" t="s">
        <v>1960</v>
      </c>
      <c r="R2556" t="s">
        <v>50</v>
      </c>
      <c r="S2556" t="s">
        <v>1670</v>
      </c>
      <c r="U2556" t="s">
        <v>1972</v>
      </c>
      <c r="W2556" t="s">
        <v>360</v>
      </c>
      <c r="X2556">
        <v>790</v>
      </c>
      <c r="Y2556" t="s">
        <v>2009</v>
      </c>
      <c r="Z2556" t="s">
        <v>2015</v>
      </c>
      <c r="AB2556" t="s">
        <v>13463</v>
      </c>
      <c r="AD2556" t="s">
        <v>17225</v>
      </c>
      <c r="AE2556">
        <v>13</v>
      </c>
      <c r="AF2556" t="s">
        <v>2902</v>
      </c>
      <c r="AG2556" t="s">
        <v>1754</v>
      </c>
      <c r="AH2556">
        <v>20</v>
      </c>
      <c r="AI2556">
        <v>1</v>
      </c>
      <c r="AJ2556">
        <v>0</v>
      </c>
      <c r="AK2556">
        <v>155.02</v>
      </c>
      <c r="AN2556" t="s">
        <v>2926</v>
      </c>
      <c r="AO2556">
        <v>18820</v>
      </c>
      <c r="AP2556" t="s">
        <v>18351</v>
      </c>
      <c r="AU2556" t="s">
        <v>13051</v>
      </c>
      <c r="AW2556" t="s">
        <v>3060</v>
      </c>
    </row>
    <row r="2557" spans="1:50">
      <c r="A2557" s="1" t="s">
        <v>3143</v>
      </c>
      <c r="B2557" t="s">
        <v>164</v>
      </c>
      <c r="C2557" t="s">
        <v>5767</v>
      </c>
      <c r="D2557" t="s">
        <v>340</v>
      </c>
      <c r="E2557" t="s">
        <v>254</v>
      </c>
      <c r="F2557" t="s">
        <v>7111</v>
      </c>
      <c r="G2557" t="s">
        <v>9013</v>
      </c>
      <c r="H2557" t="s">
        <v>10563</v>
      </c>
      <c r="I2557" t="s">
        <v>11418</v>
      </c>
      <c r="J2557" t="s">
        <v>1641</v>
      </c>
      <c r="K2557">
        <v>10459</v>
      </c>
      <c r="L2557" t="s">
        <v>1670</v>
      </c>
      <c r="M2557" t="s">
        <v>1670</v>
      </c>
      <c r="O2557" t="s">
        <v>1936</v>
      </c>
      <c r="P2557" t="s">
        <v>1962</v>
      </c>
      <c r="Q2557" t="s">
        <v>1968</v>
      </c>
      <c r="R2557" t="s">
        <v>50</v>
      </c>
      <c r="S2557" t="s">
        <v>1671</v>
      </c>
      <c r="U2557" t="s">
        <v>1972</v>
      </c>
      <c r="W2557" t="s">
        <v>342</v>
      </c>
      <c r="X2557">
        <v>1215</v>
      </c>
      <c r="Y2557" t="s">
        <v>2006</v>
      </c>
      <c r="Z2557" t="s">
        <v>2026</v>
      </c>
      <c r="AA2557" t="s">
        <v>2029</v>
      </c>
      <c r="AB2557" t="s">
        <v>14832</v>
      </c>
      <c r="AC2557" t="s">
        <v>15287</v>
      </c>
      <c r="AD2557" t="s">
        <v>17238</v>
      </c>
      <c r="AE2557">
        <v>100</v>
      </c>
      <c r="AF2557" t="s">
        <v>2902</v>
      </c>
      <c r="AG2557" t="s">
        <v>2915</v>
      </c>
      <c r="AH2557">
        <v>10</v>
      </c>
      <c r="AI2557">
        <v>1</v>
      </c>
      <c r="AJ2557">
        <v>0</v>
      </c>
      <c r="AK2557">
        <v>155.7</v>
      </c>
      <c r="AN2557" t="s">
        <v>2926</v>
      </c>
      <c r="AO2557">
        <v>18902</v>
      </c>
      <c r="AP2557" t="s">
        <v>18352</v>
      </c>
      <c r="AU2557">
        <v>1.95</v>
      </c>
      <c r="AV2557" t="s">
        <v>375</v>
      </c>
      <c r="AW2557" t="s">
        <v>3083</v>
      </c>
    </row>
    <row r="2558" spans="1:50">
      <c r="A2558" s="1" t="s">
        <v>116</v>
      </c>
      <c r="B2558" t="s">
        <v>163</v>
      </c>
      <c r="C2558" t="s">
        <v>5768</v>
      </c>
      <c r="D2558" t="s">
        <v>315</v>
      </c>
      <c r="F2558" t="s">
        <v>7764</v>
      </c>
      <c r="G2558" t="s">
        <v>9014</v>
      </c>
      <c r="H2558" t="s">
        <v>10564</v>
      </c>
      <c r="I2558" t="s">
        <v>11419</v>
      </c>
      <c r="J2558" t="s">
        <v>1643</v>
      </c>
      <c r="K2558">
        <v>10035</v>
      </c>
      <c r="L2558" t="s">
        <v>1670</v>
      </c>
      <c r="M2558" t="s">
        <v>1670</v>
      </c>
      <c r="N2558" t="s">
        <v>12613</v>
      </c>
      <c r="O2558" t="s">
        <v>1936</v>
      </c>
      <c r="P2558" t="s">
        <v>1960</v>
      </c>
      <c r="R2558" t="s">
        <v>50</v>
      </c>
      <c r="S2558" t="s">
        <v>1671</v>
      </c>
      <c r="U2558" t="s">
        <v>1972</v>
      </c>
      <c r="V2558" t="s">
        <v>1984</v>
      </c>
      <c r="W2558" t="s">
        <v>373</v>
      </c>
      <c r="X2558">
        <v>186</v>
      </c>
      <c r="Y2558" t="s">
        <v>2008</v>
      </c>
      <c r="Z2558" t="s">
        <v>2013</v>
      </c>
      <c r="AB2558" t="s">
        <v>14833</v>
      </c>
      <c r="AD2558" t="s">
        <v>17239</v>
      </c>
      <c r="AE2558">
        <v>134</v>
      </c>
      <c r="AF2558" t="s">
        <v>2909</v>
      </c>
      <c r="AG2558" t="s">
        <v>2915</v>
      </c>
      <c r="AH2558">
        <v>17</v>
      </c>
      <c r="AI2558">
        <v>2</v>
      </c>
      <c r="AJ2558">
        <v>0</v>
      </c>
      <c r="AK2558">
        <v>156.06</v>
      </c>
      <c r="AN2558" t="s">
        <v>2926</v>
      </c>
      <c r="AO2558">
        <v>25688</v>
      </c>
      <c r="AU2558">
        <v>36.8</v>
      </c>
      <c r="AV2558" t="s">
        <v>3039</v>
      </c>
      <c r="AW2558" t="s">
        <v>3052</v>
      </c>
      <c r="AX2558" t="s">
        <v>18685</v>
      </c>
    </row>
    <row r="2559" spans="1:50">
      <c r="A2559" s="1" t="s">
        <v>101</v>
      </c>
      <c r="B2559" t="s">
        <v>164</v>
      </c>
      <c r="C2559" t="s">
        <v>5769</v>
      </c>
      <c r="D2559" t="s">
        <v>277</v>
      </c>
      <c r="E2559" t="s">
        <v>222</v>
      </c>
      <c r="F2559" t="s">
        <v>758</v>
      </c>
      <c r="G2559" t="s">
        <v>8852</v>
      </c>
      <c r="H2559" t="s">
        <v>10565</v>
      </c>
      <c r="I2559" t="s">
        <v>1484</v>
      </c>
      <c r="J2559" t="s">
        <v>1643</v>
      </c>
      <c r="K2559">
        <v>10031</v>
      </c>
      <c r="L2559" t="s">
        <v>1670</v>
      </c>
      <c r="M2559" t="s">
        <v>1670</v>
      </c>
      <c r="O2559" t="s">
        <v>1675</v>
      </c>
      <c r="P2559" t="s">
        <v>1958</v>
      </c>
      <c r="Q2559" t="s">
        <v>1965</v>
      </c>
      <c r="R2559" t="s">
        <v>50</v>
      </c>
      <c r="S2559" t="s">
        <v>1671</v>
      </c>
      <c r="U2559" t="s">
        <v>1972</v>
      </c>
      <c r="V2559" t="s">
        <v>1984</v>
      </c>
      <c r="W2559" t="s">
        <v>3029</v>
      </c>
      <c r="X2559">
        <v>649.61</v>
      </c>
      <c r="Y2559" t="s">
        <v>2008</v>
      </c>
      <c r="Z2559" t="s">
        <v>2016</v>
      </c>
      <c r="AA2559" t="s">
        <v>2029</v>
      </c>
      <c r="AB2559" t="s">
        <v>14834</v>
      </c>
      <c r="AD2559" t="s">
        <v>17240</v>
      </c>
      <c r="AE2559">
        <v>37</v>
      </c>
      <c r="AF2559" t="s">
        <v>2902</v>
      </c>
      <c r="AG2559" t="s">
        <v>1754</v>
      </c>
      <c r="AH2559">
        <v>40</v>
      </c>
      <c r="AI2559">
        <v>1</v>
      </c>
      <c r="AJ2559">
        <v>0</v>
      </c>
      <c r="AK2559">
        <v>156.12</v>
      </c>
      <c r="AN2559" t="s">
        <v>2927</v>
      </c>
      <c r="AO2559">
        <v>19500</v>
      </c>
      <c r="AU2559">
        <v>0.1</v>
      </c>
      <c r="AV2559" t="s">
        <v>256</v>
      </c>
      <c r="AW2559" t="s">
        <v>3051</v>
      </c>
      <c r="AX2559" t="s">
        <v>18685</v>
      </c>
    </row>
    <row r="2560" spans="1:50">
      <c r="A2560" s="1" t="s">
        <v>122</v>
      </c>
      <c r="B2560" t="s">
        <v>164</v>
      </c>
      <c r="C2560" t="s">
        <v>5770</v>
      </c>
      <c r="D2560" t="s">
        <v>253</v>
      </c>
      <c r="E2560" t="s">
        <v>326</v>
      </c>
      <c r="F2560" t="s">
        <v>7765</v>
      </c>
      <c r="G2560" t="s">
        <v>6991</v>
      </c>
      <c r="H2560" t="s">
        <v>10566</v>
      </c>
      <c r="I2560" t="s">
        <v>1602</v>
      </c>
      <c r="J2560" t="s">
        <v>1641</v>
      </c>
      <c r="K2560">
        <v>10452</v>
      </c>
      <c r="L2560" t="s">
        <v>1670</v>
      </c>
      <c r="M2560" t="s">
        <v>1670</v>
      </c>
      <c r="N2560" t="s">
        <v>12614</v>
      </c>
      <c r="O2560" t="s">
        <v>1936</v>
      </c>
      <c r="P2560" t="s">
        <v>1962</v>
      </c>
      <c r="Q2560" t="s">
        <v>1968</v>
      </c>
      <c r="R2560" t="s">
        <v>50</v>
      </c>
      <c r="S2560" t="s">
        <v>1671</v>
      </c>
      <c r="U2560" t="s">
        <v>1972</v>
      </c>
      <c r="V2560" t="s">
        <v>1983</v>
      </c>
      <c r="W2560" t="s">
        <v>253</v>
      </c>
      <c r="X2560">
        <v>1097</v>
      </c>
      <c r="Y2560" t="s">
        <v>2006</v>
      </c>
      <c r="Z2560" t="s">
        <v>2025</v>
      </c>
      <c r="AA2560" t="s">
        <v>2029</v>
      </c>
      <c r="AB2560" t="s">
        <v>14835</v>
      </c>
      <c r="AD2560" t="s">
        <v>17241</v>
      </c>
      <c r="AE2560">
        <v>36</v>
      </c>
      <c r="AF2560" t="s">
        <v>2904</v>
      </c>
      <c r="AG2560" t="s">
        <v>1754</v>
      </c>
      <c r="AH2560">
        <v>22</v>
      </c>
      <c r="AI2560">
        <v>2</v>
      </c>
      <c r="AJ2560">
        <v>0</v>
      </c>
      <c r="AK2560">
        <v>156.12</v>
      </c>
      <c r="AN2560" t="s">
        <v>2927</v>
      </c>
      <c r="AO2560">
        <v>26400</v>
      </c>
      <c r="AU2560">
        <v>0.5</v>
      </c>
      <c r="AV2560" t="s">
        <v>253</v>
      </c>
      <c r="AW2560" t="s">
        <v>3068</v>
      </c>
    </row>
    <row r="2561" spans="1:50">
      <c r="A2561" s="1" t="s">
        <v>53</v>
      </c>
      <c r="B2561" t="s">
        <v>163</v>
      </c>
      <c r="C2561" t="s">
        <v>5771</v>
      </c>
      <c r="D2561" t="s">
        <v>401</v>
      </c>
      <c r="F2561" t="s">
        <v>7766</v>
      </c>
      <c r="G2561" t="s">
        <v>9015</v>
      </c>
      <c r="H2561" t="s">
        <v>10567</v>
      </c>
      <c r="I2561" t="s">
        <v>11420</v>
      </c>
      <c r="J2561" t="s">
        <v>1668</v>
      </c>
      <c r="K2561">
        <v>11354</v>
      </c>
      <c r="L2561" t="s">
        <v>1670</v>
      </c>
      <c r="M2561" t="s">
        <v>1672</v>
      </c>
      <c r="N2561" t="s">
        <v>1754</v>
      </c>
      <c r="O2561" t="s">
        <v>1675</v>
      </c>
      <c r="P2561" t="s">
        <v>1962</v>
      </c>
      <c r="R2561" t="s">
        <v>50</v>
      </c>
      <c r="S2561" t="s">
        <v>1671</v>
      </c>
      <c r="U2561" t="s">
        <v>1972</v>
      </c>
      <c r="V2561" t="s">
        <v>1984</v>
      </c>
      <c r="W2561" t="s">
        <v>337</v>
      </c>
      <c r="X2561">
        <v>1658</v>
      </c>
      <c r="Y2561" t="s">
        <v>2007</v>
      </c>
      <c r="Z2561" t="s">
        <v>2014</v>
      </c>
      <c r="AB2561" t="s">
        <v>14836</v>
      </c>
      <c r="AC2561" t="s">
        <v>1754</v>
      </c>
      <c r="AD2561" t="s">
        <v>17242</v>
      </c>
      <c r="AE2561">
        <v>42</v>
      </c>
      <c r="AF2561" t="s">
        <v>2903</v>
      </c>
      <c r="AG2561" t="s">
        <v>1754</v>
      </c>
      <c r="AH2561">
        <v>2</v>
      </c>
      <c r="AI2561">
        <v>2</v>
      </c>
      <c r="AJ2561">
        <v>0</v>
      </c>
      <c r="AK2561">
        <v>156.12</v>
      </c>
      <c r="AN2561" t="s">
        <v>2926</v>
      </c>
      <c r="AO2561">
        <v>26400</v>
      </c>
      <c r="AR2561" t="s">
        <v>2017</v>
      </c>
      <c r="AS2561" t="s">
        <v>2992</v>
      </c>
      <c r="AT2561" t="s">
        <v>3008</v>
      </c>
      <c r="AU2561">
        <v>1.6</v>
      </c>
      <c r="AV2561" t="s">
        <v>1994</v>
      </c>
      <c r="AW2561" t="s">
        <v>53</v>
      </c>
      <c r="AX2561" t="s">
        <v>18685</v>
      </c>
    </row>
    <row r="2562" spans="1:50">
      <c r="A2562" s="1" t="s">
        <v>119</v>
      </c>
      <c r="B2562" t="s">
        <v>163</v>
      </c>
      <c r="C2562" t="s">
        <v>5772</v>
      </c>
      <c r="D2562" t="s">
        <v>275</v>
      </c>
      <c r="F2562" t="s">
        <v>7767</v>
      </c>
      <c r="G2562" t="s">
        <v>9016</v>
      </c>
      <c r="H2562" t="s">
        <v>10568</v>
      </c>
      <c r="I2562">
        <v>1</v>
      </c>
      <c r="J2562" t="s">
        <v>1644</v>
      </c>
      <c r="K2562">
        <v>11207</v>
      </c>
      <c r="L2562" t="s">
        <v>1670</v>
      </c>
      <c r="M2562" t="s">
        <v>1670</v>
      </c>
      <c r="N2562" t="s">
        <v>1675</v>
      </c>
      <c r="O2562" t="s">
        <v>1675</v>
      </c>
      <c r="P2562" t="s">
        <v>1962</v>
      </c>
      <c r="R2562" t="s">
        <v>50</v>
      </c>
      <c r="S2562" t="s">
        <v>1671</v>
      </c>
      <c r="U2562" t="s">
        <v>1972</v>
      </c>
      <c r="V2562" t="s">
        <v>1984</v>
      </c>
      <c r="W2562" t="s">
        <v>275</v>
      </c>
      <c r="X2562">
        <v>1487.41</v>
      </c>
      <c r="Y2562" t="s">
        <v>2009</v>
      </c>
      <c r="Z2562" t="s">
        <v>2020</v>
      </c>
      <c r="AB2562" t="s">
        <v>14837</v>
      </c>
      <c r="AC2562" t="s">
        <v>2904</v>
      </c>
      <c r="AD2562" t="s">
        <v>17243</v>
      </c>
      <c r="AE2562">
        <v>6</v>
      </c>
      <c r="AF2562" t="s">
        <v>2902</v>
      </c>
      <c r="AH2562">
        <v>8</v>
      </c>
      <c r="AI2562">
        <v>2</v>
      </c>
      <c r="AJ2562">
        <v>0</v>
      </c>
      <c r="AK2562">
        <v>156.12</v>
      </c>
      <c r="AN2562" t="s">
        <v>2926</v>
      </c>
      <c r="AO2562">
        <v>26400</v>
      </c>
      <c r="AU2562">
        <v>8.199999999999999</v>
      </c>
      <c r="AV2562" t="s">
        <v>399</v>
      </c>
      <c r="AW2562" t="s">
        <v>3060</v>
      </c>
      <c r="AX2562" t="s">
        <v>18685</v>
      </c>
    </row>
    <row r="2563" spans="1:50">
      <c r="A2563" s="1" t="s">
        <v>120</v>
      </c>
      <c r="B2563" t="s">
        <v>164</v>
      </c>
      <c r="C2563" t="s">
        <v>5773</v>
      </c>
      <c r="D2563" t="s">
        <v>285</v>
      </c>
      <c r="E2563" t="s">
        <v>401</v>
      </c>
      <c r="F2563" t="s">
        <v>7768</v>
      </c>
      <c r="G2563" t="s">
        <v>909</v>
      </c>
      <c r="H2563" t="s">
        <v>10569</v>
      </c>
      <c r="J2563" t="s">
        <v>1644</v>
      </c>
      <c r="K2563">
        <v>11233</v>
      </c>
      <c r="L2563" t="s">
        <v>1670</v>
      </c>
      <c r="M2563" t="s">
        <v>1670</v>
      </c>
      <c r="N2563" t="s">
        <v>1675</v>
      </c>
      <c r="O2563" t="s">
        <v>1947</v>
      </c>
      <c r="P2563" t="s">
        <v>1961</v>
      </c>
      <c r="Q2563" t="s">
        <v>1966</v>
      </c>
      <c r="R2563" t="s">
        <v>50</v>
      </c>
      <c r="S2563" t="s">
        <v>1671</v>
      </c>
      <c r="U2563" t="s">
        <v>1974</v>
      </c>
      <c r="W2563" t="s">
        <v>285</v>
      </c>
      <c r="X2563" t="s">
        <v>13051</v>
      </c>
      <c r="Y2563" t="s">
        <v>2009</v>
      </c>
      <c r="Z2563" t="s">
        <v>2017</v>
      </c>
      <c r="AA2563" t="s">
        <v>13059</v>
      </c>
      <c r="AB2563" t="s">
        <v>14838</v>
      </c>
      <c r="AD2563" t="s">
        <v>17244</v>
      </c>
      <c r="AE2563" t="s">
        <v>13051</v>
      </c>
      <c r="AF2563" t="s">
        <v>18015</v>
      </c>
      <c r="AG2563" t="s">
        <v>2918</v>
      </c>
      <c r="AH2563">
        <v>1</v>
      </c>
      <c r="AI2563">
        <v>1</v>
      </c>
      <c r="AJ2563">
        <v>0</v>
      </c>
      <c r="AK2563">
        <v>156.12</v>
      </c>
      <c r="AN2563" t="s">
        <v>2926</v>
      </c>
      <c r="AO2563">
        <v>19500</v>
      </c>
      <c r="AU2563">
        <v>10.5</v>
      </c>
      <c r="AV2563" t="s">
        <v>401</v>
      </c>
      <c r="AW2563" t="s">
        <v>3059</v>
      </c>
    </row>
    <row r="2564" spans="1:50">
      <c r="A2564" s="1" t="s">
        <v>53</v>
      </c>
      <c r="B2564" t="s">
        <v>163</v>
      </c>
      <c r="C2564" t="s">
        <v>5774</v>
      </c>
      <c r="D2564" t="s">
        <v>350</v>
      </c>
      <c r="F2564" t="s">
        <v>7766</v>
      </c>
      <c r="G2564" t="s">
        <v>9015</v>
      </c>
      <c r="H2564" t="s">
        <v>10567</v>
      </c>
      <c r="I2564" t="s">
        <v>11420</v>
      </c>
      <c r="J2564" t="s">
        <v>1668</v>
      </c>
      <c r="K2564">
        <v>11354</v>
      </c>
      <c r="L2564" t="s">
        <v>1670</v>
      </c>
      <c r="M2564" t="s">
        <v>1671</v>
      </c>
      <c r="N2564" t="s">
        <v>12615</v>
      </c>
      <c r="O2564" t="s">
        <v>1936</v>
      </c>
      <c r="P2564" t="s">
        <v>1960</v>
      </c>
      <c r="R2564" t="s">
        <v>50</v>
      </c>
      <c r="S2564" t="s">
        <v>1670</v>
      </c>
      <c r="U2564" t="s">
        <v>1972</v>
      </c>
      <c r="V2564" t="s">
        <v>1984</v>
      </c>
      <c r="W2564" t="s">
        <v>235</v>
      </c>
      <c r="X2564">
        <v>1658</v>
      </c>
      <c r="Y2564" t="s">
        <v>2007</v>
      </c>
      <c r="Z2564" t="s">
        <v>2014</v>
      </c>
      <c r="AB2564" t="s">
        <v>14836</v>
      </c>
      <c r="AD2564" t="s">
        <v>17242</v>
      </c>
      <c r="AE2564">
        <v>42</v>
      </c>
      <c r="AF2564" t="s">
        <v>2903</v>
      </c>
      <c r="AG2564" t="s">
        <v>1754</v>
      </c>
      <c r="AH2564">
        <v>2</v>
      </c>
      <c r="AI2564">
        <v>2</v>
      </c>
      <c r="AJ2564">
        <v>0</v>
      </c>
      <c r="AK2564">
        <v>156.12</v>
      </c>
      <c r="AN2564" t="s">
        <v>2926</v>
      </c>
      <c r="AO2564">
        <v>26400</v>
      </c>
      <c r="AQ2564" t="s">
        <v>2979</v>
      </c>
      <c r="AR2564" t="s">
        <v>2982</v>
      </c>
      <c r="AS2564" t="s">
        <v>2992</v>
      </c>
      <c r="AT2564" t="s">
        <v>18600</v>
      </c>
      <c r="AU2564">
        <v>16.7</v>
      </c>
      <c r="AV2564" t="s">
        <v>1994</v>
      </c>
      <c r="AW2564" t="s">
        <v>3073</v>
      </c>
      <c r="AX2564" t="s">
        <v>18685</v>
      </c>
    </row>
    <row r="2565" spans="1:50">
      <c r="A2565" s="1" t="s">
        <v>3144</v>
      </c>
      <c r="B2565" t="s">
        <v>163</v>
      </c>
      <c r="C2565" t="s">
        <v>5775</v>
      </c>
      <c r="D2565" t="s">
        <v>403</v>
      </c>
      <c r="F2565" t="s">
        <v>436</v>
      </c>
      <c r="G2565" t="s">
        <v>856</v>
      </c>
      <c r="H2565" t="s">
        <v>10570</v>
      </c>
      <c r="I2565" t="s">
        <v>1497</v>
      </c>
      <c r="J2565" t="s">
        <v>1641</v>
      </c>
      <c r="K2565">
        <v>10456</v>
      </c>
      <c r="L2565" t="s">
        <v>1670</v>
      </c>
      <c r="M2565" t="s">
        <v>1672</v>
      </c>
      <c r="N2565" t="s">
        <v>12616</v>
      </c>
      <c r="O2565" t="s">
        <v>1938</v>
      </c>
      <c r="P2565" t="s">
        <v>1959</v>
      </c>
      <c r="R2565" t="s">
        <v>50</v>
      </c>
      <c r="S2565" t="s">
        <v>1671</v>
      </c>
      <c r="U2565" t="s">
        <v>1972</v>
      </c>
      <c r="W2565" t="s">
        <v>1991</v>
      </c>
      <c r="X2565" t="s">
        <v>13051</v>
      </c>
      <c r="Y2565" t="s">
        <v>2006</v>
      </c>
      <c r="Z2565" t="s">
        <v>2014</v>
      </c>
      <c r="AB2565" t="s">
        <v>14839</v>
      </c>
      <c r="AC2565" t="s">
        <v>15288</v>
      </c>
      <c r="AD2565" t="s">
        <v>17245</v>
      </c>
      <c r="AE2565">
        <v>48</v>
      </c>
      <c r="AF2565" t="s">
        <v>2902</v>
      </c>
      <c r="AG2565" t="s">
        <v>2920</v>
      </c>
      <c r="AH2565" t="s">
        <v>13051</v>
      </c>
      <c r="AI2565">
        <v>2</v>
      </c>
      <c r="AJ2565">
        <v>0</v>
      </c>
      <c r="AK2565">
        <v>156.18</v>
      </c>
      <c r="AN2565" t="s">
        <v>2926</v>
      </c>
      <c r="AO2565">
        <v>26410</v>
      </c>
      <c r="AU2565">
        <v>0.5</v>
      </c>
      <c r="AV2565" t="s">
        <v>403</v>
      </c>
      <c r="AW2565" t="s">
        <v>18655</v>
      </c>
      <c r="AX2565" t="s">
        <v>18685</v>
      </c>
    </row>
    <row r="2566" spans="1:50">
      <c r="A2566" s="1" t="s">
        <v>3144</v>
      </c>
      <c r="B2566" t="s">
        <v>163</v>
      </c>
      <c r="C2566" t="s">
        <v>5776</v>
      </c>
      <c r="D2566" t="s">
        <v>301</v>
      </c>
      <c r="F2566" t="s">
        <v>436</v>
      </c>
      <c r="G2566" t="s">
        <v>856</v>
      </c>
      <c r="H2566" t="s">
        <v>10570</v>
      </c>
      <c r="I2566" t="s">
        <v>1497</v>
      </c>
      <c r="J2566" t="s">
        <v>1641</v>
      </c>
      <c r="K2566">
        <v>10456</v>
      </c>
      <c r="L2566" t="s">
        <v>1670</v>
      </c>
      <c r="M2566" t="s">
        <v>1670</v>
      </c>
      <c r="O2566" t="s">
        <v>1945</v>
      </c>
      <c r="P2566" t="s">
        <v>1959</v>
      </c>
      <c r="R2566" t="s">
        <v>50</v>
      </c>
      <c r="U2566" t="s">
        <v>1980</v>
      </c>
      <c r="W2566" t="s">
        <v>301</v>
      </c>
      <c r="X2566">
        <v>1004.69</v>
      </c>
      <c r="Y2566" t="s">
        <v>2006</v>
      </c>
      <c r="Z2566" t="s">
        <v>2014</v>
      </c>
      <c r="AB2566" t="s">
        <v>14839</v>
      </c>
      <c r="AC2566" t="s">
        <v>15288</v>
      </c>
      <c r="AD2566" t="s">
        <v>17245</v>
      </c>
      <c r="AE2566">
        <v>48</v>
      </c>
      <c r="AF2566" t="s">
        <v>2902</v>
      </c>
      <c r="AG2566" t="s">
        <v>2920</v>
      </c>
      <c r="AH2566">
        <v>29</v>
      </c>
      <c r="AI2566">
        <v>2</v>
      </c>
      <c r="AJ2566">
        <v>0</v>
      </c>
      <c r="AK2566">
        <v>156.18</v>
      </c>
      <c r="AN2566" t="s">
        <v>2926</v>
      </c>
      <c r="AO2566">
        <v>26410</v>
      </c>
      <c r="AU2566">
        <v>2</v>
      </c>
      <c r="AV2566" t="s">
        <v>179</v>
      </c>
      <c r="AW2566" t="s">
        <v>18655</v>
      </c>
    </row>
    <row r="2567" spans="1:50">
      <c r="A2567" s="1" t="s">
        <v>97</v>
      </c>
      <c r="B2567" t="s">
        <v>163</v>
      </c>
      <c r="C2567" t="s">
        <v>5777</v>
      </c>
      <c r="D2567" t="s">
        <v>196</v>
      </c>
      <c r="F2567" t="s">
        <v>7341</v>
      </c>
      <c r="G2567" t="s">
        <v>9017</v>
      </c>
      <c r="H2567" t="s">
        <v>10571</v>
      </c>
      <c r="I2567" t="s">
        <v>1508</v>
      </c>
      <c r="J2567" t="s">
        <v>1643</v>
      </c>
      <c r="K2567">
        <v>10034</v>
      </c>
      <c r="L2567" t="s">
        <v>1670</v>
      </c>
      <c r="M2567" t="s">
        <v>1670</v>
      </c>
      <c r="O2567" t="s">
        <v>1941</v>
      </c>
      <c r="P2567" t="s">
        <v>1959</v>
      </c>
      <c r="R2567" t="s">
        <v>50</v>
      </c>
      <c r="S2567" t="s">
        <v>1671</v>
      </c>
      <c r="U2567" t="s">
        <v>1972</v>
      </c>
      <c r="W2567" t="s">
        <v>196</v>
      </c>
      <c r="X2567">
        <v>999.88</v>
      </c>
      <c r="Y2567" t="s">
        <v>2008</v>
      </c>
      <c r="Z2567" t="s">
        <v>2013</v>
      </c>
      <c r="AB2567" t="s">
        <v>14840</v>
      </c>
      <c r="AD2567" t="s">
        <v>17246</v>
      </c>
      <c r="AE2567">
        <v>6</v>
      </c>
      <c r="AF2567" t="s">
        <v>2902</v>
      </c>
      <c r="AG2567" t="s">
        <v>2919</v>
      </c>
      <c r="AH2567">
        <v>11</v>
      </c>
      <c r="AI2567">
        <v>1</v>
      </c>
      <c r="AJ2567">
        <v>0</v>
      </c>
      <c r="AK2567">
        <v>156.33</v>
      </c>
      <c r="AN2567" t="s">
        <v>2926</v>
      </c>
      <c r="AO2567">
        <v>18978.96</v>
      </c>
      <c r="AU2567">
        <v>1.8</v>
      </c>
      <c r="AV2567" t="s">
        <v>196</v>
      </c>
      <c r="AW2567" t="s">
        <v>3042</v>
      </c>
      <c r="AX2567" t="s">
        <v>18685</v>
      </c>
    </row>
    <row r="2568" spans="1:50">
      <c r="A2568" s="1" t="s">
        <v>119</v>
      </c>
      <c r="B2568" t="s">
        <v>163</v>
      </c>
      <c r="C2568" t="s">
        <v>5778</v>
      </c>
      <c r="D2568" t="s">
        <v>364</v>
      </c>
      <c r="F2568" t="s">
        <v>702</v>
      </c>
      <c r="G2568" t="s">
        <v>9018</v>
      </c>
      <c r="H2568" t="s">
        <v>10572</v>
      </c>
      <c r="I2568" t="s">
        <v>1539</v>
      </c>
      <c r="J2568" t="s">
        <v>1644</v>
      </c>
      <c r="K2568">
        <v>11212</v>
      </c>
      <c r="L2568" t="s">
        <v>1670</v>
      </c>
      <c r="M2568" t="s">
        <v>1672</v>
      </c>
      <c r="N2568" t="s">
        <v>1754</v>
      </c>
      <c r="O2568" t="s">
        <v>1940</v>
      </c>
      <c r="P2568" t="s">
        <v>1962</v>
      </c>
      <c r="R2568" t="s">
        <v>50</v>
      </c>
      <c r="S2568" t="s">
        <v>1671</v>
      </c>
      <c r="U2568" t="s">
        <v>1972</v>
      </c>
      <c r="V2568" t="s">
        <v>1984</v>
      </c>
      <c r="W2568" t="s">
        <v>249</v>
      </c>
      <c r="X2568">
        <v>1400</v>
      </c>
      <c r="Y2568" t="s">
        <v>2009</v>
      </c>
      <c r="Z2568" t="s">
        <v>2014</v>
      </c>
      <c r="AB2568" t="s">
        <v>14841</v>
      </c>
      <c r="AC2568" t="s">
        <v>1754</v>
      </c>
      <c r="AD2568" t="s">
        <v>17247</v>
      </c>
      <c r="AE2568">
        <v>4</v>
      </c>
      <c r="AF2568" t="s">
        <v>2903</v>
      </c>
      <c r="AG2568" t="s">
        <v>1754</v>
      </c>
      <c r="AH2568">
        <v>16</v>
      </c>
      <c r="AI2568">
        <v>1</v>
      </c>
      <c r="AJ2568">
        <v>0</v>
      </c>
      <c r="AK2568">
        <v>156.41</v>
      </c>
      <c r="AN2568" t="s">
        <v>2926</v>
      </c>
      <c r="AO2568">
        <v>19536</v>
      </c>
      <c r="AU2568">
        <v>2.6</v>
      </c>
      <c r="AV2568" t="s">
        <v>397</v>
      </c>
      <c r="AW2568" t="s">
        <v>3060</v>
      </c>
      <c r="AX2568" t="s">
        <v>18685</v>
      </c>
    </row>
    <row r="2569" spans="1:50">
      <c r="A2569" s="1" t="s">
        <v>3162</v>
      </c>
      <c r="B2569" t="s">
        <v>164</v>
      </c>
      <c r="C2569" t="s">
        <v>5779</v>
      </c>
      <c r="D2569" t="s">
        <v>257</v>
      </c>
      <c r="E2569" t="s">
        <v>243</v>
      </c>
      <c r="F2569" t="s">
        <v>7769</v>
      </c>
      <c r="G2569" t="s">
        <v>9019</v>
      </c>
      <c r="H2569" t="s">
        <v>10573</v>
      </c>
      <c r="I2569" t="s">
        <v>1580</v>
      </c>
      <c r="J2569" t="s">
        <v>1644</v>
      </c>
      <c r="K2569">
        <v>11226</v>
      </c>
      <c r="L2569" t="s">
        <v>1670</v>
      </c>
      <c r="M2569" t="s">
        <v>1670</v>
      </c>
      <c r="N2569" t="s">
        <v>12617</v>
      </c>
      <c r="O2569" t="s">
        <v>1940</v>
      </c>
      <c r="P2569" t="s">
        <v>1960</v>
      </c>
      <c r="Q2569" t="s">
        <v>1969</v>
      </c>
      <c r="R2569" t="s">
        <v>50</v>
      </c>
      <c r="S2569" t="s">
        <v>1671</v>
      </c>
      <c r="U2569" t="s">
        <v>1972</v>
      </c>
      <c r="W2569" t="s">
        <v>200</v>
      </c>
      <c r="X2569" t="s">
        <v>13051</v>
      </c>
      <c r="Y2569" t="s">
        <v>2009</v>
      </c>
      <c r="Z2569" t="s">
        <v>2017</v>
      </c>
      <c r="AA2569" t="s">
        <v>2032</v>
      </c>
      <c r="AB2569" t="s">
        <v>14842</v>
      </c>
      <c r="AC2569" t="s">
        <v>1671</v>
      </c>
      <c r="AD2569" t="s">
        <v>15077</v>
      </c>
      <c r="AE2569">
        <v>56</v>
      </c>
      <c r="AF2569" t="s">
        <v>2902</v>
      </c>
      <c r="AG2569" t="s">
        <v>1754</v>
      </c>
      <c r="AH2569">
        <v>22</v>
      </c>
      <c r="AI2569">
        <v>1</v>
      </c>
      <c r="AJ2569">
        <v>0</v>
      </c>
      <c r="AK2569">
        <v>156.51</v>
      </c>
      <c r="AN2569" t="s">
        <v>2926</v>
      </c>
      <c r="AO2569">
        <v>19000</v>
      </c>
      <c r="AQ2569" t="s">
        <v>2979</v>
      </c>
      <c r="AR2569" t="s">
        <v>2988</v>
      </c>
      <c r="AS2569" t="s">
        <v>2992</v>
      </c>
      <c r="AT2569" t="s">
        <v>18601</v>
      </c>
      <c r="AU2569">
        <v>13</v>
      </c>
      <c r="AV2569" t="s">
        <v>243</v>
      </c>
      <c r="AW2569" t="s">
        <v>18659</v>
      </c>
    </row>
    <row r="2570" spans="1:50">
      <c r="A2570" s="1" t="s">
        <v>103</v>
      </c>
      <c r="B2570" t="s">
        <v>164</v>
      </c>
      <c r="C2570" t="s">
        <v>5780</v>
      </c>
      <c r="D2570" t="s">
        <v>313</v>
      </c>
      <c r="E2570" t="s">
        <v>268</v>
      </c>
      <c r="F2570" t="s">
        <v>701</v>
      </c>
      <c r="G2570" t="s">
        <v>9020</v>
      </c>
      <c r="H2570" t="s">
        <v>10574</v>
      </c>
      <c r="J2570" t="s">
        <v>1644</v>
      </c>
      <c r="K2570">
        <v>11233</v>
      </c>
      <c r="L2570" t="s">
        <v>1670</v>
      </c>
      <c r="M2570" t="s">
        <v>1670</v>
      </c>
      <c r="N2570" t="s">
        <v>12618</v>
      </c>
      <c r="O2570" t="s">
        <v>1936</v>
      </c>
      <c r="P2570" t="s">
        <v>1958</v>
      </c>
      <c r="Q2570" t="s">
        <v>1965</v>
      </c>
      <c r="R2570" t="s">
        <v>50</v>
      </c>
      <c r="S2570" t="s">
        <v>1671</v>
      </c>
      <c r="U2570" t="s">
        <v>1972</v>
      </c>
      <c r="V2570" t="s">
        <v>1984</v>
      </c>
      <c r="W2570" t="s">
        <v>266</v>
      </c>
      <c r="X2570">
        <v>2000</v>
      </c>
      <c r="Y2570" t="s">
        <v>2009</v>
      </c>
      <c r="Z2570" t="s">
        <v>2014</v>
      </c>
      <c r="AA2570" t="s">
        <v>2029</v>
      </c>
      <c r="AB2570" t="s">
        <v>14843</v>
      </c>
      <c r="AC2570" t="s">
        <v>1754</v>
      </c>
      <c r="AD2570" t="s">
        <v>17248</v>
      </c>
      <c r="AE2570">
        <v>3</v>
      </c>
      <c r="AF2570" t="s">
        <v>2903</v>
      </c>
      <c r="AG2570" t="s">
        <v>1754</v>
      </c>
      <c r="AH2570">
        <v>3</v>
      </c>
      <c r="AI2570">
        <v>4</v>
      </c>
      <c r="AJ2570">
        <v>0</v>
      </c>
      <c r="AK2570">
        <v>156.86</v>
      </c>
      <c r="AN2570" t="s">
        <v>2926</v>
      </c>
      <c r="AO2570">
        <v>40392</v>
      </c>
      <c r="AU2570">
        <v>2.5</v>
      </c>
      <c r="AV2570" t="s">
        <v>286</v>
      </c>
      <c r="AW2570" t="s">
        <v>3060</v>
      </c>
      <c r="AX2570" t="s">
        <v>18685</v>
      </c>
    </row>
    <row r="2571" spans="1:50">
      <c r="A2571" s="1" t="s">
        <v>3151</v>
      </c>
      <c r="B2571" t="s">
        <v>164</v>
      </c>
      <c r="C2571" t="s">
        <v>5781</v>
      </c>
      <c r="D2571" t="s">
        <v>216</v>
      </c>
      <c r="E2571" t="s">
        <v>285</v>
      </c>
      <c r="F2571" t="s">
        <v>461</v>
      </c>
      <c r="G2571" t="s">
        <v>9021</v>
      </c>
      <c r="H2571" t="s">
        <v>10575</v>
      </c>
      <c r="I2571" t="s">
        <v>11421</v>
      </c>
      <c r="J2571" t="s">
        <v>1644</v>
      </c>
      <c r="K2571">
        <v>11233</v>
      </c>
      <c r="L2571" t="s">
        <v>1670</v>
      </c>
      <c r="M2571" t="s">
        <v>1670</v>
      </c>
      <c r="N2571" t="s">
        <v>12619</v>
      </c>
      <c r="O2571" t="s">
        <v>1936</v>
      </c>
      <c r="P2571" t="s">
        <v>1960</v>
      </c>
      <c r="Q2571" t="s">
        <v>1969</v>
      </c>
      <c r="R2571" t="s">
        <v>50</v>
      </c>
      <c r="S2571" t="s">
        <v>1671</v>
      </c>
      <c r="U2571" t="s">
        <v>1972</v>
      </c>
      <c r="W2571" t="s">
        <v>180</v>
      </c>
      <c r="X2571">
        <v>1758</v>
      </c>
      <c r="Y2571" t="s">
        <v>2009</v>
      </c>
      <c r="Z2571" t="s">
        <v>2023</v>
      </c>
      <c r="AA2571" t="s">
        <v>2032</v>
      </c>
      <c r="AB2571" t="s">
        <v>14844</v>
      </c>
      <c r="AC2571" t="s">
        <v>15289</v>
      </c>
      <c r="AE2571">
        <v>6</v>
      </c>
      <c r="AF2571" t="s">
        <v>2902</v>
      </c>
      <c r="AG2571" t="s">
        <v>2921</v>
      </c>
      <c r="AH2571">
        <v>8</v>
      </c>
      <c r="AI2571">
        <v>1</v>
      </c>
      <c r="AJ2571">
        <v>0</v>
      </c>
      <c r="AK2571">
        <v>157.76</v>
      </c>
      <c r="AN2571" t="s">
        <v>2926</v>
      </c>
      <c r="AO2571">
        <v>19152</v>
      </c>
      <c r="AU2571">
        <v>36.4</v>
      </c>
      <c r="AV2571" t="s">
        <v>307</v>
      </c>
      <c r="AW2571" t="s">
        <v>3083</v>
      </c>
    </row>
    <row r="2572" spans="1:50">
      <c r="A2572" s="1" t="s">
        <v>96</v>
      </c>
      <c r="B2572" t="s">
        <v>163</v>
      </c>
      <c r="C2572" t="s">
        <v>5782</v>
      </c>
      <c r="D2572" t="s">
        <v>385</v>
      </c>
      <c r="F2572" t="s">
        <v>7770</v>
      </c>
      <c r="G2572" t="s">
        <v>9022</v>
      </c>
      <c r="H2572" t="s">
        <v>1276</v>
      </c>
      <c r="I2572">
        <v>26</v>
      </c>
      <c r="J2572" t="s">
        <v>1644</v>
      </c>
      <c r="K2572">
        <v>11238</v>
      </c>
      <c r="L2572" t="s">
        <v>1670</v>
      </c>
      <c r="M2572" t="s">
        <v>1670</v>
      </c>
      <c r="N2572" t="s">
        <v>12620</v>
      </c>
      <c r="O2572" t="s">
        <v>1938</v>
      </c>
      <c r="P2572" t="s">
        <v>1961</v>
      </c>
      <c r="R2572" t="s">
        <v>50</v>
      </c>
      <c r="S2572" t="s">
        <v>1671</v>
      </c>
      <c r="U2572" t="s">
        <v>1972</v>
      </c>
      <c r="V2572" t="s">
        <v>1984</v>
      </c>
      <c r="W2572" t="s">
        <v>385</v>
      </c>
      <c r="X2572">
        <v>1247.4</v>
      </c>
      <c r="Y2572" t="s">
        <v>2009</v>
      </c>
      <c r="Z2572" t="s">
        <v>2020</v>
      </c>
      <c r="AB2572" t="s">
        <v>14845</v>
      </c>
      <c r="AC2572" t="s">
        <v>15290</v>
      </c>
      <c r="AD2572" t="s">
        <v>17249</v>
      </c>
      <c r="AE2572">
        <v>41</v>
      </c>
      <c r="AF2572" t="s">
        <v>2902</v>
      </c>
      <c r="AH2572">
        <v>17</v>
      </c>
      <c r="AI2572">
        <v>2</v>
      </c>
      <c r="AJ2572">
        <v>0</v>
      </c>
      <c r="AK2572">
        <v>157.79</v>
      </c>
      <c r="AN2572" t="s">
        <v>2926</v>
      </c>
      <c r="AO2572">
        <v>26682</v>
      </c>
      <c r="AU2572">
        <v>1.5</v>
      </c>
      <c r="AV2572" t="s">
        <v>357</v>
      </c>
      <c r="AW2572" t="s">
        <v>96</v>
      </c>
      <c r="AX2572" t="s">
        <v>18686</v>
      </c>
    </row>
    <row r="2573" spans="1:50">
      <c r="A2573" s="1" t="s">
        <v>57</v>
      </c>
      <c r="B2573" t="s">
        <v>164</v>
      </c>
      <c r="C2573" t="s">
        <v>5783</v>
      </c>
      <c r="D2573" t="s">
        <v>262</v>
      </c>
      <c r="E2573" t="s">
        <v>359</v>
      </c>
      <c r="F2573" t="s">
        <v>7379</v>
      </c>
      <c r="G2573" t="s">
        <v>9023</v>
      </c>
      <c r="H2573" t="s">
        <v>1204</v>
      </c>
      <c r="I2573" t="s">
        <v>1522</v>
      </c>
      <c r="J2573" t="s">
        <v>1641</v>
      </c>
      <c r="K2573">
        <v>10452</v>
      </c>
      <c r="L2573" t="s">
        <v>1670</v>
      </c>
      <c r="M2573" t="s">
        <v>1670</v>
      </c>
      <c r="N2573" t="s">
        <v>12621</v>
      </c>
      <c r="O2573" t="s">
        <v>1936</v>
      </c>
      <c r="P2573" t="s">
        <v>1958</v>
      </c>
      <c r="Q2573" t="s">
        <v>1965</v>
      </c>
      <c r="R2573" t="s">
        <v>50</v>
      </c>
      <c r="S2573" t="s">
        <v>1671</v>
      </c>
      <c r="U2573" t="s">
        <v>1972</v>
      </c>
      <c r="W2573" t="s">
        <v>359</v>
      </c>
      <c r="X2573">
        <v>1300</v>
      </c>
      <c r="Y2573" t="s">
        <v>2006</v>
      </c>
      <c r="AA2573" t="s">
        <v>2029</v>
      </c>
      <c r="AB2573" t="s">
        <v>14846</v>
      </c>
      <c r="AD2573" t="s">
        <v>17250</v>
      </c>
      <c r="AE2573">
        <v>37</v>
      </c>
      <c r="AF2573" t="s">
        <v>2904</v>
      </c>
      <c r="AG2573" t="s">
        <v>2917</v>
      </c>
      <c r="AH2573">
        <v>7</v>
      </c>
      <c r="AI2573">
        <v>2</v>
      </c>
      <c r="AJ2573">
        <v>0</v>
      </c>
      <c r="AK2573">
        <v>157.96</v>
      </c>
      <c r="AN2573" t="s">
        <v>2927</v>
      </c>
      <c r="AO2573">
        <v>26000</v>
      </c>
      <c r="AU2573">
        <v>91.09999999999999</v>
      </c>
      <c r="AV2573" t="s">
        <v>395</v>
      </c>
      <c r="AW2573" t="s">
        <v>3068</v>
      </c>
    </row>
    <row r="2574" spans="1:50">
      <c r="A2574" s="1" t="s">
        <v>132</v>
      </c>
      <c r="B2574" t="s">
        <v>163</v>
      </c>
      <c r="C2574" t="s">
        <v>5784</v>
      </c>
      <c r="D2574" t="s">
        <v>6156</v>
      </c>
      <c r="F2574" t="s">
        <v>521</v>
      </c>
      <c r="G2574" t="s">
        <v>833</v>
      </c>
      <c r="H2574" t="s">
        <v>9924</v>
      </c>
      <c r="I2574" t="s">
        <v>1510</v>
      </c>
      <c r="J2574" t="s">
        <v>1644</v>
      </c>
      <c r="K2574">
        <v>11206</v>
      </c>
      <c r="L2574" t="s">
        <v>1670</v>
      </c>
      <c r="M2574" t="s">
        <v>1670</v>
      </c>
      <c r="O2574" t="s">
        <v>1937</v>
      </c>
      <c r="P2574" t="s">
        <v>1961</v>
      </c>
      <c r="R2574" t="s">
        <v>50</v>
      </c>
      <c r="S2574" t="s">
        <v>1670</v>
      </c>
      <c r="U2574" t="s">
        <v>1972</v>
      </c>
      <c r="W2574" t="s">
        <v>6156</v>
      </c>
      <c r="X2574">
        <v>953</v>
      </c>
      <c r="Y2574" t="s">
        <v>2009</v>
      </c>
      <c r="Z2574" t="s">
        <v>2017</v>
      </c>
      <c r="AB2574" t="s">
        <v>14847</v>
      </c>
      <c r="AE2574">
        <v>29</v>
      </c>
      <c r="AF2574" t="s">
        <v>2902</v>
      </c>
      <c r="AG2574" t="s">
        <v>2919</v>
      </c>
      <c r="AH2574">
        <v>24</v>
      </c>
      <c r="AI2574">
        <v>2</v>
      </c>
      <c r="AJ2574">
        <v>0</v>
      </c>
      <c r="AK2574">
        <v>157.96</v>
      </c>
      <c r="AN2574" t="s">
        <v>2927</v>
      </c>
      <c r="AO2574">
        <v>26000</v>
      </c>
      <c r="AP2574" t="s">
        <v>2953</v>
      </c>
      <c r="AU2574" t="s">
        <v>13051</v>
      </c>
      <c r="AW2574" t="s">
        <v>18659</v>
      </c>
    </row>
    <row r="2575" spans="1:50">
      <c r="A2575" s="1" t="s">
        <v>52</v>
      </c>
      <c r="B2575" t="s">
        <v>163</v>
      </c>
      <c r="C2575" t="s">
        <v>5785</v>
      </c>
      <c r="D2575" t="s">
        <v>187</v>
      </c>
      <c r="F2575" t="s">
        <v>7242</v>
      </c>
      <c r="G2575" t="s">
        <v>9024</v>
      </c>
      <c r="H2575" t="s">
        <v>1136</v>
      </c>
      <c r="I2575" t="s">
        <v>1488</v>
      </c>
      <c r="J2575" t="s">
        <v>1641</v>
      </c>
      <c r="K2575">
        <v>10457</v>
      </c>
      <c r="L2575" t="s">
        <v>1670</v>
      </c>
      <c r="M2575" t="s">
        <v>1670</v>
      </c>
      <c r="N2575" t="s">
        <v>1695</v>
      </c>
      <c r="O2575" t="s">
        <v>1938</v>
      </c>
      <c r="P2575" t="s">
        <v>1961</v>
      </c>
      <c r="R2575" t="s">
        <v>50</v>
      </c>
      <c r="S2575" t="s">
        <v>1670</v>
      </c>
      <c r="U2575" t="s">
        <v>1972</v>
      </c>
      <c r="W2575" t="s">
        <v>359</v>
      </c>
      <c r="X2575">
        <v>900</v>
      </c>
      <c r="Y2575" t="s">
        <v>2006</v>
      </c>
      <c r="Z2575" t="s">
        <v>2015</v>
      </c>
      <c r="AB2575" t="s">
        <v>2094</v>
      </c>
      <c r="AD2575" t="s">
        <v>17251</v>
      </c>
      <c r="AE2575">
        <v>47</v>
      </c>
      <c r="AF2575" t="s">
        <v>2908</v>
      </c>
      <c r="AG2575" t="s">
        <v>1754</v>
      </c>
      <c r="AH2575">
        <v>40</v>
      </c>
      <c r="AI2575">
        <v>2</v>
      </c>
      <c r="AJ2575">
        <v>0</v>
      </c>
      <c r="AK2575">
        <v>157.96</v>
      </c>
      <c r="AN2575" t="s">
        <v>2926</v>
      </c>
      <c r="AO2575">
        <v>26000</v>
      </c>
      <c r="AU2575">
        <v>0.1</v>
      </c>
      <c r="AV2575" t="s">
        <v>171</v>
      </c>
      <c r="AW2575" t="s">
        <v>3046</v>
      </c>
    </row>
    <row r="2576" spans="1:50">
      <c r="A2576" s="1" t="s">
        <v>66</v>
      </c>
      <c r="B2576" t="s">
        <v>163</v>
      </c>
      <c r="C2576" t="s">
        <v>5786</v>
      </c>
      <c r="D2576" t="s">
        <v>6169</v>
      </c>
      <c r="F2576" t="s">
        <v>7771</v>
      </c>
      <c r="G2576" t="s">
        <v>9025</v>
      </c>
      <c r="H2576" t="s">
        <v>10576</v>
      </c>
      <c r="I2576" t="s">
        <v>1488</v>
      </c>
      <c r="J2576" t="s">
        <v>1644</v>
      </c>
      <c r="K2576">
        <v>11207</v>
      </c>
      <c r="L2576" t="s">
        <v>1670</v>
      </c>
      <c r="M2576" t="s">
        <v>1670</v>
      </c>
      <c r="O2576" t="s">
        <v>1936</v>
      </c>
      <c r="P2576" t="s">
        <v>1960</v>
      </c>
      <c r="R2576" t="s">
        <v>50</v>
      </c>
      <c r="S2576" t="s">
        <v>1671</v>
      </c>
      <c r="U2576" t="s">
        <v>1972</v>
      </c>
      <c r="W2576" t="s">
        <v>6156</v>
      </c>
      <c r="X2576">
        <v>1326</v>
      </c>
      <c r="Y2576" t="s">
        <v>2009</v>
      </c>
      <c r="Z2576" t="s">
        <v>2020</v>
      </c>
      <c r="AB2576" t="s">
        <v>14848</v>
      </c>
      <c r="AC2576" t="s">
        <v>15291</v>
      </c>
      <c r="AD2576" t="s">
        <v>17252</v>
      </c>
      <c r="AE2576">
        <v>20</v>
      </c>
      <c r="AF2576" t="s">
        <v>2902</v>
      </c>
      <c r="AG2576" t="s">
        <v>1754</v>
      </c>
      <c r="AH2576">
        <v>4</v>
      </c>
      <c r="AI2576">
        <v>2</v>
      </c>
      <c r="AJ2576">
        <v>0</v>
      </c>
      <c r="AK2576">
        <v>157.96</v>
      </c>
      <c r="AN2576" t="s">
        <v>2926</v>
      </c>
      <c r="AO2576">
        <v>26000</v>
      </c>
      <c r="AU2576">
        <v>38.6</v>
      </c>
      <c r="AV2576" t="s">
        <v>346</v>
      </c>
      <c r="AW2576" t="s">
        <v>3083</v>
      </c>
    </row>
    <row r="2577" spans="1:50">
      <c r="A2577" s="1" t="s">
        <v>52</v>
      </c>
      <c r="B2577" t="s">
        <v>163</v>
      </c>
      <c r="C2577" t="s">
        <v>5787</v>
      </c>
      <c r="D2577" t="s">
        <v>187</v>
      </c>
      <c r="F2577" t="s">
        <v>7242</v>
      </c>
      <c r="G2577" t="s">
        <v>9024</v>
      </c>
      <c r="H2577" t="s">
        <v>1136</v>
      </c>
      <c r="I2577" t="s">
        <v>1488</v>
      </c>
      <c r="J2577" t="s">
        <v>1641</v>
      </c>
      <c r="K2577">
        <v>10457</v>
      </c>
      <c r="L2577" t="s">
        <v>1670</v>
      </c>
      <c r="M2577" t="s">
        <v>1670</v>
      </c>
      <c r="N2577" t="s">
        <v>1696</v>
      </c>
      <c r="O2577" t="s">
        <v>1939</v>
      </c>
      <c r="P2577" t="s">
        <v>1960</v>
      </c>
      <c r="R2577" t="s">
        <v>50</v>
      </c>
      <c r="S2577" t="s">
        <v>1670</v>
      </c>
      <c r="U2577" t="s">
        <v>1972</v>
      </c>
      <c r="W2577" t="s">
        <v>359</v>
      </c>
      <c r="X2577">
        <v>900</v>
      </c>
      <c r="Y2577" t="s">
        <v>2006</v>
      </c>
      <c r="Z2577" t="s">
        <v>2020</v>
      </c>
      <c r="AB2577" t="s">
        <v>2094</v>
      </c>
      <c r="AD2577" t="s">
        <v>17251</v>
      </c>
      <c r="AE2577">
        <v>47</v>
      </c>
      <c r="AF2577" t="s">
        <v>2908</v>
      </c>
      <c r="AG2577" t="s">
        <v>1754</v>
      </c>
      <c r="AH2577">
        <v>40</v>
      </c>
      <c r="AI2577">
        <v>2</v>
      </c>
      <c r="AJ2577">
        <v>0</v>
      </c>
      <c r="AK2577">
        <v>157.96</v>
      </c>
      <c r="AN2577" t="s">
        <v>2926</v>
      </c>
      <c r="AO2577">
        <v>26000</v>
      </c>
      <c r="AU2577">
        <v>0.6</v>
      </c>
      <c r="AV2577" t="s">
        <v>226</v>
      </c>
      <c r="AW2577" t="s">
        <v>3046</v>
      </c>
    </row>
    <row r="2578" spans="1:50">
      <c r="A2578" s="1" t="s">
        <v>126</v>
      </c>
      <c r="B2578" t="s">
        <v>163</v>
      </c>
      <c r="C2578" t="s">
        <v>5788</v>
      </c>
      <c r="D2578" t="s">
        <v>245</v>
      </c>
      <c r="F2578" t="s">
        <v>6927</v>
      </c>
      <c r="G2578" t="s">
        <v>8006</v>
      </c>
      <c r="H2578" t="s">
        <v>9627</v>
      </c>
      <c r="I2578" t="s">
        <v>11166</v>
      </c>
      <c r="J2578" t="s">
        <v>1641</v>
      </c>
      <c r="K2578">
        <v>10451</v>
      </c>
      <c r="L2578" t="s">
        <v>1670</v>
      </c>
      <c r="M2578" t="s">
        <v>1670</v>
      </c>
      <c r="N2578" t="s">
        <v>11981</v>
      </c>
      <c r="O2578" t="s">
        <v>1939</v>
      </c>
      <c r="P2578" t="s">
        <v>1960</v>
      </c>
      <c r="R2578" t="s">
        <v>50</v>
      </c>
      <c r="S2578" t="s">
        <v>1670</v>
      </c>
      <c r="U2578" t="s">
        <v>1972</v>
      </c>
      <c r="W2578" t="s">
        <v>359</v>
      </c>
      <c r="X2578">
        <v>1000</v>
      </c>
      <c r="Y2578" t="s">
        <v>2006</v>
      </c>
      <c r="Z2578" t="s">
        <v>2015</v>
      </c>
      <c r="AB2578" t="s">
        <v>13271</v>
      </c>
      <c r="AD2578" t="s">
        <v>15859</v>
      </c>
      <c r="AE2578">
        <v>100</v>
      </c>
      <c r="AF2578" t="s">
        <v>2902</v>
      </c>
      <c r="AG2578" t="s">
        <v>1754</v>
      </c>
      <c r="AH2578">
        <v>1</v>
      </c>
      <c r="AI2578">
        <v>2</v>
      </c>
      <c r="AJ2578">
        <v>0</v>
      </c>
      <c r="AK2578">
        <v>157.96</v>
      </c>
      <c r="AN2578" t="s">
        <v>2927</v>
      </c>
      <c r="AO2578">
        <v>26000</v>
      </c>
      <c r="AU2578" t="s">
        <v>13051</v>
      </c>
      <c r="AW2578" t="s">
        <v>3047</v>
      </c>
    </row>
    <row r="2579" spans="1:50">
      <c r="A2579" s="1" t="s">
        <v>97</v>
      </c>
      <c r="B2579" t="s">
        <v>163</v>
      </c>
      <c r="C2579" t="s">
        <v>5789</v>
      </c>
      <c r="D2579" t="s">
        <v>332</v>
      </c>
      <c r="F2579" t="s">
        <v>7007</v>
      </c>
      <c r="G2579" t="s">
        <v>9011</v>
      </c>
      <c r="H2579" t="s">
        <v>1244</v>
      </c>
      <c r="I2579">
        <v>33</v>
      </c>
      <c r="J2579" t="s">
        <v>1643</v>
      </c>
      <c r="K2579">
        <v>10034</v>
      </c>
      <c r="L2579" t="s">
        <v>1670</v>
      </c>
      <c r="M2579" t="s">
        <v>1670</v>
      </c>
      <c r="N2579" t="s">
        <v>1771</v>
      </c>
      <c r="O2579" t="s">
        <v>1939</v>
      </c>
      <c r="P2579" t="s">
        <v>1960</v>
      </c>
      <c r="R2579" t="s">
        <v>50</v>
      </c>
      <c r="S2579" t="s">
        <v>1670</v>
      </c>
      <c r="U2579" t="s">
        <v>1972</v>
      </c>
      <c r="W2579" t="s">
        <v>332</v>
      </c>
      <c r="X2579">
        <v>839</v>
      </c>
      <c r="Y2579" t="s">
        <v>2008</v>
      </c>
      <c r="Z2579" t="s">
        <v>2013</v>
      </c>
      <c r="AB2579" t="s">
        <v>14828</v>
      </c>
      <c r="AD2579" t="s">
        <v>17233</v>
      </c>
      <c r="AE2579">
        <v>25</v>
      </c>
      <c r="AF2579" t="s">
        <v>2902</v>
      </c>
      <c r="AG2579" t="s">
        <v>1754</v>
      </c>
      <c r="AH2579">
        <v>20</v>
      </c>
      <c r="AI2579">
        <v>2</v>
      </c>
      <c r="AJ2579">
        <v>0</v>
      </c>
      <c r="AK2579">
        <v>157.96</v>
      </c>
      <c r="AN2579" t="s">
        <v>2926</v>
      </c>
      <c r="AO2579">
        <v>26000</v>
      </c>
      <c r="AU2579">
        <v>1</v>
      </c>
      <c r="AV2579" t="s">
        <v>1995</v>
      </c>
      <c r="AW2579" t="s">
        <v>3042</v>
      </c>
    </row>
    <row r="2580" spans="1:50">
      <c r="A2580" s="1" t="s">
        <v>101</v>
      </c>
      <c r="B2580" t="s">
        <v>163</v>
      </c>
      <c r="C2580" t="s">
        <v>5790</v>
      </c>
      <c r="D2580" t="s">
        <v>211</v>
      </c>
      <c r="F2580" t="s">
        <v>7772</v>
      </c>
      <c r="G2580" t="s">
        <v>803</v>
      </c>
      <c r="H2580" t="s">
        <v>1466</v>
      </c>
      <c r="I2580">
        <v>7</v>
      </c>
      <c r="J2580" t="s">
        <v>1643</v>
      </c>
      <c r="K2580">
        <v>10029</v>
      </c>
      <c r="L2580" t="s">
        <v>1670</v>
      </c>
      <c r="M2580" t="s">
        <v>1670</v>
      </c>
      <c r="N2580" t="s">
        <v>1931</v>
      </c>
      <c r="O2580" t="s">
        <v>1939</v>
      </c>
      <c r="P2580" t="s">
        <v>1960</v>
      </c>
      <c r="R2580" t="s">
        <v>50</v>
      </c>
      <c r="S2580" t="s">
        <v>1670</v>
      </c>
      <c r="U2580" t="s">
        <v>1972</v>
      </c>
      <c r="V2580" t="s">
        <v>1984</v>
      </c>
      <c r="W2580" t="s">
        <v>13049</v>
      </c>
      <c r="X2580">
        <v>900</v>
      </c>
      <c r="Y2580" t="s">
        <v>2008</v>
      </c>
      <c r="Z2580" t="s">
        <v>2024</v>
      </c>
      <c r="AB2580" t="s">
        <v>14849</v>
      </c>
      <c r="AD2580" t="s">
        <v>17253</v>
      </c>
      <c r="AE2580">
        <v>8</v>
      </c>
      <c r="AF2580" t="s">
        <v>2902</v>
      </c>
      <c r="AG2580" t="s">
        <v>1754</v>
      </c>
      <c r="AH2580">
        <v>20</v>
      </c>
      <c r="AI2580">
        <v>2</v>
      </c>
      <c r="AJ2580">
        <v>0</v>
      </c>
      <c r="AK2580">
        <v>157.96</v>
      </c>
      <c r="AN2580" t="s">
        <v>2927</v>
      </c>
      <c r="AO2580">
        <v>26000</v>
      </c>
      <c r="AU2580">
        <v>35.75</v>
      </c>
      <c r="AV2580" t="s">
        <v>3030</v>
      </c>
      <c r="AW2580" t="s">
        <v>3084</v>
      </c>
    </row>
    <row r="2581" spans="1:50">
      <c r="A2581" s="1" t="s">
        <v>57</v>
      </c>
      <c r="B2581" t="s">
        <v>164</v>
      </c>
      <c r="C2581" t="s">
        <v>5791</v>
      </c>
      <c r="D2581" t="s">
        <v>363</v>
      </c>
      <c r="E2581" t="s">
        <v>359</v>
      </c>
      <c r="F2581" t="s">
        <v>651</v>
      </c>
      <c r="G2581" t="s">
        <v>9026</v>
      </c>
      <c r="H2581" t="s">
        <v>1143</v>
      </c>
      <c r="I2581" t="s">
        <v>1520</v>
      </c>
      <c r="J2581" t="s">
        <v>1641</v>
      </c>
      <c r="K2581">
        <v>10452</v>
      </c>
      <c r="L2581" t="s">
        <v>1670</v>
      </c>
      <c r="M2581" t="s">
        <v>1672</v>
      </c>
      <c r="O2581" t="s">
        <v>1945</v>
      </c>
      <c r="P2581" t="s">
        <v>1958</v>
      </c>
      <c r="Q2581" t="s">
        <v>1965</v>
      </c>
      <c r="R2581" t="s">
        <v>50</v>
      </c>
      <c r="U2581" t="s">
        <v>1972</v>
      </c>
      <c r="W2581" t="s">
        <v>342</v>
      </c>
      <c r="X2581">
        <v>1013</v>
      </c>
      <c r="Y2581" t="s">
        <v>2006</v>
      </c>
      <c r="Z2581" t="s">
        <v>2013</v>
      </c>
      <c r="AA2581" t="s">
        <v>2029</v>
      </c>
      <c r="AB2581" t="s">
        <v>14850</v>
      </c>
      <c r="AD2581" t="s">
        <v>17254</v>
      </c>
      <c r="AE2581">
        <v>58</v>
      </c>
      <c r="AF2581" t="s">
        <v>2907</v>
      </c>
      <c r="AG2581" t="s">
        <v>2919</v>
      </c>
      <c r="AH2581">
        <v>28</v>
      </c>
      <c r="AI2581">
        <v>1</v>
      </c>
      <c r="AJ2581">
        <v>0</v>
      </c>
      <c r="AK2581">
        <v>158.15</v>
      </c>
      <c r="AN2581" t="s">
        <v>2926</v>
      </c>
      <c r="AO2581">
        <v>19200</v>
      </c>
      <c r="AU2581">
        <v>1.7</v>
      </c>
      <c r="AV2581" t="s">
        <v>395</v>
      </c>
      <c r="AW2581" t="s">
        <v>3084</v>
      </c>
    </row>
    <row r="2582" spans="1:50">
      <c r="A2582" s="1" t="s">
        <v>101</v>
      </c>
      <c r="B2582" t="s">
        <v>164</v>
      </c>
      <c r="C2582" t="s">
        <v>5792</v>
      </c>
      <c r="D2582" t="s">
        <v>264</v>
      </c>
      <c r="E2582" t="s">
        <v>224</v>
      </c>
      <c r="F2582" t="s">
        <v>7773</v>
      </c>
      <c r="G2582" t="s">
        <v>8183</v>
      </c>
      <c r="H2582" t="s">
        <v>9647</v>
      </c>
      <c r="I2582" t="s">
        <v>11422</v>
      </c>
      <c r="J2582" t="s">
        <v>1643</v>
      </c>
      <c r="K2582">
        <v>10035</v>
      </c>
      <c r="L2582" t="s">
        <v>1670</v>
      </c>
      <c r="M2582" t="s">
        <v>1670</v>
      </c>
      <c r="N2582" t="s">
        <v>12622</v>
      </c>
      <c r="O2582" t="s">
        <v>1936</v>
      </c>
      <c r="P2582" t="s">
        <v>1958</v>
      </c>
      <c r="Q2582" t="s">
        <v>1965</v>
      </c>
      <c r="R2582" t="s">
        <v>50</v>
      </c>
      <c r="S2582" t="s">
        <v>1671</v>
      </c>
      <c r="U2582" t="s">
        <v>1972</v>
      </c>
      <c r="V2582" t="s">
        <v>1984</v>
      </c>
      <c r="W2582" t="s">
        <v>13049</v>
      </c>
      <c r="X2582">
        <v>1800</v>
      </c>
      <c r="Y2582" t="s">
        <v>2008</v>
      </c>
      <c r="Z2582" t="s">
        <v>2011</v>
      </c>
      <c r="AA2582" t="s">
        <v>2029</v>
      </c>
      <c r="AB2582" t="s">
        <v>14851</v>
      </c>
      <c r="AD2582" t="s">
        <v>17255</v>
      </c>
      <c r="AE2582">
        <v>200</v>
      </c>
      <c r="AF2582" t="s">
        <v>2909</v>
      </c>
      <c r="AG2582" t="s">
        <v>2915</v>
      </c>
      <c r="AH2582">
        <v>6</v>
      </c>
      <c r="AI2582">
        <v>1</v>
      </c>
      <c r="AJ2582">
        <v>0</v>
      </c>
      <c r="AK2582">
        <v>158.15</v>
      </c>
      <c r="AN2582" t="s">
        <v>2926</v>
      </c>
      <c r="AO2582">
        <v>19200</v>
      </c>
      <c r="AU2582">
        <v>1.5</v>
      </c>
      <c r="AV2582" t="s">
        <v>335</v>
      </c>
      <c r="AW2582" t="s">
        <v>3066</v>
      </c>
    </row>
    <row r="2583" spans="1:50">
      <c r="A2583" s="1" t="s">
        <v>115</v>
      </c>
      <c r="B2583" t="s">
        <v>164</v>
      </c>
      <c r="C2583" t="s">
        <v>5793</v>
      </c>
      <c r="D2583" t="s">
        <v>292</v>
      </c>
      <c r="E2583" t="s">
        <v>297</v>
      </c>
      <c r="F2583" t="s">
        <v>508</v>
      </c>
      <c r="G2583" t="s">
        <v>9027</v>
      </c>
      <c r="H2583" t="s">
        <v>10577</v>
      </c>
      <c r="I2583" t="s">
        <v>11423</v>
      </c>
      <c r="J2583" t="s">
        <v>1641</v>
      </c>
      <c r="K2583">
        <v>10456</v>
      </c>
      <c r="L2583" t="s">
        <v>1670</v>
      </c>
      <c r="M2583" t="s">
        <v>1670</v>
      </c>
      <c r="O2583" t="s">
        <v>1675</v>
      </c>
      <c r="P2583" t="s">
        <v>1962</v>
      </c>
      <c r="Q2583" t="s">
        <v>1968</v>
      </c>
      <c r="R2583" t="s">
        <v>50</v>
      </c>
      <c r="S2583" t="s">
        <v>1671</v>
      </c>
      <c r="U2583" t="s">
        <v>1972</v>
      </c>
      <c r="W2583" t="s">
        <v>238</v>
      </c>
      <c r="X2583">
        <v>1296</v>
      </c>
      <c r="Y2583" t="s">
        <v>2006</v>
      </c>
      <c r="Z2583" t="s">
        <v>2015</v>
      </c>
      <c r="AA2583" t="s">
        <v>2030</v>
      </c>
      <c r="AB2583" t="s">
        <v>13247</v>
      </c>
      <c r="AD2583" t="s">
        <v>17256</v>
      </c>
      <c r="AE2583">
        <v>11</v>
      </c>
      <c r="AF2583" t="s">
        <v>2902</v>
      </c>
      <c r="AG2583" t="s">
        <v>1754</v>
      </c>
      <c r="AH2583">
        <v>2</v>
      </c>
      <c r="AI2583">
        <v>1</v>
      </c>
      <c r="AJ2583">
        <v>0</v>
      </c>
      <c r="AK2583">
        <v>158.15</v>
      </c>
      <c r="AN2583" t="s">
        <v>2926</v>
      </c>
      <c r="AO2583">
        <v>19200</v>
      </c>
      <c r="AU2583">
        <v>1.9</v>
      </c>
      <c r="AV2583" t="s">
        <v>297</v>
      </c>
      <c r="AW2583" t="s">
        <v>115</v>
      </c>
    </row>
    <row r="2584" spans="1:50">
      <c r="A2584" s="1" t="s">
        <v>65</v>
      </c>
      <c r="B2584" t="s">
        <v>163</v>
      </c>
      <c r="C2584" t="s">
        <v>5794</v>
      </c>
      <c r="D2584" t="s">
        <v>196</v>
      </c>
      <c r="F2584" t="s">
        <v>6851</v>
      </c>
      <c r="G2584" t="s">
        <v>8894</v>
      </c>
      <c r="H2584" t="s">
        <v>10413</v>
      </c>
      <c r="I2584" t="s">
        <v>11424</v>
      </c>
      <c r="J2584" t="s">
        <v>1644</v>
      </c>
      <c r="K2584">
        <v>11215</v>
      </c>
      <c r="L2584" t="s">
        <v>1670</v>
      </c>
      <c r="M2584" t="s">
        <v>1672</v>
      </c>
      <c r="P2584" t="s">
        <v>1962</v>
      </c>
      <c r="R2584" t="s">
        <v>50</v>
      </c>
      <c r="U2584" t="s">
        <v>1972</v>
      </c>
      <c r="W2584" t="s">
        <v>196</v>
      </c>
      <c r="X2584">
        <v>153.7</v>
      </c>
      <c r="Y2584" t="s">
        <v>2009</v>
      </c>
      <c r="Z2584" t="s">
        <v>2020</v>
      </c>
      <c r="AB2584" t="s">
        <v>14852</v>
      </c>
      <c r="AD2584" t="s">
        <v>17047</v>
      </c>
      <c r="AE2584">
        <v>3</v>
      </c>
      <c r="AH2584">
        <v>6</v>
      </c>
      <c r="AI2584">
        <v>1</v>
      </c>
      <c r="AJ2584">
        <v>0</v>
      </c>
      <c r="AK2584">
        <v>158.15</v>
      </c>
      <c r="AN2584" t="s">
        <v>2926</v>
      </c>
      <c r="AO2584">
        <v>19200</v>
      </c>
      <c r="AU2584">
        <v>7.9</v>
      </c>
      <c r="AV2584" t="s">
        <v>405</v>
      </c>
      <c r="AW2584" t="s">
        <v>3049</v>
      </c>
      <c r="AX2584" t="s">
        <v>18685</v>
      </c>
    </row>
    <row r="2585" spans="1:50">
      <c r="A2585" s="1" t="s">
        <v>90</v>
      </c>
      <c r="B2585" t="s">
        <v>164</v>
      </c>
      <c r="C2585" t="s">
        <v>5795</v>
      </c>
      <c r="D2585" t="s">
        <v>360</v>
      </c>
      <c r="E2585" t="s">
        <v>304</v>
      </c>
      <c r="F2585" t="s">
        <v>695</v>
      </c>
      <c r="G2585" t="s">
        <v>9028</v>
      </c>
      <c r="H2585" t="s">
        <v>10578</v>
      </c>
      <c r="I2585" t="s">
        <v>11425</v>
      </c>
      <c r="J2585" t="s">
        <v>1646</v>
      </c>
      <c r="K2585">
        <v>10304</v>
      </c>
      <c r="L2585" t="s">
        <v>1670</v>
      </c>
      <c r="M2585" t="s">
        <v>1670</v>
      </c>
      <c r="N2585" t="s">
        <v>12623</v>
      </c>
      <c r="O2585" t="s">
        <v>1940</v>
      </c>
      <c r="P2585" t="s">
        <v>1960</v>
      </c>
      <c r="Q2585" t="s">
        <v>1969</v>
      </c>
      <c r="R2585" t="s">
        <v>50</v>
      </c>
      <c r="S2585" t="s">
        <v>1671</v>
      </c>
      <c r="U2585" t="s">
        <v>1972</v>
      </c>
      <c r="V2585" t="s">
        <v>1984</v>
      </c>
      <c r="W2585" t="s">
        <v>360</v>
      </c>
      <c r="X2585">
        <v>1306</v>
      </c>
      <c r="Y2585" t="s">
        <v>2010</v>
      </c>
      <c r="Z2585" t="s">
        <v>2017</v>
      </c>
      <c r="AA2585" t="s">
        <v>2033</v>
      </c>
      <c r="AB2585" t="s">
        <v>14853</v>
      </c>
      <c r="AD2585" t="s">
        <v>16901</v>
      </c>
      <c r="AE2585">
        <v>3</v>
      </c>
      <c r="AF2585" t="s">
        <v>2904</v>
      </c>
      <c r="AG2585" t="s">
        <v>1754</v>
      </c>
      <c r="AH2585">
        <v>13</v>
      </c>
      <c r="AI2585">
        <v>1</v>
      </c>
      <c r="AJ2585">
        <v>0</v>
      </c>
      <c r="AK2585">
        <v>158.15</v>
      </c>
      <c r="AN2585" t="s">
        <v>2926</v>
      </c>
      <c r="AO2585">
        <v>19200</v>
      </c>
      <c r="AQ2585" t="s">
        <v>18423</v>
      </c>
      <c r="AR2585" t="s">
        <v>18469</v>
      </c>
      <c r="AS2585" t="s">
        <v>2993</v>
      </c>
      <c r="AT2585" t="s">
        <v>18602</v>
      </c>
      <c r="AU2585">
        <v>4.5</v>
      </c>
      <c r="AV2585" t="s">
        <v>344</v>
      </c>
      <c r="AW2585" t="s">
        <v>3062</v>
      </c>
    </row>
    <row r="2586" spans="1:50">
      <c r="A2586" s="1" t="s">
        <v>61</v>
      </c>
      <c r="B2586" t="s">
        <v>163</v>
      </c>
      <c r="C2586" t="s">
        <v>5796</v>
      </c>
      <c r="D2586" t="s">
        <v>364</v>
      </c>
      <c r="F2586" t="s">
        <v>7774</v>
      </c>
      <c r="G2586" t="s">
        <v>6881</v>
      </c>
      <c r="H2586" t="s">
        <v>9387</v>
      </c>
      <c r="I2586" t="s">
        <v>1571</v>
      </c>
      <c r="J2586" t="s">
        <v>1644</v>
      </c>
      <c r="K2586">
        <v>11226</v>
      </c>
      <c r="L2586" t="s">
        <v>1670</v>
      </c>
      <c r="M2586" t="s">
        <v>1672</v>
      </c>
      <c r="N2586" t="s">
        <v>11999</v>
      </c>
      <c r="O2586" t="s">
        <v>1939</v>
      </c>
      <c r="P2586" t="s">
        <v>1960</v>
      </c>
      <c r="R2586" t="s">
        <v>50</v>
      </c>
      <c r="S2586" t="s">
        <v>1670</v>
      </c>
      <c r="U2586" t="s">
        <v>1972</v>
      </c>
      <c r="V2586" t="s">
        <v>1984</v>
      </c>
      <c r="W2586" t="s">
        <v>364</v>
      </c>
      <c r="X2586">
        <v>1150</v>
      </c>
      <c r="Y2586" t="s">
        <v>2009</v>
      </c>
      <c r="Z2586" t="s">
        <v>2016</v>
      </c>
      <c r="AB2586" t="s">
        <v>14854</v>
      </c>
      <c r="AD2586" t="s">
        <v>17257</v>
      </c>
      <c r="AE2586">
        <v>36</v>
      </c>
      <c r="AF2586" t="s">
        <v>2902</v>
      </c>
      <c r="AH2586">
        <v>13</v>
      </c>
      <c r="AI2586">
        <v>3</v>
      </c>
      <c r="AJ2586">
        <v>0</v>
      </c>
      <c r="AK2586">
        <v>158.46</v>
      </c>
      <c r="AN2586" t="s">
        <v>18045</v>
      </c>
      <c r="AO2586">
        <v>33800</v>
      </c>
      <c r="AU2586">
        <v>0.2</v>
      </c>
      <c r="AV2586" t="s">
        <v>364</v>
      </c>
      <c r="AW2586" t="s">
        <v>69</v>
      </c>
    </row>
    <row r="2587" spans="1:50">
      <c r="A2587" s="1" t="s">
        <v>3182</v>
      </c>
      <c r="B2587" t="s">
        <v>163</v>
      </c>
      <c r="C2587" t="s">
        <v>5797</v>
      </c>
      <c r="D2587" t="s">
        <v>3031</v>
      </c>
      <c r="F2587" t="s">
        <v>7775</v>
      </c>
      <c r="G2587" t="s">
        <v>9029</v>
      </c>
      <c r="H2587" t="s">
        <v>10579</v>
      </c>
      <c r="I2587" t="s">
        <v>1590</v>
      </c>
      <c r="J2587" t="s">
        <v>1641</v>
      </c>
      <c r="K2587">
        <v>10467</v>
      </c>
      <c r="L2587" t="s">
        <v>1670</v>
      </c>
      <c r="M2587" t="s">
        <v>1672</v>
      </c>
      <c r="O2587" t="s">
        <v>1945</v>
      </c>
      <c r="P2587" t="s">
        <v>1959</v>
      </c>
      <c r="R2587" t="s">
        <v>50</v>
      </c>
      <c r="S2587" t="s">
        <v>1671</v>
      </c>
      <c r="U2587" t="s">
        <v>1980</v>
      </c>
      <c r="W2587" t="s">
        <v>1991</v>
      </c>
      <c r="X2587">
        <v>1238.17</v>
      </c>
      <c r="Y2587" t="s">
        <v>2006</v>
      </c>
      <c r="Z2587" t="s">
        <v>2021</v>
      </c>
      <c r="AB2587" t="s">
        <v>14855</v>
      </c>
      <c r="AD2587" t="s">
        <v>17258</v>
      </c>
      <c r="AE2587">
        <v>26</v>
      </c>
      <c r="AF2587" t="s">
        <v>2902</v>
      </c>
      <c r="AG2587" t="s">
        <v>1754</v>
      </c>
      <c r="AH2587">
        <v>4</v>
      </c>
      <c r="AI2587">
        <v>2</v>
      </c>
      <c r="AJ2587">
        <v>0</v>
      </c>
      <c r="AK2587">
        <v>158.58</v>
      </c>
      <c r="AN2587" t="s">
        <v>2926</v>
      </c>
      <c r="AO2587">
        <v>26816.52</v>
      </c>
      <c r="AP2587" t="s">
        <v>18353</v>
      </c>
      <c r="AU2587">
        <v>1</v>
      </c>
      <c r="AV2587" t="s">
        <v>171</v>
      </c>
      <c r="AW2587" t="s">
        <v>3054</v>
      </c>
      <c r="AX2587" t="s">
        <v>18685</v>
      </c>
    </row>
    <row r="2588" spans="1:50">
      <c r="A2588" s="1" t="s">
        <v>73</v>
      </c>
      <c r="B2588" t="s">
        <v>163</v>
      </c>
      <c r="C2588" t="s">
        <v>5798</v>
      </c>
      <c r="D2588" t="s">
        <v>217</v>
      </c>
      <c r="F2588" t="s">
        <v>6955</v>
      </c>
      <c r="G2588" t="s">
        <v>912</v>
      </c>
      <c r="H2588" t="s">
        <v>1293</v>
      </c>
      <c r="I2588">
        <v>40</v>
      </c>
      <c r="J2588" t="s">
        <v>1645</v>
      </c>
      <c r="K2588">
        <v>11691</v>
      </c>
      <c r="L2588" t="s">
        <v>1670</v>
      </c>
      <c r="M2588" t="s">
        <v>1670</v>
      </c>
      <c r="O2588" t="s">
        <v>1938</v>
      </c>
      <c r="P2588" t="s">
        <v>1962</v>
      </c>
      <c r="R2588" t="s">
        <v>50</v>
      </c>
      <c r="S2588" t="s">
        <v>1670</v>
      </c>
      <c r="U2588" t="s">
        <v>1972</v>
      </c>
      <c r="W2588" t="s">
        <v>217</v>
      </c>
      <c r="X2588">
        <v>660</v>
      </c>
      <c r="Y2588" t="s">
        <v>2007</v>
      </c>
      <c r="Z2588" t="s">
        <v>2014</v>
      </c>
      <c r="AB2588" t="s">
        <v>14856</v>
      </c>
      <c r="AD2588" t="s">
        <v>17259</v>
      </c>
      <c r="AE2588">
        <v>43</v>
      </c>
      <c r="AH2588">
        <v>40</v>
      </c>
      <c r="AI2588">
        <v>2</v>
      </c>
      <c r="AJ2588">
        <v>0</v>
      </c>
      <c r="AK2588">
        <v>158.6</v>
      </c>
      <c r="AN2588" t="s">
        <v>2926</v>
      </c>
      <c r="AO2588">
        <v>26820</v>
      </c>
      <c r="AU2588" t="s">
        <v>13051</v>
      </c>
      <c r="AW2588" t="s">
        <v>3073</v>
      </c>
    </row>
    <row r="2589" spans="1:50">
      <c r="A2589" s="1" t="s">
        <v>54</v>
      </c>
      <c r="B2589" t="s">
        <v>164</v>
      </c>
      <c r="C2589" t="s">
        <v>5799</v>
      </c>
      <c r="D2589" t="s">
        <v>175</v>
      </c>
      <c r="E2589" t="s">
        <v>207</v>
      </c>
      <c r="F2589" t="s">
        <v>6937</v>
      </c>
      <c r="G2589" t="s">
        <v>1077</v>
      </c>
      <c r="H2589" t="s">
        <v>10580</v>
      </c>
      <c r="I2589" t="s">
        <v>11080</v>
      </c>
      <c r="J2589" t="s">
        <v>1643</v>
      </c>
      <c r="K2589">
        <v>10034</v>
      </c>
      <c r="L2589" t="s">
        <v>1670</v>
      </c>
      <c r="M2589" t="s">
        <v>1670</v>
      </c>
      <c r="O2589" t="s">
        <v>1949</v>
      </c>
      <c r="P2589" t="s">
        <v>1958</v>
      </c>
      <c r="Q2589" t="s">
        <v>1965</v>
      </c>
      <c r="R2589" t="s">
        <v>50</v>
      </c>
      <c r="S2589" t="s">
        <v>1671</v>
      </c>
      <c r="U2589" t="s">
        <v>1972</v>
      </c>
      <c r="W2589" t="s">
        <v>175</v>
      </c>
      <c r="X2589">
        <v>1636.08</v>
      </c>
      <c r="Y2589" t="s">
        <v>2008</v>
      </c>
      <c r="Z2589" t="s">
        <v>2013</v>
      </c>
      <c r="AA2589" t="s">
        <v>2029</v>
      </c>
      <c r="AB2589" t="s">
        <v>14857</v>
      </c>
      <c r="AD2589" t="s">
        <v>17260</v>
      </c>
      <c r="AE2589">
        <v>72</v>
      </c>
      <c r="AF2589" t="s">
        <v>2902</v>
      </c>
      <c r="AG2589" t="s">
        <v>1754</v>
      </c>
      <c r="AH2589">
        <v>18</v>
      </c>
      <c r="AI2589">
        <v>4</v>
      </c>
      <c r="AJ2589">
        <v>0</v>
      </c>
      <c r="AK2589">
        <v>159.36</v>
      </c>
      <c r="AN2589" t="s">
        <v>2927</v>
      </c>
      <c r="AO2589">
        <v>40000</v>
      </c>
      <c r="AU2589">
        <v>2.5</v>
      </c>
      <c r="AV2589" t="s">
        <v>180</v>
      </c>
      <c r="AW2589" t="s">
        <v>3042</v>
      </c>
    </row>
    <row r="2590" spans="1:50">
      <c r="A2590" s="1" t="s">
        <v>89</v>
      </c>
      <c r="B2590" t="s">
        <v>163</v>
      </c>
      <c r="C2590" t="s">
        <v>5800</v>
      </c>
      <c r="D2590" t="s">
        <v>200</v>
      </c>
      <c r="F2590" t="s">
        <v>7776</v>
      </c>
      <c r="G2590" t="s">
        <v>9030</v>
      </c>
      <c r="H2590" t="s">
        <v>10581</v>
      </c>
      <c r="I2590">
        <v>302</v>
      </c>
      <c r="J2590" t="s">
        <v>1649</v>
      </c>
      <c r="K2590">
        <v>11692</v>
      </c>
      <c r="L2590" t="s">
        <v>1670</v>
      </c>
      <c r="M2590" t="s">
        <v>1670</v>
      </c>
      <c r="N2590" t="s">
        <v>12624</v>
      </c>
      <c r="O2590" t="s">
        <v>1936</v>
      </c>
      <c r="P2590" t="s">
        <v>1958</v>
      </c>
      <c r="R2590" t="s">
        <v>50</v>
      </c>
      <c r="S2590" t="s">
        <v>1671</v>
      </c>
      <c r="U2590" t="s">
        <v>1972</v>
      </c>
      <c r="V2590" t="s">
        <v>1987</v>
      </c>
      <c r="W2590" t="s">
        <v>200</v>
      </c>
      <c r="X2590">
        <v>1325</v>
      </c>
      <c r="Y2590" t="s">
        <v>2007</v>
      </c>
      <c r="Z2590" t="s">
        <v>2014</v>
      </c>
      <c r="AB2590" t="s">
        <v>14858</v>
      </c>
      <c r="AC2590" t="s">
        <v>15292</v>
      </c>
      <c r="AD2590" t="s">
        <v>17261</v>
      </c>
      <c r="AE2590">
        <v>8</v>
      </c>
      <c r="AF2590" t="s">
        <v>2902</v>
      </c>
      <c r="AG2590" t="s">
        <v>1754</v>
      </c>
      <c r="AH2590">
        <v>20</v>
      </c>
      <c r="AI2590">
        <v>4</v>
      </c>
      <c r="AJ2590">
        <v>0</v>
      </c>
      <c r="AK2590">
        <v>159.4</v>
      </c>
      <c r="AN2590" t="s">
        <v>2926</v>
      </c>
      <c r="AO2590">
        <v>40010</v>
      </c>
      <c r="AU2590">
        <v>2</v>
      </c>
      <c r="AV2590" t="s">
        <v>342</v>
      </c>
      <c r="AW2590" t="s">
        <v>89</v>
      </c>
    </row>
    <row r="2591" spans="1:50">
      <c r="A2591" s="1" t="s">
        <v>3187</v>
      </c>
      <c r="B2591" t="s">
        <v>164</v>
      </c>
      <c r="C2591" t="s">
        <v>5801</v>
      </c>
      <c r="D2591" t="s">
        <v>349</v>
      </c>
      <c r="E2591" t="s">
        <v>376</v>
      </c>
      <c r="F2591" t="s">
        <v>513</v>
      </c>
      <c r="G2591" t="s">
        <v>7616</v>
      </c>
      <c r="H2591" t="s">
        <v>1332</v>
      </c>
      <c r="I2591">
        <v>1206</v>
      </c>
      <c r="J2591" t="s">
        <v>1649</v>
      </c>
      <c r="K2591">
        <v>11692</v>
      </c>
      <c r="L2591" t="s">
        <v>1670</v>
      </c>
      <c r="M2591" t="s">
        <v>1670</v>
      </c>
      <c r="N2591" t="s">
        <v>11921</v>
      </c>
      <c r="O2591" t="s">
        <v>1942</v>
      </c>
      <c r="P2591" t="s">
        <v>1962</v>
      </c>
      <c r="Q2591" t="s">
        <v>1968</v>
      </c>
      <c r="R2591" t="s">
        <v>50</v>
      </c>
      <c r="S2591" t="s">
        <v>1671</v>
      </c>
      <c r="U2591" t="s">
        <v>1972</v>
      </c>
      <c r="V2591" t="s">
        <v>1984</v>
      </c>
      <c r="W2591" t="s">
        <v>349</v>
      </c>
      <c r="X2591">
        <v>1500</v>
      </c>
      <c r="Y2591" t="s">
        <v>2007</v>
      </c>
      <c r="Z2591" t="s">
        <v>2025</v>
      </c>
      <c r="AA2591" t="s">
        <v>2038</v>
      </c>
      <c r="AB2591" t="s">
        <v>14859</v>
      </c>
      <c r="AD2591" t="s">
        <v>17262</v>
      </c>
      <c r="AE2591">
        <v>100</v>
      </c>
      <c r="AF2591" t="s">
        <v>2909</v>
      </c>
      <c r="AG2591" t="s">
        <v>2915</v>
      </c>
      <c r="AH2591">
        <v>6</v>
      </c>
      <c r="AI2591">
        <v>1</v>
      </c>
      <c r="AJ2591">
        <v>0</v>
      </c>
      <c r="AK2591">
        <v>159.55</v>
      </c>
      <c r="AN2591" t="s">
        <v>2926</v>
      </c>
      <c r="AO2591">
        <v>19369.24</v>
      </c>
      <c r="AU2591">
        <v>4.35</v>
      </c>
      <c r="AV2591" t="s">
        <v>245</v>
      </c>
      <c r="AW2591" t="s">
        <v>3071</v>
      </c>
    </row>
    <row r="2592" spans="1:50">
      <c r="A2592" s="1" t="s">
        <v>82</v>
      </c>
      <c r="B2592" t="s">
        <v>163</v>
      </c>
      <c r="C2592" t="s">
        <v>5802</v>
      </c>
      <c r="D2592" t="s">
        <v>181</v>
      </c>
      <c r="F2592" t="s">
        <v>7777</v>
      </c>
      <c r="G2592" t="s">
        <v>9031</v>
      </c>
      <c r="H2592" t="s">
        <v>9420</v>
      </c>
      <c r="I2592" t="s">
        <v>1591</v>
      </c>
      <c r="J2592" t="s">
        <v>1644</v>
      </c>
      <c r="K2592">
        <v>11233</v>
      </c>
      <c r="L2592" t="s">
        <v>1670</v>
      </c>
      <c r="M2592" t="s">
        <v>1671</v>
      </c>
      <c r="O2592" t="s">
        <v>1937</v>
      </c>
      <c r="P2592" t="s">
        <v>1962</v>
      </c>
      <c r="R2592" t="s">
        <v>50</v>
      </c>
      <c r="S2592" t="s">
        <v>1670</v>
      </c>
      <c r="U2592" t="s">
        <v>1972</v>
      </c>
      <c r="V2592" t="s">
        <v>1984</v>
      </c>
      <c r="W2592" t="s">
        <v>221</v>
      </c>
      <c r="X2592">
        <v>1034</v>
      </c>
      <c r="Y2592" t="s">
        <v>2009</v>
      </c>
      <c r="Z2592" t="s">
        <v>2017</v>
      </c>
      <c r="AB2592" t="s">
        <v>14860</v>
      </c>
      <c r="AE2592">
        <v>359</v>
      </c>
      <c r="AF2592" t="s">
        <v>2902</v>
      </c>
      <c r="AG2592" t="s">
        <v>1754</v>
      </c>
      <c r="AH2592">
        <v>37</v>
      </c>
      <c r="AI2592">
        <v>2</v>
      </c>
      <c r="AJ2592">
        <v>0</v>
      </c>
      <c r="AK2592">
        <v>159.67</v>
      </c>
      <c r="AN2592" t="s">
        <v>2926</v>
      </c>
      <c r="AO2592">
        <v>27000</v>
      </c>
      <c r="AP2592" t="s">
        <v>18354</v>
      </c>
      <c r="AU2592" t="s">
        <v>13051</v>
      </c>
      <c r="AW2592" t="s">
        <v>3059</v>
      </c>
    </row>
    <row r="2593" spans="1:50">
      <c r="A2593" s="1" t="s">
        <v>82</v>
      </c>
      <c r="B2593" t="s">
        <v>163</v>
      </c>
      <c r="C2593" t="s">
        <v>5803</v>
      </c>
      <c r="D2593" t="s">
        <v>210</v>
      </c>
      <c r="F2593" t="s">
        <v>7777</v>
      </c>
      <c r="G2593" t="s">
        <v>9031</v>
      </c>
      <c r="H2593" t="s">
        <v>9420</v>
      </c>
      <c r="I2593" t="s">
        <v>1591</v>
      </c>
      <c r="J2593" t="s">
        <v>1644</v>
      </c>
      <c r="K2593">
        <v>11233</v>
      </c>
      <c r="L2593" t="s">
        <v>1670</v>
      </c>
      <c r="M2593" t="s">
        <v>1671</v>
      </c>
      <c r="O2593" t="s">
        <v>1938</v>
      </c>
      <c r="P2593" t="s">
        <v>1961</v>
      </c>
      <c r="R2593" t="s">
        <v>50</v>
      </c>
      <c r="S2593" t="s">
        <v>1670</v>
      </c>
      <c r="U2593" t="s">
        <v>1972</v>
      </c>
      <c r="V2593" t="s">
        <v>1984</v>
      </c>
      <c r="W2593" t="s">
        <v>221</v>
      </c>
      <c r="X2593">
        <v>1034</v>
      </c>
      <c r="Y2593" t="s">
        <v>2009</v>
      </c>
      <c r="Z2593" t="s">
        <v>2017</v>
      </c>
      <c r="AB2593" t="s">
        <v>14860</v>
      </c>
      <c r="AE2593">
        <v>359</v>
      </c>
      <c r="AF2593" t="s">
        <v>2902</v>
      </c>
      <c r="AG2593" t="s">
        <v>1754</v>
      </c>
      <c r="AH2593">
        <v>37</v>
      </c>
      <c r="AI2593">
        <v>2</v>
      </c>
      <c r="AJ2593">
        <v>0</v>
      </c>
      <c r="AK2593">
        <v>159.67</v>
      </c>
      <c r="AN2593" t="s">
        <v>2926</v>
      </c>
      <c r="AO2593">
        <v>27000</v>
      </c>
      <c r="AP2593" t="s">
        <v>18097</v>
      </c>
      <c r="AU2593" t="s">
        <v>13051</v>
      </c>
      <c r="AW2593" t="s">
        <v>3059</v>
      </c>
    </row>
    <row r="2594" spans="1:50">
      <c r="A2594" s="1" t="s">
        <v>52</v>
      </c>
      <c r="B2594" t="s">
        <v>164</v>
      </c>
      <c r="C2594" t="s">
        <v>5804</v>
      </c>
      <c r="D2594" t="s">
        <v>337</v>
      </c>
      <c r="E2594" t="s">
        <v>337</v>
      </c>
      <c r="F2594" t="s">
        <v>7778</v>
      </c>
      <c r="G2594" t="s">
        <v>8074</v>
      </c>
      <c r="H2594" t="s">
        <v>10582</v>
      </c>
      <c r="J2594" t="s">
        <v>1641</v>
      </c>
      <c r="K2594">
        <v>10458</v>
      </c>
      <c r="L2594" t="s">
        <v>1670</v>
      </c>
      <c r="M2594" t="s">
        <v>1672</v>
      </c>
      <c r="N2594" t="s">
        <v>1691</v>
      </c>
      <c r="O2594" t="s">
        <v>1936</v>
      </c>
      <c r="P2594" t="s">
        <v>1958</v>
      </c>
      <c r="Q2594" t="s">
        <v>1965</v>
      </c>
      <c r="R2594" t="s">
        <v>50</v>
      </c>
      <c r="S2594" t="s">
        <v>1671</v>
      </c>
      <c r="U2594" t="s">
        <v>1972</v>
      </c>
      <c r="V2594" t="s">
        <v>1984</v>
      </c>
      <c r="W2594" t="s">
        <v>337</v>
      </c>
      <c r="X2594">
        <v>1500</v>
      </c>
      <c r="Y2594" t="s">
        <v>2006</v>
      </c>
      <c r="Z2594" t="s">
        <v>2015</v>
      </c>
      <c r="AA2594" t="s">
        <v>2029</v>
      </c>
      <c r="AB2594" t="s">
        <v>14861</v>
      </c>
      <c r="AD2594" t="s">
        <v>17263</v>
      </c>
      <c r="AE2594" t="s">
        <v>13051</v>
      </c>
      <c r="AF2594" t="s">
        <v>2902</v>
      </c>
      <c r="AG2594" t="s">
        <v>1754</v>
      </c>
      <c r="AH2594">
        <v>2</v>
      </c>
      <c r="AI2594">
        <v>1</v>
      </c>
      <c r="AJ2594">
        <v>0</v>
      </c>
      <c r="AK2594">
        <v>160.13</v>
      </c>
      <c r="AN2594" t="s">
        <v>2927</v>
      </c>
      <c r="AO2594">
        <v>20000</v>
      </c>
      <c r="AU2594">
        <v>1</v>
      </c>
      <c r="AV2594" t="s">
        <v>179</v>
      </c>
      <c r="AW2594" t="s">
        <v>3045</v>
      </c>
      <c r="AX2594" t="s">
        <v>18685</v>
      </c>
    </row>
    <row r="2595" spans="1:50">
      <c r="A2595" s="1" t="s">
        <v>83</v>
      </c>
      <c r="B2595" t="s">
        <v>164</v>
      </c>
      <c r="C2595" t="s">
        <v>5805</v>
      </c>
      <c r="D2595" t="s">
        <v>206</v>
      </c>
      <c r="E2595" t="s">
        <v>379</v>
      </c>
      <c r="F2595" t="s">
        <v>453</v>
      </c>
      <c r="G2595" t="s">
        <v>9032</v>
      </c>
      <c r="H2595" t="s">
        <v>10583</v>
      </c>
      <c r="I2595" t="s">
        <v>1475</v>
      </c>
      <c r="J2595" t="s">
        <v>1643</v>
      </c>
      <c r="K2595">
        <v>10025</v>
      </c>
      <c r="L2595" t="s">
        <v>1670</v>
      </c>
      <c r="M2595" t="s">
        <v>1672</v>
      </c>
      <c r="O2595" t="s">
        <v>1675</v>
      </c>
      <c r="P2595" t="s">
        <v>1958</v>
      </c>
      <c r="Q2595" t="s">
        <v>1965</v>
      </c>
      <c r="R2595" t="s">
        <v>50</v>
      </c>
      <c r="S2595" t="s">
        <v>1671</v>
      </c>
      <c r="U2595" t="s">
        <v>1972</v>
      </c>
      <c r="V2595" t="s">
        <v>1984</v>
      </c>
      <c r="W2595" t="s">
        <v>206</v>
      </c>
      <c r="X2595">
        <v>1650</v>
      </c>
      <c r="Y2595" t="s">
        <v>2008</v>
      </c>
      <c r="Z2595" t="s">
        <v>2019</v>
      </c>
      <c r="AA2595" t="s">
        <v>2029</v>
      </c>
      <c r="AB2595" t="s">
        <v>14862</v>
      </c>
      <c r="AD2595" t="s">
        <v>17264</v>
      </c>
      <c r="AE2595">
        <v>18</v>
      </c>
      <c r="AF2595" t="s">
        <v>2904</v>
      </c>
      <c r="AG2595" t="s">
        <v>1754</v>
      </c>
      <c r="AH2595">
        <v>2</v>
      </c>
      <c r="AI2595">
        <v>1</v>
      </c>
      <c r="AJ2595">
        <v>0</v>
      </c>
      <c r="AK2595">
        <v>160.13</v>
      </c>
      <c r="AN2595" t="s">
        <v>2926</v>
      </c>
      <c r="AO2595">
        <v>20000</v>
      </c>
      <c r="AU2595">
        <v>1.4</v>
      </c>
      <c r="AV2595" t="s">
        <v>392</v>
      </c>
      <c r="AW2595" t="s">
        <v>3051</v>
      </c>
      <c r="AX2595" t="s">
        <v>18685</v>
      </c>
    </row>
    <row r="2596" spans="1:50">
      <c r="A2596" s="1" t="s">
        <v>118</v>
      </c>
      <c r="B2596" t="s">
        <v>163</v>
      </c>
      <c r="C2596" t="s">
        <v>5806</v>
      </c>
      <c r="D2596" t="s">
        <v>203</v>
      </c>
      <c r="F2596" t="s">
        <v>544</v>
      </c>
      <c r="G2596" t="s">
        <v>8025</v>
      </c>
      <c r="H2596" t="s">
        <v>10584</v>
      </c>
      <c r="I2596" t="s">
        <v>11098</v>
      </c>
      <c r="J2596" t="s">
        <v>1641</v>
      </c>
      <c r="K2596">
        <v>10452</v>
      </c>
      <c r="L2596" t="s">
        <v>1670</v>
      </c>
      <c r="M2596" t="s">
        <v>1670</v>
      </c>
      <c r="N2596" t="s">
        <v>12625</v>
      </c>
      <c r="O2596" t="s">
        <v>1936</v>
      </c>
      <c r="P2596" t="s">
        <v>1958</v>
      </c>
      <c r="R2596" t="s">
        <v>50</v>
      </c>
      <c r="S2596" t="s">
        <v>1671</v>
      </c>
      <c r="U2596" t="s">
        <v>1972</v>
      </c>
      <c r="V2596" t="s">
        <v>1983</v>
      </c>
      <c r="W2596" t="s">
        <v>203</v>
      </c>
      <c r="X2596">
        <v>1023</v>
      </c>
      <c r="Y2596" t="s">
        <v>2006</v>
      </c>
      <c r="Z2596" t="s">
        <v>2013</v>
      </c>
      <c r="AD2596" t="s">
        <v>17265</v>
      </c>
      <c r="AE2596" t="s">
        <v>13051</v>
      </c>
      <c r="AF2596" t="s">
        <v>2902</v>
      </c>
      <c r="AH2596">
        <v>18</v>
      </c>
      <c r="AI2596">
        <v>1</v>
      </c>
      <c r="AJ2596">
        <v>0</v>
      </c>
      <c r="AK2596">
        <v>160.13</v>
      </c>
      <c r="AN2596" t="s">
        <v>2927</v>
      </c>
      <c r="AO2596">
        <v>20000</v>
      </c>
      <c r="AU2596">
        <v>1</v>
      </c>
      <c r="AV2596" t="s">
        <v>203</v>
      </c>
      <c r="AW2596" t="s">
        <v>118</v>
      </c>
      <c r="AX2596" t="s">
        <v>18685</v>
      </c>
    </row>
    <row r="2597" spans="1:50">
      <c r="A2597" s="1" t="s">
        <v>82</v>
      </c>
      <c r="B2597" t="s">
        <v>163</v>
      </c>
      <c r="C2597" t="s">
        <v>5807</v>
      </c>
      <c r="D2597" t="s">
        <v>293</v>
      </c>
      <c r="F2597" t="s">
        <v>7567</v>
      </c>
      <c r="G2597" t="s">
        <v>9033</v>
      </c>
      <c r="H2597" t="s">
        <v>9442</v>
      </c>
      <c r="I2597" t="s">
        <v>11426</v>
      </c>
      <c r="J2597" t="s">
        <v>1644</v>
      </c>
      <c r="K2597">
        <v>11233</v>
      </c>
      <c r="L2597" t="s">
        <v>1670</v>
      </c>
      <c r="M2597" t="s">
        <v>1671</v>
      </c>
      <c r="O2597" t="s">
        <v>1937</v>
      </c>
      <c r="P2597" t="s">
        <v>1962</v>
      </c>
      <c r="R2597" t="s">
        <v>50</v>
      </c>
      <c r="S2597" t="s">
        <v>1670</v>
      </c>
      <c r="U2597" t="s">
        <v>1972</v>
      </c>
      <c r="V2597" t="s">
        <v>1984</v>
      </c>
      <c r="W2597" t="s">
        <v>221</v>
      </c>
      <c r="X2597">
        <v>628.51</v>
      </c>
      <c r="Y2597" t="s">
        <v>2009</v>
      </c>
      <c r="Z2597" t="s">
        <v>2017</v>
      </c>
      <c r="AB2597" t="s">
        <v>14863</v>
      </c>
      <c r="AE2597">
        <v>359</v>
      </c>
      <c r="AF2597" t="s">
        <v>2902</v>
      </c>
      <c r="AH2597">
        <v>7</v>
      </c>
      <c r="AI2597">
        <v>1</v>
      </c>
      <c r="AJ2597">
        <v>0</v>
      </c>
      <c r="AK2597">
        <v>160.13</v>
      </c>
      <c r="AN2597" t="s">
        <v>2926</v>
      </c>
      <c r="AO2597">
        <v>20000</v>
      </c>
      <c r="AP2597" t="s">
        <v>18355</v>
      </c>
      <c r="AU2597" t="s">
        <v>13051</v>
      </c>
      <c r="AW2597" t="s">
        <v>3059</v>
      </c>
    </row>
    <row r="2598" spans="1:50">
      <c r="A2598" s="1" t="s">
        <v>101</v>
      </c>
      <c r="B2598" t="s">
        <v>163</v>
      </c>
      <c r="C2598" t="s">
        <v>5808</v>
      </c>
      <c r="D2598" t="s">
        <v>385</v>
      </c>
      <c r="F2598" t="s">
        <v>438</v>
      </c>
      <c r="G2598" t="s">
        <v>6919</v>
      </c>
      <c r="H2598" t="s">
        <v>1173</v>
      </c>
      <c r="I2598" t="s">
        <v>11002</v>
      </c>
      <c r="J2598" t="s">
        <v>1643</v>
      </c>
      <c r="K2598">
        <v>10035</v>
      </c>
      <c r="L2598" t="s">
        <v>1670</v>
      </c>
      <c r="M2598" t="s">
        <v>1670</v>
      </c>
      <c r="O2598" t="s">
        <v>1675</v>
      </c>
      <c r="P2598" t="s">
        <v>1962</v>
      </c>
      <c r="R2598" t="s">
        <v>50</v>
      </c>
      <c r="S2598" t="s">
        <v>1670</v>
      </c>
      <c r="U2598" t="s">
        <v>1972</v>
      </c>
      <c r="V2598" t="s">
        <v>1984</v>
      </c>
      <c r="W2598" t="s">
        <v>385</v>
      </c>
      <c r="X2598">
        <v>552</v>
      </c>
      <c r="Y2598" t="s">
        <v>2008</v>
      </c>
      <c r="Z2598" t="s">
        <v>2019</v>
      </c>
      <c r="AB2598" t="s">
        <v>14864</v>
      </c>
      <c r="AE2598">
        <v>60</v>
      </c>
      <c r="AF2598" t="s">
        <v>2902</v>
      </c>
      <c r="AG2598" t="s">
        <v>2915</v>
      </c>
      <c r="AH2598">
        <v>14</v>
      </c>
      <c r="AI2598">
        <v>1</v>
      </c>
      <c r="AJ2598">
        <v>0</v>
      </c>
      <c r="AK2598">
        <v>160.13</v>
      </c>
      <c r="AN2598" t="s">
        <v>2926</v>
      </c>
      <c r="AO2598">
        <v>20000</v>
      </c>
      <c r="AP2598" t="s">
        <v>18085</v>
      </c>
      <c r="AU2598" t="s">
        <v>13051</v>
      </c>
      <c r="AW2598" t="s">
        <v>3051</v>
      </c>
      <c r="AX2598" t="s">
        <v>18685</v>
      </c>
    </row>
    <row r="2599" spans="1:50">
      <c r="A2599" s="1" t="s">
        <v>134</v>
      </c>
      <c r="B2599" t="s">
        <v>163</v>
      </c>
      <c r="C2599" t="s">
        <v>5809</v>
      </c>
      <c r="D2599" t="s">
        <v>290</v>
      </c>
      <c r="F2599" t="s">
        <v>7695</v>
      </c>
      <c r="G2599" t="s">
        <v>8924</v>
      </c>
      <c r="H2599" t="s">
        <v>1216</v>
      </c>
      <c r="I2599" t="s">
        <v>1522</v>
      </c>
      <c r="J2599" t="s">
        <v>1643</v>
      </c>
      <c r="K2599">
        <v>10034</v>
      </c>
      <c r="L2599" t="s">
        <v>1670</v>
      </c>
      <c r="M2599" t="s">
        <v>1672</v>
      </c>
      <c r="O2599" t="s">
        <v>1941</v>
      </c>
      <c r="P2599" t="s">
        <v>1962</v>
      </c>
      <c r="R2599" t="s">
        <v>50</v>
      </c>
      <c r="S2599" t="s">
        <v>1671</v>
      </c>
      <c r="U2599" t="s">
        <v>1972</v>
      </c>
      <c r="W2599" t="s">
        <v>290</v>
      </c>
      <c r="X2599">
        <v>703.4</v>
      </c>
      <c r="Y2599" t="s">
        <v>2008</v>
      </c>
      <c r="Z2599" t="s">
        <v>2013</v>
      </c>
      <c r="AB2599" t="s">
        <v>14690</v>
      </c>
      <c r="AC2599" t="s">
        <v>15293</v>
      </c>
      <c r="AD2599" t="s">
        <v>17266</v>
      </c>
      <c r="AE2599">
        <v>67</v>
      </c>
      <c r="AF2599" t="s">
        <v>2902</v>
      </c>
      <c r="AG2599" t="s">
        <v>1754</v>
      </c>
      <c r="AH2599">
        <v>19</v>
      </c>
      <c r="AI2599">
        <v>1</v>
      </c>
      <c r="AJ2599">
        <v>0</v>
      </c>
      <c r="AK2599">
        <v>160.13</v>
      </c>
      <c r="AN2599" t="s">
        <v>2926</v>
      </c>
      <c r="AO2599">
        <v>20000</v>
      </c>
      <c r="AU2599">
        <v>2.4</v>
      </c>
      <c r="AV2599" t="s">
        <v>222</v>
      </c>
      <c r="AW2599" t="s">
        <v>3042</v>
      </c>
      <c r="AX2599" t="s">
        <v>18685</v>
      </c>
    </row>
    <row r="2600" spans="1:50">
      <c r="A2600" s="1" t="s">
        <v>64</v>
      </c>
      <c r="B2600" t="s">
        <v>163</v>
      </c>
      <c r="C2600" t="s">
        <v>5810</v>
      </c>
      <c r="D2600" t="s">
        <v>361</v>
      </c>
      <c r="F2600" t="s">
        <v>7241</v>
      </c>
      <c r="G2600" t="s">
        <v>843</v>
      </c>
      <c r="H2600" t="s">
        <v>10585</v>
      </c>
      <c r="I2600" t="s">
        <v>1517</v>
      </c>
      <c r="J2600" t="s">
        <v>1643</v>
      </c>
      <c r="K2600">
        <v>10033</v>
      </c>
      <c r="L2600" t="s">
        <v>1670</v>
      </c>
      <c r="M2600" t="s">
        <v>1672</v>
      </c>
      <c r="O2600" t="s">
        <v>1941</v>
      </c>
      <c r="P2600" t="s">
        <v>1963</v>
      </c>
      <c r="R2600" t="s">
        <v>50</v>
      </c>
      <c r="S2600" t="s">
        <v>1671</v>
      </c>
      <c r="U2600" t="s">
        <v>1972</v>
      </c>
      <c r="W2600" t="s">
        <v>361</v>
      </c>
      <c r="X2600">
        <v>1595</v>
      </c>
      <c r="Y2600" t="s">
        <v>2008</v>
      </c>
      <c r="Z2600" t="s">
        <v>2013</v>
      </c>
      <c r="AB2600" t="s">
        <v>14538</v>
      </c>
      <c r="AD2600" t="s">
        <v>17267</v>
      </c>
      <c r="AE2600">
        <v>43</v>
      </c>
      <c r="AF2600" t="s">
        <v>2902</v>
      </c>
      <c r="AG2600" t="s">
        <v>1754</v>
      </c>
      <c r="AH2600">
        <v>1</v>
      </c>
      <c r="AI2600">
        <v>1</v>
      </c>
      <c r="AJ2600">
        <v>0</v>
      </c>
      <c r="AK2600">
        <v>160.13</v>
      </c>
      <c r="AN2600" t="s">
        <v>2926</v>
      </c>
      <c r="AO2600">
        <v>20000</v>
      </c>
      <c r="AU2600">
        <v>1.5</v>
      </c>
      <c r="AV2600" t="s">
        <v>361</v>
      </c>
      <c r="AW2600" t="s">
        <v>3042</v>
      </c>
      <c r="AX2600" t="s">
        <v>18685</v>
      </c>
    </row>
    <row r="2601" spans="1:50">
      <c r="A2601" s="1" t="s">
        <v>82</v>
      </c>
      <c r="B2601" t="s">
        <v>163</v>
      </c>
      <c r="C2601" t="s">
        <v>5811</v>
      </c>
      <c r="D2601" t="s">
        <v>293</v>
      </c>
      <c r="F2601" t="s">
        <v>7567</v>
      </c>
      <c r="G2601" t="s">
        <v>9033</v>
      </c>
      <c r="H2601" t="s">
        <v>9442</v>
      </c>
      <c r="I2601" t="s">
        <v>11426</v>
      </c>
      <c r="J2601" t="s">
        <v>1644</v>
      </c>
      <c r="K2601">
        <v>11233</v>
      </c>
      <c r="L2601" t="s">
        <v>1670</v>
      </c>
      <c r="M2601" t="s">
        <v>1671</v>
      </c>
      <c r="O2601" t="s">
        <v>1938</v>
      </c>
      <c r="P2601" t="s">
        <v>1961</v>
      </c>
      <c r="R2601" t="s">
        <v>50</v>
      </c>
      <c r="S2601" t="s">
        <v>1670</v>
      </c>
      <c r="U2601" t="s">
        <v>1972</v>
      </c>
      <c r="V2601" t="s">
        <v>1984</v>
      </c>
      <c r="W2601" t="s">
        <v>248</v>
      </c>
      <c r="X2601">
        <v>628.51</v>
      </c>
      <c r="Y2601" t="s">
        <v>2009</v>
      </c>
      <c r="Z2601" t="s">
        <v>2017</v>
      </c>
      <c r="AB2601" t="s">
        <v>14863</v>
      </c>
      <c r="AE2601">
        <v>359</v>
      </c>
      <c r="AF2601" t="s">
        <v>2902</v>
      </c>
      <c r="AH2601">
        <v>7</v>
      </c>
      <c r="AI2601">
        <v>1</v>
      </c>
      <c r="AJ2601">
        <v>0</v>
      </c>
      <c r="AK2601">
        <v>160.13</v>
      </c>
      <c r="AN2601" t="s">
        <v>2926</v>
      </c>
      <c r="AO2601">
        <v>20000</v>
      </c>
      <c r="AP2601" t="s">
        <v>18071</v>
      </c>
      <c r="AU2601" t="s">
        <v>13051</v>
      </c>
      <c r="AW2601" t="s">
        <v>3059</v>
      </c>
    </row>
    <row r="2602" spans="1:50">
      <c r="A2602" s="1" t="s">
        <v>96</v>
      </c>
      <c r="B2602" t="s">
        <v>164</v>
      </c>
      <c r="C2602" t="s">
        <v>5812</v>
      </c>
      <c r="D2602" t="s">
        <v>335</v>
      </c>
      <c r="E2602" t="s">
        <v>299</v>
      </c>
      <c r="F2602" t="s">
        <v>7770</v>
      </c>
      <c r="G2602" t="s">
        <v>9022</v>
      </c>
      <c r="H2602" t="s">
        <v>1276</v>
      </c>
      <c r="I2602">
        <v>26</v>
      </c>
      <c r="J2602" t="s">
        <v>1644</v>
      </c>
      <c r="K2602">
        <v>11238</v>
      </c>
      <c r="L2602" t="s">
        <v>1670</v>
      </c>
      <c r="M2602" t="s">
        <v>1670</v>
      </c>
      <c r="O2602" t="s">
        <v>1675</v>
      </c>
      <c r="P2602" t="s">
        <v>1959</v>
      </c>
      <c r="Q2602" t="s">
        <v>1968</v>
      </c>
      <c r="R2602" t="s">
        <v>50</v>
      </c>
      <c r="U2602" t="s">
        <v>1972</v>
      </c>
      <c r="V2602" t="s">
        <v>1984</v>
      </c>
      <c r="W2602" t="s">
        <v>252</v>
      </c>
      <c r="X2602">
        <v>1116.53</v>
      </c>
      <c r="Y2602" t="s">
        <v>2009</v>
      </c>
      <c r="Z2602" t="s">
        <v>2020</v>
      </c>
      <c r="AA2602" t="s">
        <v>2034</v>
      </c>
      <c r="AB2602" t="s">
        <v>14845</v>
      </c>
      <c r="AC2602" t="s">
        <v>15290</v>
      </c>
      <c r="AD2602" t="s">
        <v>17249</v>
      </c>
      <c r="AE2602">
        <v>41</v>
      </c>
      <c r="AF2602" t="s">
        <v>2902</v>
      </c>
      <c r="AH2602">
        <v>15</v>
      </c>
      <c r="AI2602">
        <v>2</v>
      </c>
      <c r="AJ2602">
        <v>0</v>
      </c>
      <c r="AK2602">
        <v>160.17</v>
      </c>
      <c r="AN2602" t="s">
        <v>2926</v>
      </c>
      <c r="AO2602">
        <v>26364</v>
      </c>
      <c r="AR2602" t="s">
        <v>2017</v>
      </c>
      <c r="AS2602" t="s">
        <v>2992</v>
      </c>
      <c r="AT2602" t="s">
        <v>3001</v>
      </c>
      <c r="AU2602">
        <v>12.2</v>
      </c>
      <c r="AV2602" t="s">
        <v>299</v>
      </c>
      <c r="AW2602" t="s">
        <v>3063</v>
      </c>
    </row>
    <row r="2603" spans="1:50">
      <c r="A2603" s="1" t="s">
        <v>96</v>
      </c>
      <c r="B2603" t="s">
        <v>164</v>
      </c>
      <c r="C2603" t="s">
        <v>5813</v>
      </c>
      <c r="D2603" t="s">
        <v>314</v>
      </c>
      <c r="E2603" t="s">
        <v>247</v>
      </c>
      <c r="F2603" t="s">
        <v>7770</v>
      </c>
      <c r="G2603" t="s">
        <v>9022</v>
      </c>
      <c r="H2603" t="s">
        <v>1276</v>
      </c>
      <c r="I2603">
        <v>26</v>
      </c>
      <c r="J2603" t="s">
        <v>1644</v>
      </c>
      <c r="K2603">
        <v>11238</v>
      </c>
      <c r="L2603" t="s">
        <v>1670</v>
      </c>
      <c r="M2603" t="s">
        <v>1670</v>
      </c>
      <c r="N2603" t="s">
        <v>12626</v>
      </c>
      <c r="O2603" t="s">
        <v>1936</v>
      </c>
      <c r="P2603" t="s">
        <v>1960</v>
      </c>
      <c r="Q2603" t="s">
        <v>1969</v>
      </c>
      <c r="R2603" t="s">
        <v>50</v>
      </c>
      <c r="U2603" t="s">
        <v>1972</v>
      </c>
      <c r="W2603" t="s">
        <v>250</v>
      </c>
      <c r="X2603">
        <v>1116.53</v>
      </c>
      <c r="Y2603" t="s">
        <v>2009</v>
      </c>
      <c r="Z2603" t="s">
        <v>2020</v>
      </c>
      <c r="AA2603" t="s">
        <v>2032</v>
      </c>
      <c r="AB2603" t="s">
        <v>14845</v>
      </c>
      <c r="AC2603" t="s">
        <v>15290</v>
      </c>
      <c r="AD2603" t="s">
        <v>17249</v>
      </c>
      <c r="AE2603">
        <v>41</v>
      </c>
      <c r="AF2603" t="s">
        <v>2902</v>
      </c>
      <c r="AG2603" t="s">
        <v>1754</v>
      </c>
      <c r="AH2603">
        <v>15</v>
      </c>
      <c r="AI2603">
        <v>2</v>
      </c>
      <c r="AJ2603">
        <v>0</v>
      </c>
      <c r="AK2603">
        <v>160.17</v>
      </c>
      <c r="AN2603" t="s">
        <v>2926</v>
      </c>
      <c r="AO2603">
        <v>26364</v>
      </c>
      <c r="AQ2603" t="s">
        <v>2979</v>
      </c>
      <c r="AR2603" t="s">
        <v>2988</v>
      </c>
      <c r="AS2603" t="s">
        <v>2992</v>
      </c>
      <c r="AT2603" t="s">
        <v>18564</v>
      </c>
      <c r="AU2603">
        <v>10.6</v>
      </c>
      <c r="AV2603" t="s">
        <v>179</v>
      </c>
      <c r="AW2603" t="s">
        <v>3079</v>
      </c>
      <c r="AX2603" t="s">
        <v>18685</v>
      </c>
    </row>
    <row r="2604" spans="1:50">
      <c r="A2604" s="1" t="s">
        <v>3144</v>
      </c>
      <c r="B2604" t="s">
        <v>163</v>
      </c>
      <c r="C2604" t="s">
        <v>5814</v>
      </c>
      <c r="D2604" t="s">
        <v>302</v>
      </c>
      <c r="F2604" t="s">
        <v>436</v>
      </c>
      <c r="G2604" t="s">
        <v>856</v>
      </c>
      <c r="H2604" t="s">
        <v>10570</v>
      </c>
      <c r="I2604" t="s">
        <v>1497</v>
      </c>
      <c r="J2604" t="s">
        <v>1641</v>
      </c>
      <c r="K2604">
        <v>10456</v>
      </c>
      <c r="L2604" t="s">
        <v>1670</v>
      </c>
      <c r="M2604" t="s">
        <v>1670</v>
      </c>
      <c r="O2604" t="s">
        <v>1675</v>
      </c>
      <c r="P2604" t="s">
        <v>1959</v>
      </c>
      <c r="R2604" t="s">
        <v>50</v>
      </c>
      <c r="S2604" t="s">
        <v>1671</v>
      </c>
      <c r="U2604" t="s">
        <v>1973</v>
      </c>
      <c r="W2604" t="s">
        <v>302</v>
      </c>
      <c r="X2604">
        <v>1004.69</v>
      </c>
      <c r="Y2604" t="s">
        <v>2006</v>
      </c>
      <c r="Z2604" t="s">
        <v>2014</v>
      </c>
      <c r="AB2604" t="s">
        <v>14839</v>
      </c>
      <c r="AC2604" t="s">
        <v>15288</v>
      </c>
      <c r="AD2604" t="s">
        <v>17245</v>
      </c>
      <c r="AE2604">
        <v>48</v>
      </c>
      <c r="AF2604" t="s">
        <v>2902</v>
      </c>
      <c r="AG2604" t="s">
        <v>2920</v>
      </c>
      <c r="AH2604">
        <v>29</v>
      </c>
      <c r="AI2604">
        <v>2</v>
      </c>
      <c r="AJ2604">
        <v>0</v>
      </c>
      <c r="AK2604">
        <v>160.45</v>
      </c>
      <c r="AN2604" t="s">
        <v>2926</v>
      </c>
      <c r="AO2604">
        <v>26410</v>
      </c>
      <c r="AU2604">
        <v>3.5</v>
      </c>
      <c r="AV2604" t="s">
        <v>400</v>
      </c>
      <c r="AW2604" t="s">
        <v>18655</v>
      </c>
    </row>
    <row r="2605" spans="1:50">
      <c r="A2605" s="1" t="s">
        <v>75</v>
      </c>
      <c r="B2605" t="s">
        <v>164</v>
      </c>
      <c r="C2605" t="s">
        <v>5815</v>
      </c>
      <c r="D2605" t="s">
        <v>197</v>
      </c>
      <c r="E2605" t="s">
        <v>231</v>
      </c>
      <c r="F2605" t="s">
        <v>558</v>
      </c>
      <c r="G2605" t="s">
        <v>1016</v>
      </c>
      <c r="H2605" t="s">
        <v>10411</v>
      </c>
      <c r="I2605" t="s">
        <v>1475</v>
      </c>
      <c r="J2605" t="s">
        <v>1643</v>
      </c>
      <c r="K2605">
        <v>10035</v>
      </c>
      <c r="L2605" t="s">
        <v>1670</v>
      </c>
      <c r="M2605" t="s">
        <v>1670</v>
      </c>
      <c r="O2605" t="s">
        <v>1675</v>
      </c>
      <c r="P2605" t="s">
        <v>1958</v>
      </c>
      <c r="Q2605" t="s">
        <v>1965</v>
      </c>
      <c r="R2605" t="s">
        <v>50</v>
      </c>
      <c r="S2605" t="s">
        <v>1671</v>
      </c>
      <c r="U2605" t="s">
        <v>1972</v>
      </c>
      <c r="V2605" t="s">
        <v>1984</v>
      </c>
      <c r="W2605" t="s">
        <v>2005</v>
      </c>
      <c r="X2605">
        <v>1850</v>
      </c>
      <c r="Y2605" t="s">
        <v>2008</v>
      </c>
      <c r="Z2605" t="s">
        <v>2026</v>
      </c>
      <c r="AA2605" t="s">
        <v>2029</v>
      </c>
      <c r="AB2605" t="s">
        <v>14865</v>
      </c>
      <c r="AD2605" t="s">
        <v>17268</v>
      </c>
      <c r="AE2605">
        <v>40</v>
      </c>
      <c r="AF2605" t="s">
        <v>2902</v>
      </c>
      <c r="AG2605" t="s">
        <v>1754</v>
      </c>
      <c r="AH2605">
        <v>-1</v>
      </c>
      <c r="AI2605">
        <v>2</v>
      </c>
      <c r="AJ2605">
        <v>0</v>
      </c>
      <c r="AK2605">
        <v>160.48</v>
      </c>
      <c r="AN2605" t="s">
        <v>2926</v>
      </c>
      <c r="AO2605">
        <v>26414.4</v>
      </c>
      <c r="AU2605">
        <v>1.2</v>
      </c>
      <c r="AV2605" t="s">
        <v>231</v>
      </c>
      <c r="AW2605" t="s">
        <v>3078</v>
      </c>
    </row>
    <row r="2606" spans="1:50">
      <c r="A2606" s="1" t="s">
        <v>3139</v>
      </c>
      <c r="B2606" t="s">
        <v>164</v>
      </c>
      <c r="C2606" t="s">
        <v>5816</v>
      </c>
      <c r="D2606" t="s">
        <v>165</v>
      </c>
      <c r="E2606" t="s">
        <v>3039</v>
      </c>
      <c r="F2606" t="s">
        <v>427</v>
      </c>
      <c r="G2606" t="s">
        <v>9034</v>
      </c>
      <c r="H2606" t="s">
        <v>10586</v>
      </c>
      <c r="I2606" t="s">
        <v>10995</v>
      </c>
      <c r="J2606" t="s">
        <v>1641</v>
      </c>
      <c r="K2606">
        <v>10452</v>
      </c>
      <c r="L2606" t="s">
        <v>1670</v>
      </c>
      <c r="M2606" t="s">
        <v>1670</v>
      </c>
      <c r="N2606" t="s">
        <v>1691</v>
      </c>
      <c r="O2606" t="s">
        <v>1939</v>
      </c>
      <c r="P2606" t="s">
        <v>1958</v>
      </c>
      <c r="Q2606" t="s">
        <v>1965</v>
      </c>
      <c r="R2606" t="s">
        <v>50</v>
      </c>
      <c r="U2606" t="s">
        <v>1972</v>
      </c>
      <c r="V2606" t="s">
        <v>1984</v>
      </c>
      <c r="W2606" t="s">
        <v>328</v>
      </c>
      <c r="X2606">
        <v>1130</v>
      </c>
      <c r="Y2606" t="s">
        <v>2006</v>
      </c>
      <c r="AA2606" t="s">
        <v>2029</v>
      </c>
      <c r="AB2606" t="s">
        <v>14866</v>
      </c>
      <c r="AD2606" t="s">
        <v>17269</v>
      </c>
      <c r="AE2606" t="s">
        <v>13051</v>
      </c>
      <c r="AH2606">
        <v>5</v>
      </c>
      <c r="AI2606">
        <v>1</v>
      </c>
      <c r="AJ2606">
        <v>0</v>
      </c>
      <c r="AK2606">
        <v>160.7</v>
      </c>
      <c r="AN2606" t="s">
        <v>2926</v>
      </c>
      <c r="AO2606">
        <v>20072</v>
      </c>
      <c r="AP2606" t="s">
        <v>18356</v>
      </c>
      <c r="AU2606">
        <v>1.5</v>
      </c>
      <c r="AV2606" t="s">
        <v>165</v>
      </c>
      <c r="AW2606" t="s">
        <v>18655</v>
      </c>
      <c r="AX2606" t="s">
        <v>18685</v>
      </c>
    </row>
    <row r="2607" spans="1:50">
      <c r="A2607" s="1" t="s">
        <v>153</v>
      </c>
      <c r="B2607" t="s">
        <v>164</v>
      </c>
      <c r="C2607" t="s">
        <v>5817</v>
      </c>
      <c r="D2607" t="s">
        <v>190</v>
      </c>
      <c r="E2607" t="s">
        <v>390</v>
      </c>
      <c r="F2607" t="s">
        <v>739</v>
      </c>
      <c r="G2607" t="s">
        <v>946</v>
      </c>
      <c r="H2607" t="s">
        <v>10587</v>
      </c>
      <c r="I2607" t="s">
        <v>1564</v>
      </c>
      <c r="J2607" t="s">
        <v>1641</v>
      </c>
      <c r="K2607">
        <v>10456</v>
      </c>
      <c r="L2607" t="s">
        <v>1670</v>
      </c>
      <c r="M2607" t="s">
        <v>1670</v>
      </c>
      <c r="P2607" t="s">
        <v>1958</v>
      </c>
      <c r="Q2607" t="s">
        <v>1965</v>
      </c>
      <c r="R2607" t="s">
        <v>50</v>
      </c>
      <c r="S2607" t="s">
        <v>1671</v>
      </c>
      <c r="U2607" t="s">
        <v>1972</v>
      </c>
      <c r="W2607" t="s">
        <v>316</v>
      </c>
      <c r="X2607">
        <v>1298.95</v>
      </c>
      <c r="Y2607" t="s">
        <v>2006</v>
      </c>
      <c r="Z2607" t="s">
        <v>2015</v>
      </c>
      <c r="AA2607" t="s">
        <v>2029</v>
      </c>
      <c r="AB2607" t="s">
        <v>14867</v>
      </c>
      <c r="AD2607" t="s">
        <v>17270</v>
      </c>
      <c r="AE2607">
        <v>11</v>
      </c>
      <c r="AF2607" t="s">
        <v>2904</v>
      </c>
      <c r="AG2607" t="s">
        <v>2920</v>
      </c>
      <c r="AH2607">
        <v>26</v>
      </c>
      <c r="AI2607">
        <v>2</v>
      </c>
      <c r="AJ2607">
        <v>0</v>
      </c>
      <c r="AK2607">
        <v>161.55</v>
      </c>
      <c r="AN2607" t="s">
        <v>2927</v>
      </c>
      <c r="AO2607">
        <v>27317.76</v>
      </c>
      <c r="AU2607">
        <v>0.1</v>
      </c>
      <c r="AV2607" t="s">
        <v>390</v>
      </c>
      <c r="AW2607" t="s">
        <v>3046</v>
      </c>
    </row>
    <row r="2608" spans="1:50">
      <c r="A2608" s="1" t="s">
        <v>94</v>
      </c>
      <c r="B2608" t="s">
        <v>164</v>
      </c>
      <c r="C2608" t="s">
        <v>5818</v>
      </c>
      <c r="D2608" t="s">
        <v>264</v>
      </c>
      <c r="E2608" t="s">
        <v>173</v>
      </c>
      <c r="F2608" t="s">
        <v>487</v>
      </c>
      <c r="G2608" t="s">
        <v>859</v>
      </c>
      <c r="H2608" t="s">
        <v>9945</v>
      </c>
      <c r="I2608" t="s">
        <v>1510</v>
      </c>
      <c r="J2608" t="s">
        <v>1643</v>
      </c>
      <c r="K2608">
        <v>10033</v>
      </c>
      <c r="L2608" t="s">
        <v>1670</v>
      </c>
      <c r="M2608" t="s">
        <v>1672</v>
      </c>
      <c r="O2608" t="s">
        <v>1675</v>
      </c>
      <c r="P2608" t="s">
        <v>1958</v>
      </c>
      <c r="Q2608" t="s">
        <v>1965</v>
      </c>
      <c r="R2608" t="s">
        <v>50</v>
      </c>
      <c r="S2608" t="s">
        <v>1671</v>
      </c>
      <c r="U2608" t="s">
        <v>1972</v>
      </c>
      <c r="W2608" t="s">
        <v>264</v>
      </c>
      <c r="X2608">
        <v>918.28</v>
      </c>
      <c r="Y2608" t="s">
        <v>2008</v>
      </c>
      <c r="Z2608" t="s">
        <v>2013</v>
      </c>
      <c r="AA2608" t="s">
        <v>2029</v>
      </c>
      <c r="AB2608" t="s">
        <v>14868</v>
      </c>
      <c r="AD2608" t="s">
        <v>17271</v>
      </c>
      <c r="AE2608">
        <v>39</v>
      </c>
      <c r="AF2608" t="s">
        <v>2902</v>
      </c>
      <c r="AG2608" t="s">
        <v>1754</v>
      </c>
      <c r="AH2608">
        <v>4</v>
      </c>
      <c r="AI2608">
        <v>2</v>
      </c>
      <c r="AJ2608">
        <v>0</v>
      </c>
      <c r="AK2608">
        <v>161.85</v>
      </c>
      <c r="AN2608" t="s">
        <v>2927</v>
      </c>
      <c r="AO2608">
        <v>26640</v>
      </c>
      <c r="AU2608">
        <v>0.3</v>
      </c>
      <c r="AV2608" t="s">
        <v>173</v>
      </c>
      <c r="AW2608" t="s">
        <v>3042</v>
      </c>
    </row>
    <row r="2609" spans="1:50">
      <c r="A2609" s="1" t="s">
        <v>96</v>
      </c>
      <c r="B2609" t="s">
        <v>163</v>
      </c>
      <c r="C2609" t="s">
        <v>5819</v>
      </c>
      <c r="D2609" t="s">
        <v>331</v>
      </c>
      <c r="F2609" t="s">
        <v>7770</v>
      </c>
      <c r="G2609" t="s">
        <v>9022</v>
      </c>
      <c r="H2609" t="s">
        <v>1276</v>
      </c>
      <c r="I2609">
        <v>26</v>
      </c>
      <c r="J2609" t="s">
        <v>1644</v>
      </c>
      <c r="K2609">
        <v>11238</v>
      </c>
      <c r="L2609" t="s">
        <v>1670</v>
      </c>
      <c r="M2609" t="s">
        <v>1672</v>
      </c>
      <c r="N2609" t="s">
        <v>12627</v>
      </c>
      <c r="O2609" t="s">
        <v>1936</v>
      </c>
      <c r="P2609" t="s">
        <v>1960</v>
      </c>
      <c r="R2609" t="s">
        <v>50</v>
      </c>
      <c r="U2609" t="s">
        <v>1972</v>
      </c>
      <c r="V2609" t="s">
        <v>1984</v>
      </c>
      <c r="W2609" t="s">
        <v>331</v>
      </c>
      <c r="X2609">
        <v>1116.53</v>
      </c>
      <c r="Y2609" t="s">
        <v>2009</v>
      </c>
      <c r="Z2609" t="s">
        <v>2020</v>
      </c>
      <c r="AB2609" t="s">
        <v>14845</v>
      </c>
      <c r="AC2609" t="s">
        <v>15290</v>
      </c>
      <c r="AD2609" t="s">
        <v>17249</v>
      </c>
      <c r="AE2609">
        <v>41</v>
      </c>
      <c r="AF2609" t="s">
        <v>2902</v>
      </c>
      <c r="AH2609">
        <v>17</v>
      </c>
      <c r="AI2609">
        <v>2</v>
      </c>
      <c r="AJ2609">
        <v>0</v>
      </c>
      <c r="AK2609">
        <v>162.1</v>
      </c>
      <c r="AN2609" t="s">
        <v>2926</v>
      </c>
      <c r="AO2609">
        <v>26682</v>
      </c>
      <c r="AQ2609" t="s">
        <v>2979</v>
      </c>
      <c r="AR2609" t="s">
        <v>18453</v>
      </c>
      <c r="AU2609">
        <v>17.4</v>
      </c>
      <c r="AV2609" t="s">
        <v>1994</v>
      </c>
      <c r="AW2609" t="s">
        <v>3049</v>
      </c>
      <c r="AX2609" t="s">
        <v>18685</v>
      </c>
    </row>
    <row r="2610" spans="1:50">
      <c r="A2610" s="1" t="s">
        <v>88</v>
      </c>
      <c r="B2610" t="s">
        <v>163</v>
      </c>
      <c r="C2610" t="s">
        <v>5820</v>
      </c>
      <c r="D2610" t="s">
        <v>389</v>
      </c>
      <c r="F2610" t="s">
        <v>422</v>
      </c>
      <c r="G2610" t="s">
        <v>9035</v>
      </c>
      <c r="H2610" t="s">
        <v>10588</v>
      </c>
      <c r="I2610" t="s">
        <v>11427</v>
      </c>
      <c r="J2610" t="s">
        <v>1644</v>
      </c>
      <c r="K2610">
        <v>11208</v>
      </c>
      <c r="L2610" t="s">
        <v>1670</v>
      </c>
      <c r="M2610" t="s">
        <v>1672</v>
      </c>
      <c r="N2610" t="s">
        <v>12628</v>
      </c>
      <c r="O2610" t="s">
        <v>1936</v>
      </c>
      <c r="P2610" t="s">
        <v>1960</v>
      </c>
      <c r="R2610" t="s">
        <v>50</v>
      </c>
      <c r="S2610" t="s">
        <v>1671</v>
      </c>
      <c r="U2610" t="s">
        <v>1972</v>
      </c>
      <c r="V2610" t="s">
        <v>1984</v>
      </c>
      <c r="W2610" t="s">
        <v>389</v>
      </c>
      <c r="X2610">
        <v>875</v>
      </c>
      <c r="Y2610" t="s">
        <v>2009</v>
      </c>
      <c r="Z2610" t="s">
        <v>2020</v>
      </c>
      <c r="AB2610" t="s">
        <v>14869</v>
      </c>
      <c r="AD2610" t="s">
        <v>17272</v>
      </c>
      <c r="AE2610">
        <v>322</v>
      </c>
      <c r="AF2610" t="s">
        <v>2902</v>
      </c>
      <c r="AG2610" t="s">
        <v>1754</v>
      </c>
      <c r="AH2610">
        <v>6</v>
      </c>
      <c r="AI2610">
        <v>1</v>
      </c>
      <c r="AJ2610">
        <v>0</v>
      </c>
      <c r="AK2610">
        <v>162.37</v>
      </c>
      <c r="AN2610" t="s">
        <v>2926</v>
      </c>
      <c r="AO2610">
        <v>20280</v>
      </c>
      <c r="AU2610">
        <v>1.5</v>
      </c>
      <c r="AV2610" t="s">
        <v>354</v>
      </c>
      <c r="AW2610" t="s">
        <v>3059</v>
      </c>
      <c r="AX2610" t="s">
        <v>18685</v>
      </c>
    </row>
    <row r="2611" spans="1:50">
      <c r="A2611" s="1" t="s">
        <v>53</v>
      </c>
      <c r="B2611" t="s">
        <v>163</v>
      </c>
      <c r="C2611" t="s">
        <v>5821</v>
      </c>
      <c r="D2611" t="s">
        <v>344</v>
      </c>
      <c r="F2611" t="s">
        <v>7357</v>
      </c>
      <c r="G2611" t="s">
        <v>864</v>
      </c>
      <c r="H2611" t="s">
        <v>10589</v>
      </c>
      <c r="I2611" t="s">
        <v>11428</v>
      </c>
      <c r="J2611" t="s">
        <v>1668</v>
      </c>
      <c r="K2611">
        <v>11354</v>
      </c>
      <c r="L2611" t="s">
        <v>1670</v>
      </c>
      <c r="M2611" t="s">
        <v>1670</v>
      </c>
      <c r="N2611" t="s">
        <v>12629</v>
      </c>
      <c r="O2611" t="s">
        <v>1940</v>
      </c>
      <c r="P2611" t="s">
        <v>1960</v>
      </c>
      <c r="R2611" t="s">
        <v>50</v>
      </c>
      <c r="S2611" t="s">
        <v>1670</v>
      </c>
      <c r="U2611" t="s">
        <v>1972</v>
      </c>
      <c r="V2611" t="s">
        <v>1984</v>
      </c>
      <c r="W2611" t="s">
        <v>292</v>
      </c>
      <c r="X2611">
        <v>1281</v>
      </c>
      <c r="Y2611" t="s">
        <v>2007</v>
      </c>
      <c r="Z2611" t="s">
        <v>2014</v>
      </c>
      <c r="AB2611" t="s">
        <v>14870</v>
      </c>
      <c r="AC2611" t="s">
        <v>15294</v>
      </c>
      <c r="AD2611" t="s">
        <v>17273</v>
      </c>
      <c r="AE2611">
        <v>100</v>
      </c>
      <c r="AF2611" t="s">
        <v>2902</v>
      </c>
      <c r="AG2611" t="s">
        <v>1754</v>
      </c>
      <c r="AH2611">
        <v>8</v>
      </c>
      <c r="AI2611">
        <v>2</v>
      </c>
      <c r="AJ2611">
        <v>0</v>
      </c>
      <c r="AK2611">
        <v>162.65</v>
      </c>
      <c r="AN2611" t="s">
        <v>2927</v>
      </c>
      <c r="AO2611">
        <v>26772</v>
      </c>
      <c r="AU2611">
        <v>56.8</v>
      </c>
      <c r="AV2611" t="s">
        <v>393</v>
      </c>
      <c r="AW2611" t="s">
        <v>89</v>
      </c>
    </row>
    <row r="2612" spans="1:50">
      <c r="A2612" s="1" t="s">
        <v>61</v>
      </c>
      <c r="B2612" t="s">
        <v>163</v>
      </c>
      <c r="C2612" t="s">
        <v>5822</v>
      </c>
      <c r="D2612" t="s">
        <v>364</v>
      </c>
      <c r="F2612" t="s">
        <v>6956</v>
      </c>
      <c r="G2612" t="s">
        <v>7532</v>
      </c>
      <c r="H2612" t="s">
        <v>9387</v>
      </c>
      <c r="I2612" t="s">
        <v>1534</v>
      </c>
      <c r="J2612" t="s">
        <v>1644</v>
      </c>
      <c r="K2612">
        <v>11226</v>
      </c>
      <c r="L2612" t="s">
        <v>1670</v>
      </c>
      <c r="M2612" t="s">
        <v>1672</v>
      </c>
      <c r="N2612" t="s">
        <v>11999</v>
      </c>
      <c r="O2612" t="s">
        <v>1939</v>
      </c>
      <c r="P2612" t="s">
        <v>1960</v>
      </c>
      <c r="R2612" t="s">
        <v>50</v>
      </c>
      <c r="S2612" t="s">
        <v>1670</v>
      </c>
      <c r="U2612" t="s">
        <v>1972</v>
      </c>
      <c r="W2612" t="s">
        <v>364</v>
      </c>
      <c r="X2612">
        <v>1107</v>
      </c>
      <c r="Y2612" t="s">
        <v>2009</v>
      </c>
      <c r="Z2612" t="s">
        <v>2016</v>
      </c>
      <c r="AB2612" t="s">
        <v>14871</v>
      </c>
      <c r="AD2612" t="s">
        <v>17274</v>
      </c>
      <c r="AE2612">
        <v>36</v>
      </c>
      <c r="AF2612" t="s">
        <v>2902</v>
      </c>
      <c r="AH2612">
        <v>18</v>
      </c>
      <c r="AI2612">
        <v>2</v>
      </c>
      <c r="AJ2612">
        <v>0</v>
      </c>
      <c r="AK2612">
        <v>162.67</v>
      </c>
      <c r="AN2612" t="s">
        <v>2928</v>
      </c>
      <c r="AO2612">
        <v>27508</v>
      </c>
      <c r="AU2612" t="s">
        <v>13051</v>
      </c>
      <c r="AW2612" t="s">
        <v>158</v>
      </c>
    </row>
    <row r="2613" spans="1:50">
      <c r="A2613" s="1" t="s">
        <v>120</v>
      </c>
      <c r="B2613" t="s">
        <v>164</v>
      </c>
      <c r="C2613" t="s">
        <v>5823</v>
      </c>
      <c r="D2613" t="s">
        <v>1993</v>
      </c>
      <c r="E2613" t="s">
        <v>6763</v>
      </c>
      <c r="F2613" t="s">
        <v>442</v>
      </c>
      <c r="G2613" t="s">
        <v>877</v>
      </c>
      <c r="H2613" t="s">
        <v>10590</v>
      </c>
      <c r="I2613" t="s">
        <v>1551</v>
      </c>
      <c r="J2613" t="s">
        <v>1644</v>
      </c>
      <c r="K2613">
        <v>11239</v>
      </c>
      <c r="L2613" t="s">
        <v>1670</v>
      </c>
      <c r="M2613" t="s">
        <v>1670</v>
      </c>
      <c r="O2613" t="s">
        <v>1950</v>
      </c>
      <c r="P2613" t="s">
        <v>1961</v>
      </c>
      <c r="Q2613" t="s">
        <v>1970</v>
      </c>
      <c r="R2613" t="s">
        <v>50</v>
      </c>
      <c r="S2613" t="s">
        <v>1671</v>
      </c>
      <c r="U2613" t="s">
        <v>1974</v>
      </c>
      <c r="V2613" t="s">
        <v>1984</v>
      </c>
      <c r="W2613" t="s">
        <v>377</v>
      </c>
      <c r="X2613">
        <v>1300</v>
      </c>
      <c r="Y2613" t="s">
        <v>2009</v>
      </c>
      <c r="Z2613" t="s">
        <v>2026</v>
      </c>
      <c r="AA2613" t="s">
        <v>2039</v>
      </c>
      <c r="AB2613" t="s">
        <v>14872</v>
      </c>
      <c r="AC2613" t="s">
        <v>15295</v>
      </c>
      <c r="AD2613" t="s">
        <v>17275</v>
      </c>
      <c r="AE2613">
        <v>1164</v>
      </c>
      <c r="AF2613" t="s">
        <v>2912</v>
      </c>
      <c r="AG2613" t="s">
        <v>2922</v>
      </c>
      <c r="AH2613">
        <v>27</v>
      </c>
      <c r="AI2613">
        <v>1</v>
      </c>
      <c r="AJ2613">
        <v>0</v>
      </c>
      <c r="AK2613">
        <v>163.1</v>
      </c>
      <c r="AN2613" t="s">
        <v>2926</v>
      </c>
      <c r="AO2613">
        <v>19800</v>
      </c>
      <c r="AU2613">
        <v>7.5</v>
      </c>
      <c r="AV2613" t="s">
        <v>6763</v>
      </c>
      <c r="AW2613" t="s">
        <v>3059</v>
      </c>
    </row>
    <row r="2614" spans="1:50">
      <c r="A2614" s="1" t="s">
        <v>66</v>
      </c>
      <c r="B2614" t="s">
        <v>164</v>
      </c>
      <c r="C2614" t="s">
        <v>5824</v>
      </c>
      <c r="D2614" t="s">
        <v>377</v>
      </c>
      <c r="E2614" t="s">
        <v>199</v>
      </c>
      <c r="F2614" t="s">
        <v>442</v>
      </c>
      <c r="G2614" t="s">
        <v>877</v>
      </c>
      <c r="H2614" t="s">
        <v>10590</v>
      </c>
      <c r="I2614" t="s">
        <v>1551</v>
      </c>
      <c r="J2614" t="s">
        <v>1644</v>
      </c>
      <c r="K2614">
        <v>11239</v>
      </c>
      <c r="L2614" t="s">
        <v>1670</v>
      </c>
      <c r="M2614" t="s">
        <v>1670</v>
      </c>
      <c r="N2614" t="s">
        <v>12630</v>
      </c>
      <c r="O2614" t="s">
        <v>1936</v>
      </c>
      <c r="P2614" t="s">
        <v>1960</v>
      </c>
      <c r="Q2614" t="s">
        <v>1967</v>
      </c>
      <c r="R2614" t="s">
        <v>50</v>
      </c>
      <c r="S2614" t="s">
        <v>1671</v>
      </c>
      <c r="U2614" t="s">
        <v>1972</v>
      </c>
      <c r="V2614" t="s">
        <v>1984</v>
      </c>
      <c r="W2614" t="s">
        <v>377</v>
      </c>
      <c r="X2614">
        <v>1300</v>
      </c>
      <c r="Y2614" t="s">
        <v>2009</v>
      </c>
      <c r="Z2614" t="s">
        <v>2026</v>
      </c>
      <c r="AA2614" t="s">
        <v>2029</v>
      </c>
      <c r="AB2614" t="s">
        <v>14872</v>
      </c>
      <c r="AC2614" t="s">
        <v>15296</v>
      </c>
      <c r="AD2614" t="s">
        <v>17275</v>
      </c>
      <c r="AE2614">
        <v>1164</v>
      </c>
      <c r="AF2614" t="s">
        <v>2912</v>
      </c>
      <c r="AG2614" t="s">
        <v>2922</v>
      </c>
      <c r="AH2614">
        <v>27</v>
      </c>
      <c r="AI2614">
        <v>1</v>
      </c>
      <c r="AJ2614">
        <v>0</v>
      </c>
      <c r="AK2614">
        <v>163.1</v>
      </c>
      <c r="AN2614" t="s">
        <v>2926</v>
      </c>
      <c r="AO2614">
        <v>19800</v>
      </c>
      <c r="AU2614">
        <v>22</v>
      </c>
      <c r="AV2614" t="s">
        <v>199</v>
      </c>
      <c r="AW2614" t="s">
        <v>69</v>
      </c>
    </row>
    <row r="2615" spans="1:50">
      <c r="A2615" s="1" t="s">
        <v>64</v>
      </c>
      <c r="B2615" t="s">
        <v>164</v>
      </c>
      <c r="C2615" t="s">
        <v>5825</v>
      </c>
      <c r="D2615" t="s">
        <v>361</v>
      </c>
      <c r="E2615" t="s">
        <v>333</v>
      </c>
      <c r="F2615" t="s">
        <v>6932</v>
      </c>
      <c r="G2615" t="s">
        <v>9036</v>
      </c>
      <c r="H2615" t="s">
        <v>9708</v>
      </c>
      <c r="I2615" t="s">
        <v>1570</v>
      </c>
      <c r="J2615" t="s">
        <v>1643</v>
      </c>
      <c r="K2615">
        <v>10034</v>
      </c>
      <c r="L2615" t="s">
        <v>1670</v>
      </c>
      <c r="M2615" t="s">
        <v>1672</v>
      </c>
      <c r="O2615" t="s">
        <v>1941</v>
      </c>
      <c r="P2615" t="s">
        <v>1958</v>
      </c>
      <c r="Q2615" t="s">
        <v>1965</v>
      </c>
      <c r="R2615" t="s">
        <v>50</v>
      </c>
      <c r="S2615" t="s">
        <v>1671</v>
      </c>
      <c r="U2615" t="s">
        <v>1972</v>
      </c>
      <c r="W2615" t="s">
        <v>361</v>
      </c>
      <c r="X2615">
        <v>660</v>
      </c>
      <c r="Y2615" t="s">
        <v>2008</v>
      </c>
      <c r="Z2615" t="s">
        <v>2013</v>
      </c>
      <c r="AA2615" t="s">
        <v>2029</v>
      </c>
      <c r="AB2615" t="s">
        <v>14873</v>
      </c>
      <c r="AD2615" t="s">
        <v>17276</v>
      </c>
      <c r="AE2615">
        <v>47</v>
      </c>
      <c r="AF2615" t="s">
        <v>2902</v>
      </c>
      <c r="AG2615" t="s">
        <v>1754</v>
      </c>
      <c r="AH2615">
        <v>49</v>
      </c>
      <c r="AI2615">
        <v>2</v>
      </c>
      <c r="AJ2615">
        <v>0</v>
      </c>
      <c r="AK2615">
        <v>163.22</v>
      </c>
      <c r="AN2615" t="s">
        <v>2926</v>
      </c>
      <c r="AO2615">
        <v>27600</v>
      </c>
      <c r="AU2615">
        <v>0.6</v>
      </c>
      <c r="AV2615" t="s">
        <v>354</v>
      </c>
      <c r="AW2615" t="s">
        <v>3042</v>
      </c>
      <c r="AX2615" t="s">
        <v>18685</v>
      </c>
    </row>
    <row r="2616" spans="1:50">
      <c r="A2616" s="1" t="s">
        <v>133</v>
      </c>
      <c r="B2616" t="s">
        <v>163</v>
      </c>
      <c r="C2616" t="s">
        <v>5826</v>
      </c>
      <c r="D2616" t="s">
        <v>272</v>
      </c>
      <c r="F2616" t="s">
        <v>544</v>
      </c>
      <c r="G2616" t="s">
        <v>1020</v>
      </c>
      <c r="H2616" t="s">
        <v>9614</v>
      </c>
      <c r="I2616" t="s">
        <v>11030</v>
      </c>
      <c r="J2616" t="s">
        <v>1644</v>
      </c>
      <c r="K2616">
        <v>11213</v>
      </c>
      <c r="L2616" t="s">
        <v>1670</v>
      </c>
      <c r="M2616" t="s">
        <v>1672</v>
      </c>
      <c r="O2616" t="s">
        <v>1675</v>
      </c>
      <c r="P2616" t="s">
        <v>1959</v>
      </c>
      <c r="R2616" t="s">
        <v>50</v>
      </c>
      <c r="S2616" t="s">
        <v>1670</v>
      </c>
      <c r="U2616" t="s">
        <v>1972</v>
      </c>
      <c r="V2616" t="s">
        <v>1984</v>
      </c>
      <c r="W2616" t="s">
        <v>213</v>
      </c>
      <c r="X2616">
        <v>905.59</v>
      </c>
      <c r="Y2616" t="s">
        <v>2009</v>
      </c>
      <c r="Z2616" t="s">
        <v>2015</v>
      </c>
      <c r="AB2616" t="s">
        <v>14874</v>
      </c>
      <c r="AD2616" t="s">
        <v>17277</v>
      </c>
      <c r="AE2616">
        <v>34</v>
      </c>
      <c r="AF2616" t="s">
        <v>2902</v>
      </c>
      <c r="AG2616" t="s">
        <v>1754</v>
      </c>
      <c r="AH2616">
        <v>25</v>
      </c>
      <c r="AI2616">
        <v>2</v>
      </c>
      <c r="AJ2616">
        <v>0</v>
      </c>
      <c r="AK2616">
        <v>163.22</v>
      </c>
      <c r="AN2616" t="s">
        <v>2927</v>
      </c>
      <c r="AO2616">
        <v>27600</v>
      </c>
      <c r="AP2616" t="s">
        <v>18357</v>
      </c>
      <c r="AU2616" t="s">
        <v>13051</v>
      </c>
      <c r="AW2616" t="s">
        <v>3060</v>
      </c>
      <c r="AX2616" t="s">
        <v>18685</v>
      </c>
    </row>
    <row r="2617" spans="1:50">
      <c r="A2617" s="1" t="s">
        <v>74</v>
      </c>
      <c r="B2617" t="s">
        <v>163</v>
      </c>
      <c r="C2617" t="s">
        <v>5827</v>
      </c>
      <c r="D2617" t="s">
        <v>170</v>
      </c>
      <c r="F2617" t="s">
        <v>7068</v>
      </c>
      <c r="G2617" t="s">
        <v>8152</v>
      </c>
      <c r="H2617" t="s">
        <v>1131</v>
      </c>
      <c r="I2617" t="s">
        <v>11074</v>
      </c>
      <c r="J2617" t="s">
        <v>1641</v>
      </c>
      <c r="K2617">
        <v>10460</v>
      </c>
      <c r="L2617" t="s">
        <v>1670</v>
      </c>
      <c r="M2617" t="s">
        <v>1672</v>
      </c>
      <c r="O2617" t="s">
        <v>1936</v>
      </c>
      <c r="P2617" t="s">
        <v>1960</v>
      </c>
      <c r="R2617" t="s">
        <v>50</v>
      </c>
      <c r="S2617" t="s">
        <v>1671</v>
      </c>
      <c r="U2617" t="s">
        <v>1972</v>
      </c>
      <c r="W2617" t="s">
        <v>1991</v>
      </c>
      <c r="X2617">
        <v>1967</v>
      </c>
      <c r="Y2617" t="s">
        <v>2006</v>
      </c>
      <c r="Z2617" t="s">
        <v>2020</v>
      </c>
      <c r="AB2617" t="s">
        <v>13474</v>
      </c>
      <c r="AD2617" t="s">
        <v>16004</v>
      </c>
      <c r="AE2617">
        <v>169</v>
      </c>
      <c r="AF2617" t="s">
        <v>2910</v>
      </c>
      <c r="AG2617" t="s">
        <v>2915</v>
      </c>
      <c r="AH2617">
        <v>3</v>
      </c>
      <c r="AI2617">
        <v>2</v>
      </c>
      <c r="AJ2617">
        <v>0</v>
      </c>
      <c r="AK2617">
        <v>163.22</v>
      </c>
      <c r="AN2617" t="s">
        <v>2926</v>
      </c>
      <c r="AO2617">
        <v>27600</v>
      </c>
      <c r="AP2617" t="s">
        <v>18358</v>
      </c>
      <c r="AU2617">
        <v>41.5</v>
      </c>
      <c r="AV2617" t="s">
        <v>3035</v>
      </c>
      <c r="AW2617" t="s">
        <v>3054</v>
      </c>
      <c r="AX2617" t="s">
        <v>18685</v>
      </c>
    </row>
    <row r="2618" spans="1:50">
      <c r="A2618" s="1" t="s">
        <v>73</v>
      </c>
      <c r="B2618" t="s">
        <v>163</v>
      </c>
      <c r="C2618" t="s">
        <v>5828</v>
      </c>
      <c r="D2618" t="s">
        <v>295</v>
      </c>
      <c r="F2618" t="s">
        <v>7779</v>
      </c>
      <c r="G2618" t="s">
        <v>9037</v>
      </c>
      <c r="H2618" t="s">
        <v>1293</v>
      </c>
      <c r="I2618" t="s">
        <v>11429</v>
      </c>
      <c r="J2618" t="s">
        <v>1645</v>
      </c>
      <c r="K2618">
        <v>11691</v>
      </c>
      <c r="L2618" t="s">
        <v>1670</v>
      </c>
      <c r="M2618" t="s">
        <v>1670</v>
      </c>
      <c r="O2618" t="s">
        <v>1938</v>
      </c>
      <c r="P2618" t="s">
        <v>1962</v>
      </c>
      <c r="R2618" t="s">
        <v>50</v>
      </c>
      <c r="S2618" t="s">
        <v>1670</v>
      </c>
      <c r="U2618" t="s">
        <v>1972</v>
      </c>
      <c r="W2618" t="s">
        <v>295</v>
      </c>
      <c r="X2618">
        <v>637</v>
      </c>
      <c r="Y2618" t="s">
        <v>2007</v>
      </c>
      <c r="Z2618" t="s">
        <v>2014</v>
      </c>
      <c r="AB2618" t="s">
        <v>14875</v>
      </c>
      <c r="AD2618" t="s">
        <v>17278</v>
      </c>
      <c r="AE2618">
        <v>43</v>
      </c>
      <c r="AH2618">
        <v>10</v>
      </c>
      <c r="AI2618">
        <v>1</v>
      </c>
      <c r="AJ2618">
        <v>0</v>
      </c>
      <c r="AK2618">
        <v>163.33</v>
      </c>
      <c r="AN2618" t="s">
        <v>2926</v>
      </c>
      <c r="AO2618">
        <v>20400</v>
      </c>
      <c r="AU2618">
        <v>0.1</v>
      </c>
      <c r="AV2618" t="s">
        <v>346</v>
      </c>
      <c r="AW2618" t="s">
        <v>3073</v>
      </c>
    </row>
    <row r="2619" spans="1:50">
      <c r="A2619" s="1" t="s">
        <v>73</v>
      </c>
      <c r="B2619" t="s">
        <v>163</v>
      </c>
      <c r="C2619" t="s">
        <v>5829</v>
      </c>
      <c r="D2619" t="s">
        <v>295</v>
      </c>
      <c r="F2619" t="s">
        <v>7779</v>
      </c>
      <c r="G2619" t="s">
        <v>9037</v>
      </c>
      <c r="H2619" t="s">
        <v>1293</v>
      </c>
      <c r="I2619" t="s">
        <v>11429</v>
      </c>
      <c r="J2619" t="s">
        <v>1645</v>
      </c>
      <c r="K2619">
        <v>11691</v>
      </c>
      <c r="L2619" t="s">
        <v>1670</v>
      </c>
      <c r="M2619" t="s">
        <v>1670</v>
      </c>
      <c r="O2619" t="s">
        <v>1941</v>
      </c>
      <c r="P2619" t="s">
        <v>1962</v>
      </c>
      <c r="R2619" t="s">
        <v>50</v>
      </c>
      <c r="S2619" t="s">
        <v>1670</v>
      </c>
      <c r="U2619" t="s">
        <v>1972</v>
      </c>
      <c r="W2619" t="s">
        <v>295</v>
      </c>
      <c r="X2619">
        <v>637</v>
      </c>
      <c r="Y2619" t="s">
        <v>2007</v>
      </c>
      <c r="AB2619" t="s">
        <v>14875</v>
      </c>
      <c r="AD2619" t="s">
        <v>17278</v>
      </c>
      <c r="AE2619">
        <v>43</v>
      </c>
      <c r="AH2619">
        <v>10</v>
      </c>
      <c r="AI2619">
        <v>1</v>
      </c>
      <c r="AJ2619">
        <v>0</v>
      </c>
      <c r="AK2619">
        <v>163.33</v>
      </c>
      <c r="AN2619" t="s">
        <v>2926</v>
      </c>
      <c r="AO2619">
        <v>20400</v>
      </c>
      <c r="AU2619">
        <v>0.1</v>
      </c>
      <c r="AV2619" t="s">
        <v>346</v>
      </c>
      <c r="AW2619" t="s">
        <v>3073</v>
      </c>
    </row>
    <row r="2620" spans="1:50">
      <c r="A2620" s="1" t="s">
        <v>3158</v>
      </c>
      <c r="B2620" t="s">
        <v>164</v>
      </c>
      <c r="C2620" t="s">
        <v>5830</v>
      </c>
      <c r="D2620" t="s">
        <v>180</v>
      </c>
      <c r="E2620" t="s">
        <v>232</v>
      </c>
      <c r="F2620" t="s">
        <v>7401</v>
      </c>
      <c r="G2620" t="s">
        <v>877</v>
      </c>
      <c r="H2620" t="s">
        <v>10591</v>
      </c>
      <c r="I2620">
        <v>48</v>
      </c>
      <c r="J2620" t="s">
        <v>1643</v>
      </c>
      <c r="K2620">
        <v>10032</v>
      </c>
      <c r="L2620" t="s">
        <v>1670</v>
      </c>
      <c r="M2620" t="s">
        <v>1670</v>
      </c>
      <c r="O2620" t="s">
        <v>1675</v>
      </c>
      <c r="P2620" t="s">
        <v>1959</v>
      </c>
      <c r="Q2620" t="s">
        <v>1965</v>
      </c>
      <c r="R2620" t="s">
        <v>50</v>
      </c>
      <c r="S2620" t="s">
        <v>1671</v>
      </c>
      <c r="U2620" t="s">
        <v>1972</v>
      </c>
      <c r="W2620" t="s">
        <v>180</v>
      </c>
      <c r="X2620">
        <v>419.6</v>
      </c>
      <c r="Y2620" t="s">
        <v>2008</v>
      </c>
      <c r="Z2620" t="s">
        <v>2013</v>
      </c>
      <c r="AA2620" t="s">
        <v>2029</v>
      </c>
      <c r="AB2620" t="s">
        <v>14876</v>
      </c>
      <c r="AD2620" t="s">
        <v>17279</v>
      </c>
      <c r="AE2620">
        <v>71</v>
      </c>
      <c r="AF2620" t="s">
        <v>2908</v>
      </c>
      <c r="AG2620" t="s">
        <v>1754</v>
      </c>
      <c r="AH2620">
        <v>56</v>
      </c>
      <c r="AI2620">
        <v>1</v>
      </c>
      <c r="AJ2620">
        <v>0</v>
      </c>
      <c r="AK2620">
        <v>163.69</v>
      </c>
      <c r="AN2620" t="s">
        <v>2926</v>
      </c>
      <c r="AO2620">
        <v>19872</v>
      </c>
      <c r="AU2620">
        <v>1.5</v>
      </c>
      <c r="AV2620" t="s">
        <v>232</v>
      </c>
      <c r="AW2620" t="s">
        <v>3042</v>
      </c>
    </row>
    <row r="2621" spans="1:50">
      <c r="A2621" s="1" t="s">
        <v>105</v>
      </c>
      <c r="B2621" t="s">
        <v>163</v>
      </c>
      <c r="C2621" t="s">
        <v>5831</v>
      </c>
      <c r="D2621" t="s">
        <v>6171</v>
      </c>
      <c r="F2621" t="s">
        <v>7780</v>
      </c>
      <c r="G2621" t="s">
        <v>9038</v>
      </c>
      <c r="H2621" t="s">
        <v>10592</v>
      </c>
      <c r="I2621" t="s">
        <v>1487</v>
      </c>
      <c r="J2621" t="s">
        <v>1641</v>
      </c>
      <c r="K2621">
        <v>10462</v>
      </c>
      <c r="L2621" t="s">
        <v>1670</v>
      </c>
      <c r="M2621" t="s">
        <v>1670</v>
      </c>
      <c r="N2621" t="s">
        <v>12631</v>
      </c>
      <c r="O2621" t="s">
        <v>1936</v>
      </c>
      <c r="P2621" t="s">
        <v>1960</v>
      </c>
      <c r="R2621" t="s">
        <v>50</v>
      </c>
      <c r="S2621" t="s">
        <v>1671</v>
      </c>
      <c r="U2621" t="s">
        <v>1972</v>
      </c>
      <c r="V2621" t="s">
        <v>1984</v>
      </c>
      <c r="W2621" t="s">
        <v>216</v>
      </c>
      <c r="X2621">
        <v>1100</v>
      </c>
      <c r="Y2621" t="s">
        <v>2006</v>
      </c>
      <c r="Z2621" t="s">
        <v>2011</v>
      </c>
      <c r="AB2621" t="s">
        <v>14877</v>
      </c>
      <c r="AC2621" t="s">
        <v>15297</v>
      </c>
      <c r="AD2621" t="s">
        <v>17280</v>
      </c>
      <c r="AE2621">
        <v>10</v>
      </c>
      <c r="AF2621" t="s">
        <v>2902</v>
      </c>
      <c r="AG2621" t="s">
        <v>1754</v>
      </c>
      <c r="AH2621">
        <v>4</v>
      </c>
      <c r="AI2621">
        <v>1</v>
      </c>
      <c r="AJ2621">
        <v>0</v>
      </c>
      <c r="AK2621">
        <v>163.75</v>
      </c>
      <c r="AN2621" t="s">
        <v>2926</v>
      </c>
      <c r="AO2621">
        <v>19879.08</v>
      </c>
      <c r="AU2621">
        <v>24.75</v>
      </c>
      <c r="AV2621" t="s">
        <v>190</v>
      </c>
      <c r="AW2621" t="s">
        <v>3046</v>
      </c>
    </row>
    <row r="2622" spans="1:50">
      <c r="A2622" s="1" t="s">
        <v>98</v>
      </c>
      <c r="B2622" t="s">
        <v>163</v>
      </c>
      <c r="C2622" t="s">
        <v>5832</v>
      </c>
      <c r="D2622" t="s">
        <v>291</v>
      </c>
      <c r="F2622" t="s">
        <v>7301</v>
      </c>
      <c r="G2622" t="s">
        <v>685</v>
      </c>
      <c r="H2622" t="s">
        <v>10593</v>
      </c>
      <c r="J2622" t="s">
        <v>1641</v>
      </c>
      <c r="K2622">
        <v>10462</v>
      </c>
      <c r="L2622" t="s">
        <v>1670</v>
      </c>
      <c r="M2622" t="s">
        <v>1672</v>
      </c>
      <c r="O2622" t="s">
        <v>1675</v>
      </c>
      <c r="P2622" t="s">
        <v>1958</v>
      </c>
      <c r="R2622" t="s">
        <v>50</v>
      </c>
      <c r="S2622" t="s">
        <v>1671</v>
      </c>
      <c r="U2622" t="s">
        <v>1972</v>
      </c>
      <c r="W2622" t="s">
        <v>1994</v>
      </c>
      <c r="X2622">
        <v>920</v>
      </c>
      <c r="Y2622" t="s">
        <v>2006</v>
      </c>
      <c r="Z2622" t="s">
        <v>2015</v>
      </c>
      <c r="AB2622" t="s">
        <v>14878</v>
      </c>
      <c r="AD2622" t="s">
        <v>17281</v>
      </c>
      <c r="AE2622" t="s">
        <v>13051</v>
      </c>
      <c r="AF2622" t="s">
        <v>2902</v>
      </c>
      <c r="AG2622" t="s">
        <v>2919</v>
      </c>
      <c r="AH2622">
        <v>14</v>
      </c>
      <c r="AI2622">
        <v>1</v>
      </c>
      <c r="AJ2622">
        <v>0</v>
      </c>
      <c r="AK2622">
        <v>163.91</v>
      </c>
      <c r="AN2622" t="s">
        <v>2927</v>
      </c>
      <c r="AO2622">
        <v>20472</v>
      </c>
      <c r="AU2622">
        <v>2.3</v>
      </c>
      <c r="AV2622" t="s">
        <v>291</v>
      </c>
      <c r="AW2622" t="s">
        <v>98</v>
      </c>
      <c r="AX2622" t="s">
        <v>18685</v>
      </c>
    </row>
    <row r="2623" spans="1:50">
      <c r="A2623" s="1" t="s">
        <v>103</v>
      </c>
      <c r="B2623" t="s">
        <v>164</v>
      </c>
      <c r="C2623" t="s">
        <v>5833</v>
      </c>
      <c r="D2623" t="s">
        <v>185</v>
      </c>
      <c r="E2623" t="s">
        <v>306</v>
      </c>
      <c r="F2623" t="s">
        <v>7781</v>
      </c>
      <c r="G2623" t="s">
        <v>9039</v>
      </c>
      <c r="H2623" t="s">
        <v>10594</v>
      </c>
      <c r="I2623">
        <v>3</v>
      </c>
      <c r="J2623" t="s">
        <v>1644</v>
      </c>
      <c r="K2623">
        <v>11233</v>
      </c>
      <c r="L2623" t="s">
        <v>1670</v>
      </c>
      <c r="M2623" t="s">
        <v>1670</v>
      </c>
      <c r="N2623" t="s">
        <v>12632</v>
      </c>
      <c r="O2623" t="s">
        <v>1936</v>
      </c>
      <c r="P2623" t="s">
        <v>1958</v>
      </c>
      <c r="Q2623" t="s">
        <v>1965</v>
      </c>
      <c r="R2623" t="s">
        <v>50</v>
      </c>
      <c r="S2623" t="s">
        <v>1670</v>
      </c>
      <c r="U2623" t="s">
        <v>1972</v>
      </c>
      <c r="W2623" t="s">
        <v>185</v>
      </c>
      <c r="X2623">
        <v>1750</v>
      </c>
      <c r="Y2623" t="s">
        <v>2009</v>
      </c>
      <c r="AA2623" t="s">
        <v>2029</v>
      </c>
      <c r="AB2623" t="s">
        <v>14879</v>
      </c>
      <c r="AC2623" t="s">
        <v>15298</v>
      </c>
      <c r="AD2623" t="s">
        <v>17282</v>
      </c>
      <c r="AE2623">
        <v>6</v>
      </c>
      <c r="AF2623" t="s">
        <v>2902</v>
      </c>
      <c r="AG2623" t="s">
        <v>1754</v>
      </c>
      <c r="AH2623">
        <v>1</v>
      </c>
      <c r="AI2623">
        <v>2</v>
      </c>
      <c r="AJ2623">
        <v>0</v>
      </c>
      <c r="AK2623">
        <v>164.03</v>
      </c>
      <c r="AN2623" t="s">
        <v>2926</v>
      </c>
      <c r="AO2623">
        <v>27000</v>
      </c>
      <c r="AU2623">
        <v>2.5</v>
      </c>
      <c r="AV2623" t="s">
        <v>228</v>
      </c>
      <c r="AW2623" t="s">
        <v>3060</v>
      </c>
    </row>
    <row r="2624" spans="1:50">
      <c r="A2624" s="1" t="s">
        <v>64</v>
      </c>
      <c r="B2624" t="s">
        <v>163</v>
      </c>
      <c r="C2624" t="s">
        <v>5834</v>
      </c>
      <c r="D2624" t="s">
        <v>356</v>
      </c>
      <c r="F2624" t="s">
        <v>7782</v>
      </c>
      <c r="G2624" t="s">
        <v>9040</v>
      </c>
      <c r="H2624" t="s">
        <v>9636</v>
      </c>
      <c r="I2624" t="s">
        <v>1541</v>
      </c>
      <c r="J2624" t="s">
        <v>1643</v>
      </c>
      <c r="K2624">
        <v>10040</v>
      </c>
      <c r="L2624" t="s">
        <v>1670</v>
      </c>
      <c r="M2624" t="s">
        <v>1670</v>
      </c>
      <c r="O2624" t="s">
        <v>1939</v>
      </c>
      <c r="P2624" t="s">
        <v>1958</v>
      </c>
      <c r="R2624" t="s">
        <v>50</v>
      </c>
      <c r="S2624" t="s">
        <v>1670</v>
      </c>
      <c r="U2624" t="s">
        <v>1972</v>
      </c>
      <c r="W2624" t="s">
        <v>356</v>
      </c>
      <c r="X2624">
        <v>1000</v>
      </c>
      <c r="Y2624" t="s">
        <v>2008</v>
      </c>
      <c r="Z2624" t="s">
        <v>2013</v>
      </c>
      <c r="AB2624" t="s">
        <v>14880</v>
      </c>
      <c r="AE2624">
        <v>42</v>
      </c>
      <c r="AF2624" t="s">
        <v>2902</v>
      </c>
      <c r="AG2624" t="s">
        <v>1754</v>
      </c>
      <c r="AH2624">
        <v>1</v>
      </c>
      <c r="AI2624">
        <v>2</v>
      </c>
      <c r="AJ2624">
        <v>0</v>
      </c>
      <c r="AK2624">
        <v>164.03</v>
      </c>
      <c r="AL2624" t="s">
        <v>18027</v>
      </c>
      <c r="AM2624" t="s">
        <v>18032</v>
      </c>
      <c r="AN2624" t="s">
        <v>2926</v>
      </c>
      <c r="AO2624">
        <v>27000</v>
      </c>
      <c r="AU2624" t="s">
        <v>13051</v>
      </c>
      <c r="AW2624" t="s">
        <v>3042</v>
      </c>
    </row>
    <row r="2625" spans="1:50">
      <c r="A2625" s="1" t="s">
        <v>136</v>
      </c>
      <c r="B2625" t="s">
        <v>163</v>
      </c>
      <c r="C2625" t="s">
        <v>5835</v>
      </c>
      <c r="D2625" t="s">
        <v>311</v>
      </c>
      <c r="F2625" t="s">
        <v>714</v>
      </c>
      <c r="G2625" t="s">
        <v>9041</v>
      </c>
      <c r="H2625" t="s">
        <v>1117</v>
      </c>
      <c r="I2625" t="s">
        <v>1513</v>
      </c>
      <c r="J2625" t="s">
        <v>1644</v>
      </c>
      <c r="K2625">
        <v>11221</v>
      </c>
      <c r="L2625" t="s">
        <v>1670</v>
      </c>
      <c r="M2625" t="s">
        <v>1670</v>
      </c>
      <c r="N2625" t="s">
        <v>12240</v>
      </c>
      <c r="O2625" t="s">
        <v>1939</v>
      </c>
      <c r="P2625" t="s">
        <v>1960</v>
      </c>
      <c r="R2625" t="s">
        <v>50</v>
      </c>
      <c r="U2625" t="s">
        <v>1972</v>
      </c>
      <c r="W2625" t="s">
        <v>311</v>
      </c>
      <c r="X2625">
        <v>750</v>
      </c>
      <c r="Y2625" t="s">
        <v>2009</v>
      </c>
      <c r="Z2625" t="s">
        <v>2020</v>
      </c>
      <c r="AB2625" t="s">
        <v>14881</v>
      </c>
      <c r="AD2625" t="s">
        <v>17283</v>
      </c>
      <c r="AE2625">
        <v>7</v>
      </c>
      <c r="AG2625" t="s">
        <v>1754</v>
      </c>
      <c r="AH2625">
        <v>23</v>
      </c>
      <c r="AI2625">
        <v>1</v>
      </c>
      <c r="AJ2625">
        <v>0</v>
      </c>
      <c r="AK2625">
        <v>164.05</v>
      </c>
      <c r="AN2625" t="s">
        <v>2926</v>
      </c>
      <c r="AO2625">
        <v>19916</v>
      </c>
      <c r="AU2625" t="s">
        <v>13051</v>
      </c>
      <c r="AW2625" t="s">
        <v>3063</v>
      </c>
    </row>
    <row r="2626" spans="1:50">
      <c r="A2626" s="1" t="s">
        <v>151</v>
      </c>
      <c r="B2626" t="s">
        <v>164</v>
      </c>
      <c r="C2626" t="s">
        <v>5836</v>
      </c>
      <c r="D2626" t="s">
        <v>3031</v>
      </c>
      <c r="E2626" t="s">
        <v>6766</v>
      </c>
      <c r="F2626" t="s">
        <v>7783</v>
      </c>
      <c r="G2626" t="s">
        <v>9042</v>
      </c>
      <c r="H2626" t="s">
        <v>10595</v>
      </c>
      <c r="J2626" t="s">
        <v>11743</v>
      </c>
      <c r="K2626">
        <v>11421</v>
      </c>
      <c r="L2626" t="s">
        <v>1670</v>
      </c>
      <c r="M2626" t="s">
        <v>1672</v>
      </c>
      <c r="N2626" t="s">
        <v>12633</v>
      </c>
      <c r="O2626" t="s">
        <v>1940</v>
      </c>
      <c r="P2626" t="s">
        <v>1958</v>
      </c>
      <c r="Q2626" t="s">
        <v>1965</v>
      </c>
      <c r="R2626" t="s">
        <v>50</v>
      </c>
      <c r="S2626" t="s">
        <v>1671</v>
      </c>
      <c r="U2626" t="s">
        <v>1972</v>
      </c>
      <c r="V2626" t="s">
        <v>1984</v>
      </c>
      <c r="W2626" t="s">
        <v>3031</v>
      </c>
      <c r="X2626">
        <v>1350</v>
      </c>
      <c r="Y2626" t="s">
        <v>2007</v>
      </c>
      <c r="Z2626" t="s">
        <v>2014</v>
      </c>
      <c r="AA2626" t="s">
        <v>2029</v>
      </c>
      <c r="AB2626" t="s">
        <v>14882</v>
      </c>
      <c r="AD2626" t="s">
        <v>17284</v>
      </c>
      <c r="AE2626">
        <v>3</v>
      </c>
      <c r="AF2626" t="s">
        <v>2903</v>
      </c>
      <c r="AG2626" t="s">
        <v>1754</v>
      </c>
      <c r="AH2626">
        <v>1</v>
      </c>
      <c r="AI2626">
        <v>3</v>
      </c>
      <c r="AJ2626">
        <v>0</v>
      </c>
      <c r="AK2626">
        <v>164.09</v>
      </c>
      <c r="AN2626" t="s">
        <v>2927</v>
      </c>
      <c r="AO2626">
        <v>35000</v>
      </c>
      <c r="AU2626">
        <v>1.05</v>
      </c>
      <c r="AV2626" t="s">
        <v>188</v>
      </c>
      <c r="AW2626" t="s">
        <v>151</v>
      </c>
      <c r="AX2626" t="s">
        <v>18685</v>
      </c>
    </row>
    <row r="2627" spans="1:50">
      <c r="A2627" s="1" t="s">
        <v>59</v>
      </c>
      <c r="B2627" t="s">
        <v>163</v>
      </c>
      <c r="C2627" t="s">
        <v>5837</v>
      </c>
      <c r="D2627" t="s">
        <v>320</v>
      </c>
      <c r="F2627" t="s">
        <v>449</v>
      </c>
      <c r="G2627" t="s">
        <v>9043</v>
      </c>
      <c r="H2627" t="s">
        <v>1114</v>
      </c>
      <c r="I2627" t="s">
        <v>10938</v>
      </c>
      <c r="J2627" t="s">
        <v>1641</v>
      </c>
      <c r="K2627">
        <v>10456</v>
      </c>
      <c r="L2627" t="s">
        <v>1670</v>
      </c>
      <c r="M2627" t="s">
        <v>1670</v>
      </c>
      <c r="O2627" t="s">
        <v>1938</v>
      </c>
      <c r="P2627" t="s">
        <v>1961</v>
      </c>
      <c r="R2627" t="s">
        <v>50</v>
      </c>
      <c r="S2627" t="s">
        <v>1670</v>
      </c>
      <c r="U2627" t="s">
        <v>1972</v>
      </c>
      <c r="W2627" t="s">
        <v>283</v>
      </c>
      <c r="X2627">
        <v>1268.04</v>
      </c>
      <c r="Y2627" t="s">
        <v>2006</v>
      </c>
      <c r="Z2627" t="s">
        <v>2015</v>
      </c>
      <c r="AB2627" t="s">
        <v>13250</v>
      </c>
      <c r="AD2627" t="s">
        <v>17285</v>
      </c>
      <c r="AE2627">
        <v>131</v>
      </c>
      <c r="AF2627" t="s">
        <v>2902</v>
      </c>
      <c r="AG2627" t="s">
        <v>1754</v>
      </c>
      <c r="AH2627">
        <v>21</v>
      </c>
      <c r="AI2627">
        <v>3</v>
      </c>
      <c r="AJ2627">
        <v>0</v>
      </c>
      <c r="AK2627">
        <v>164.09</v>
      </c>
      <c r="AN2627" t="s">
        <v>2927</v>
      </c>
      <c r="AO2627">
        <v>35000</v>
      </c>
      <c r="AU2627" t="s">
        <v>13051</v>
      </c>
      <c r="AW2627" t="s">
        <v>3047</v>
      </c>
    </row>
    <row r="2628" spans="1:50">
      <c r="A2628" s="1" t="s">
        <v>130</v>
      </c>
      <c r="B2628" t="s">
        <v>164</v>
      </c>
      <c r="C2628" t="s">
        <v>5838</v>
      </c>
      <c r="D2628" t="s">
        <v>329</v>
      </c>
      <c r="E2628" t="s">
        <v>249</v>
      </c>
      <c r="F2628" t="s">
        <v>7132</v>
      </c>
      <c r="G2628" t="s">
        <v>8223</v>
      </c>
      <c r="H2628" t="s">
        <v>9510</v>
      </c>
      <c r="I2628" t="s">
        <v>1602</v>
      </c>
      <c r="J2628" t="s">
        <v>1644</v>
      </c>
      <c r="K2628">
        <v>11233</v>
      </c>
      <c r="L2628" t="s">
        <v>1670</v>
      </c>
      <c r="M2628" t="s">
        <v>1670</v>
      </c>
      <c r="N2628" t="s">
        <v>12634</v>
      </c>
      <c r="O2628" t="s">
        <v>1938</v>
      </c>
      <c r="P2628" t="s">
        <v>1961</v>
      </c>
      <c r="Q2628" t="s">
        <v>1970</v>
      </c>
      <c r="R2628" t="s">
        <v>50</v>
      </c>
      <c r="S2628" t="s">
        <v>1670</v>
      </c>
      <c r="U2628" t="s">
        <v>1972</v>
      </c>
      <c r="W2628" t="s">
        <v>304</v>
      </c>
      <c r="X2628" t="s">
        <v>13051</v>
      </c>
      <c r="Y2628" t="s">
        <v>2009</v>
      </c>
      <c r="Z2628" t="s">
        <v>2021</v>
      </c>
      <c r="AA2628" t="s">
        <v>2031</v>
      </c>
      <c r="AB2628" t="s">
        <v>13565</v>
      </c>
      <c r="AD2628" t="s">
        <v>15077</v>
      </c>
      <c r="AE2628">
        <v>7</v>
      </c>
      <c r="AF2628" t="s">
        <v>2902</v>
      </c>
      <c r="AH2628" t="s">
        <v>13051</v>
      </c>
      <c r="AI2628">
        <v>1</v>
      </c>
      <c r="AJ2628">
        <v>0</v>
      </c>
      <c r="AK2628">
        <v>164.74</v>
      </c>
      <c r="AN2628" t="s">
        <v>2926</v>
      </c>
      <c r="AO2628">
        <v>20000</v>
      </c>
      <c r="AU2628">
        <v>1.8</v>
      </c>
      <c r="AV2628" t="s">
        <v>235</v>
      </c>
      <c r="AW2628" t="s">
        <v>121</v>
      </c>
      <c r="AX2628" t="s">
        <v>18685</v>
      </c>
    </row>
    <row r="2629" spans="1:50">
      <c r="A2629" s="1" t="s">
        <v>74</v>
      </c>
      <c r="B2629" t="s">
        <v>163</v>
      </c>
      <c r="C2629" t="s">
        <v>5839</v>
      </c>
      <c r="D2629" t="s">
        <v>1993</v>
      </c>
      <c r="F2629" t="s">
        <v>7490</v>
      </c>
      <c r="G2629" t="s">
        <v>9044</v>
      </c>
      <c r="H2629" t="s">
        <v>9833</v>
      </c>
      <c r="I2629" t="s">
        <v>10960</v>
      </c>
      <c r="J2629" t="s">
        <v>1641</v>
      </c>
      <c r="K2629">
        <v>10453</v>
      </c>
      <c r="L2629" t="s">
        <v>1670</v>
      </c>
      <c r="M2629" t="s">
        <v>1670</v>
      </c>
      <c r="N2629" t="s">
        <v>12635</v>
      </c>
      <c r="O2629" t="s">
        <v>1936</v>
      </c>
      <c r="P2629" t="s">
        <v>1960</v>
      </c>
      <c r="R2629" t="s">
        <v>50</v>
      </c>
      <c r="S2629" t="s">
        <v>1671</v>
      </c>
      <c r="U2629" t="s">
        <v>1972</v>
      </c>
      <c r="W2629" t="s">
        <v>220</v>
      </c>
      <c r="X2629">
        <v>1366.88</v>
      </c>
      <c r="Y2629" t="s">
        <v>2006</v>
      </c>
      <c r="Z2629" t="s">
        <v>2021</v>
      </c>
      <c r="AB2629" t="s">
        <v>14883</v>
      </c>
      <c r="AD2629" t="s">
        <v>17286</v>
      </c>
      <c r="AE2629">
        <v>99</v>
      </c>
      <c r="AF2629" t="s">
        <v>2902</v>
      </c>
      <c r="AG2629" t="s">
        <v>1754</v>
      </c>
      <c r="AH2629">
        <v>2</v>
      </c>
      <c r="AI2629">
        <v>1</v>
      </c>
      <c r="AJ2629">
        <v>0</v>
      </c>
      <c r="AK2629">
        <v>164.74</v>
      </c>
      <c r="AN2629" t="s">
        <v>2926</v>
      </c>
      <c r="AO2629">
        <v>20000</v>
      </c>
      <c r="AP2629" t="s">
        <v>18359</v>
      </c>
      <c r="AU2629">
        <v>1</v>
      </c>
      <c r="AV2629" t="s">
        <v>217</v>
      </c>
      <c r="AW2629" t="s">
        <v>3054</v>
      </c>
    </row>
    <row r="2630" spans="1:50">
      <c r="A2630" s="1" t="s">
        <v>54</v>
      </c>
      <c r="B2630" t="s">
        <v>164</v>
      </c>
      <c r="C2630" t="s">
        <v>5840</v>
      </c>
      <c r="D2630" t="s">
        <v>213</v>
      </c>
      <c r="E2630" t="s">
        <v>392</v>
      </c>
      <c r="F2630" t="s">
        <v>7245</v>
      </c>
      <c r="G2630" t="s">
        <v>835</v>
      </c>
      <c r="H2630" t="s">
        <v>10495</v>
      </c>
      <c r="I2630" t="s">
        <v>1490</v>
      </c>
      <c r="J2630" t="s">
        <v>1643</v>
      </c>
      <c r="K2630">
        <v>10034</v>
      </c>
      <c r="L2630" t="s">
        <v>1670</v>
      </c>
      <c r="M2630" t="s">
        <v>1670</v>
      </c>
      <c r="N2630" t="s">
        <v>12636</v>
      </c>
      <c r="O2630" t="s">
        <v>1936</v>
      </c>
      <c r="P2630" t="s">
        <v>1958</v>
      </c>
      <c r="Q2630" t="s">
        <v>1965</v>
      </c>
      <c r="R2630" t="s">
        <v>50</v>
      </c>
      <c r="S2630" t="s">
        <v>1671</v>
      </c>
      <c r="U2630" t="s">
        <v>1972</v>
      </c>
      <c r="W2630" t="s">
        <v>213</v>
      </c>
      <c r="X2630">
        <v>1281</v>
      </c>
      <c r="Y2630" t="s">
        <v>2008</v>
      </c>
      <c r="Z2630" t="s">
        <v>2020</v>
      </c>
      <c r="AA2630" t="s">
        <v>2029</v>
      </c>
      <c r="AB2630" t="s">
        <v>14752</v>
      </c>
      <c r="AD2630" t="s">
        <v>17155</v>
      </c>
      <c r="AE2630">
        <v>100</v>
      </c>
      <c r="AF2630" t="s">
        <v>2902</v>
      </c>
      <c r="AG2630" t="s">
        <v>2919</v>
      </c>
      <c r="AH2630">
        <v>10</v>
      </c>
      <c r="AI2630">
        <v>1</v>
      </c>
      <c r="AJ2630">
        <v>0</v>
      </c>
      <c r="AK2630">
        <v>165.25</v>
      </c>
      <c r="AN2630" t="s">
        <v>2926</v>
      </c>
      <c r="AO2630">
        <v>20640</v>
      </c>
      <c r="AU2630">
        <v>2.35</v>
      </c>
      <c r="AV2630" t="s">
        <v>293</v>
      </c>
      <c r="AW2630" t="s">
        <v>3042</v>
      </c>
    </row>
    <row r="2631" spans="1:50">
      <c r="A2631" s="1" t="s">
        <v>3178</v>
      </c>
      <c r="B2631" t="s">
        <v>163</v>
      </c>
      <c r="C2631" t="s">
        <v>5841</v>
      </c>
      <c r="D2631" t="s">
        <v>405</v>
      </c>
      <c r="F2631" t="s">
        <v>6991</v>
      </c>
      <c r="G2631" t="s">
        <v>9045</v>
      </c>
      <c r="H2631" t="s">
        <v>10596</v>
      </c>
      <c r="I2631" t="s">
        <v>1507</v>
      </c>
      <c r="J2631" t="s">
        <v>1643</v>
      </c>
      <c r="K2631">
        <v>10017</v>
      </c>
      <c r="L2631" t="s">
        <v>1670</v>
      </c>
      <c r="M2631" t="s">
        <v>1672</v>
      </c>
      <c r="N2631" t="s">
        <v>12637</v>
      </c>
      <c r="O2631" t="s">
        <v>1936</v>
      </c>
      <c r="P2631" t="s">
        <v>1963</v>
      </c>
      <c r="R2631" t="s">
        <v>50</v>
      </c>
      <c r="S2631" t="s">
        <v>1671</v>
      </c>
      <c r="U2631" t="s">
        <v>1972</v>
      </c>
      <c r="V2631" t="s">
        <v>1984</v>
      </c>
      <c r="W2631" t="s">
        <v>405</v>
      </c>
      <c r="X2631">
        <v>1420.95</v>
      </c>
      <c r="Y2631" t="s">
        <v>2008</v>
      </c>
      <c r="Z2631" t="s">
        <v>2014</v>
      </c>
      <c r="AB2631" t="s">
        <v>13311</v>
      </c>
      <c r="AD2631" t="s">
        <v>17287</v>
      </c>
      <c r="AE2631">
        <v>28</v>
      </c>
      <c r="AF2631" t="s">
        <v>2908</v>
      </c>
      <c r="AG2631" t="s">
        <v>1754</v>
      </c>
      <c r="AH2631">
        <v>51</v>
      </c>
      <c r="AI2631">
        <v>1</v>
      </c>
      <c r="AJ2631">
        <v>0</v>
      </c>
      <c r="AK2631">
        <v>165.49</v>
      </c>
      <c r="AN2631" t="s">
        <v>2926</v>
      </c>
      <c r="AO2631">
        <v>20670</v>
      </c>
      <c r="AU2631">
        <v>0.1</v>
      </c>
      <c r="AV2631" t="s">
        <v>405</v>
      </c>
      <c r="AW2631" t="s">
        <v>3051</v>
      </c>
      <c r="AX2631" t="s">
        <v>18685</v>
      </c>
    </row>
    <row r="2632" spans="1:50">
      <c r="A2632" s="1" t="s">
        <v>127</v>
      </c>
      <c r="B2632" t="s">
        <v>163</v>
      </c>
      <c r="C2632" t="s">
        <v>5842</v>
      </c>
      <c r="D2632" t="s">
        <v>326</v>
      </c>
      <c r="F2632" t="s">
        <v>420</v>
      </c>
      <c r="G2632" t="s">
        <v>9046</v>
      </c>
      <c r="H2632" t="s">
        <v>9517</v>
      </c>
      <c r="I2632" t="s">
        <v>1477</v>
      </c>
      <c r="J2632" t="s">
        <v>1644</v>
      </c>
      <c r="K2632">
        <v>11212</v>
      </c>
      <c r="L2632" t="s">
        <v>1670</v>
      </c>
      <c r="M2632" t="s">
        <v>1670</v>
      </c>
      <c r="O2632" t="s">
        <v>1946</v>
      </c>
      <c r="P2632" t="s">
        <v>1960</v>
      </c>
      <c r="R2632" t="s">
        <v>50</v>
      </c>
      <c r="S2632" t="s">
        <v>1670</v>
      </c>
      <c r="U2632" t="s">
        <v>1972</v>
      </c>
      <c r="W2632" t="s">
        <v>326</v>
      </c>
      <c r="X2632">
        <v>625.95</v>
      </c>
      <c r="Y2632" t="s">
        <v>2009</v>
      </c>
      <c r="Z2632" t="s">
        <v>2016</v>
      </c>
      <c r="AB2632" t="s">
        <v>14884</v>
      </c>
      <c r="AD2632" t="s">
        <v>17288</v>
      </c>
      <c r="AE2632">
        <v>8</v>
      </c>
      <c r="AF2632" t="s">
        <v>2902</v>
      </c>
      <c r="AG2632" t="s">
        <v>1754</v>
      </c>
      <c r="AH2632">
        <v>22</v>
      </c>
      <c r="AI2632">
        <v>2</v>
      </c>
      <c r="AJ2632">
        <v>0</v>
      </c>
      <c r="AK2632">
        <v>165.58</v>
      </c>
      <c r="AN2632" t="s">
        <v>2926</v>
      </c>
      <c r="AO2632">
        <v>28000</v>
      </c>
      <c r="AP2632" t="s">
        <v>18360</v>
      </c>
      <c r="AU2632" t="s">
        <v>13051</v>
      </c>
      <c r="AW2632" t="s">
        <v>3060</v>
      </c>
    </row>
    <row r="2633" spans="1:50">
      <c r="A2633" s="1" t="s">
        <v>64</v>
      </c>
      <c r="B2633" t="s">
        <v>163</v>
      </c>
      <c r="C2633" t="s">
        <v>5843</v>
      </c>
      <c r="D2633" t="s">
        <v>356</v>
      </c>
      <c r="F2633" t="s">
        <v>7112</v>
      </c>
      <c r="G2633" t="s">
        <v>9047</v>
      </c>
      <c r="H2633" t="s">
        <v>9636</v>
      </c>
      <c r="I2633" t="s">
        <v>1622</v>
      </c>
      <c r="J2633" t="s">
        <v>1643</v>
      </c>
      <c r="K2633">
        <v>10040</v>
      </c>
      <c r="L2633" t="s">
        <v>1670</v>
      </c>
      <c r="M2633" t="s">
        <v>1670</v>
      </c>
      <c r="O2633" t="s">
        <v>1939</v>
      </c>
      <c r="P2633" t="s">
        <v>1958</v>
      </c>
      <c r="R2633" t="s">
        <v>50</v>
      </c>
      <c r="S2633" t="s">
        <v>1670</v>
      </c>
      <c r="U2633" t="s">
        <v>1972</v>
      </c>
      <c r="W2633" t="s">
        <v>356</v>
      </c>
      <c r="X2633">
        <v>2000</v>
      </c>
      <c r="Y2633" t="s">
        <v>2008</v>
      </c>
      <c r="Z2633" t="s">
        <v>2013</v>
      </c>
      <c r="AB2633" t="s">
        <v>14885</v>
      </c>
      <c r="AD2633" t="s">
        <v>17289</v>
      </c>
      <c r="AE2633">
        <v>42</v>
      </c>
      <c r="AF2633" t="s">
        <v>2902</v>
      </c>
      <c r="AG2633" t="s">
        <v>1754</v>
      </c>
      <c r="AH2633">
        <v>2</v>
      </c>
      <c r="AI2633">
        <v>2</v>
      </c>
      <c r="AJ2633">
        <v>0</v>
      </c>
      <c r="AK2633">
        <v>166.46</v>
      </c>
      <c r="AL2633" t="s">
        <v>18027</v>
      </c>
      <c r="AM2633" t="s">
        <v>18032</v>
      </c>
      <c r="AN2633" t="s">
        <v>2926</v>
      </c>
      <c r="AO2633">
        <v>27400</v>
      </c>
      <c r="AU2633" t="s">
        <v>13051</v>
      </c>
      <c r="AW2633" t="s">
        <v>3042</v>
      </c>
    </row>
    <row r="2634" spans="1:50">
      <c r="A2634" s="1" t="s">
        <v>97</v>
      </c>
      <c r="B2634" t="s">
        <v>163</v>
      </c>
      <c r="C2634" t="s">
        <v>5844</v>
      </c>
      <c r="D2634" t="s">
        <v>208</v>
      </c>
      <c r="F2634" t="s">
        <v>420</v>
      </c>
      <c r="G2634" t="s">
        <v>8518</v>
      </c>
      <c r="H2634" t="s">
        <v>10597</v>
      </c>
      <c r="I2634" t="s">
        <v>1558</v>
      </c>
      <c r="J2634" t="s">
        <v>1643</v>
      </c>
      <c r="K2634">
        <v>10034</v>
      </c>
      <c r="L2634" t="s">
        <v>1670</v>
      </c>
      <c r="M2634" t="s">
        <v>1670</v>
      </c>
      <c r="O2634" t="s">
        <v>1936</v>
      </c>
      <c r="P2634" t="s">
        <v>1958</v>
      </c>
      <c r="R2634" t="s">
        <v>50</v>
      </c>
      <c r="S2634" t="s">
        <v>1671</v>
      </c>
      <c r="U2634" t="s">
        <v>1972</v>
      </c>
      <c r="W2634" t="s">
        <v>208</v>
      </c>
      <c r="X2634">
        <v>1125.59</v>
      </c>
      <c r="Y2634" t="s">
        <v>2008</v>
      </c>
      <c r="Z2634" t="s">
        <v>2013</v>
      </c>
      <c r="AB2634" t="s">
        <v>14886</v>
      </c>
      <c r="AD2634" t="s">
        <v>17290</v>
      </c>
      <c r="AE2634">
        <v>59</v>
      </c>
      <c r="AF2634" t="s">
        <v>2902</v>
      </c>
      <c r="AG2634" t="s">
        <v>1754</v>
      </c>
      <c r="AH2634">
        <v>33</v>
      </c>
      <c r="AI2634">
        <v>1</v>
      </c>
      <c r="AJ2634">
        <v>0</v>
      </c>
      <c r="AK2634">
        <v>166.53</v>
      </c>
      <c r="AN2634" t="s">
        <v>2927</v>
      </c>
      <c r="AO2634">
        <v>20800</v>
      </c>
      <c r="AU2634">
        <v>1.4</v>
      </c>
      <c r="AV2634" t="s">
        <v>208</v>
      </c>
      <c r="AW2634" t="s">
        <v>3042</v>
      </c>
      <c r="AX2634" t="s">
        <v>18685</v>
      </c>
    </row>
    <row r="2635" spans="1:50">
      <c r="A2635" s="1" t="s">
        <v>132</v>
      </c>
      <c r="B2635" t="s">
        <v>163</v>
      </c>
      <c r="C2635" t="s">
        <v>5845</v>
      </c>
      <c r="D2635" t="s">
        <v>325</v>
      </c>
      <c r="F2635" t="s">
        <v>7784</v>
      </c>
      <c r="G2635" t="s">
        <v>9048</v>
      </c>
      <c r="H2635" t="s">
        <v>1290</v>
      </c>
      <c r="I2635" t="s">
        <v>1525</v>
      </c>
      <c r="J2635" t="s">
        <v>1644</v>
      </c>
      <c r="K2635">
        <v>11221</v>
      </c>
      <c r="L2635" t="s">
        <v>1671</v>
      </c>
      <c r="M2635" t="s">
        <v>1672</v>
      </c>
      <c r="N2635" t="s">
        <v>1754</v>
      </c>
      <c r="O2635" t="s">
        <v>1937</v>
      </c>
      <c r="P2635" t="s">
        <v>1962</v>
      </c>
      <c r="R2635" t="s">
        <v>50</v>
      </c>
      <c r="S2635" t="s">
        <v>1670</v>
      </c>
      <c r="U2635" t="s">
        <v>1977</v>
      </c>
      <c r="V2635" t="s">
        <v>1984</v>
      </c>
      <c r="W2635" t="s">
        <v>266</v>
      </c>
      <c r="X2635">
        <v>763</v>
      </c>
      <c r="Y2635" t="s">
        <v>2009</v>
      </c>
      <c r="Z2635" t="s">
        <v>2016</v>
      </c>
      <c r="AB2635" t="s">
        <v>14887</v>
      </c>
      <c r="AC2635" t="s">
        <v>1754</v>
      </c>
      <c r="AD2635" t="s">
        <v>17291</v>
      </c>
      <c r="AE2635">
        <v>12</v>
      </c>
      <c r="AF2635" t="s">
        <v>2902</v>
      </c>
      <c r="AG2635" t="s">
        <v>1754</v>
      </c>
      <c r="AH2635">
        <v>10</v>
      </c>
      <c r="AI2635">
        <v>1</v>
      </c>
      <c r="AJ2635">
        <v>0</v>
      </c>
      <c r="AK2635">
        <v>166.53</v>
      </c>
      <c r="AN2635" t="s">
        <v>2926</v>
      </c>
      <c r="AO2635">
        <v>20800</v>
      </c>
      <c r="AU2635" t="s">
        <v>13051</v>
      </c>
      <c r="AW2635" t="s">
        <v>3060</v>
      </c>
      <c r="AX2635" t="s">
        <v>1754</v>
      </c>
    </row>
    <row r="2636" spans="1:50">
      <c r="A2636" s="1" t="s">
        <v>143</v>
      </c>
      <c r="B2636" t="s">
        <v>163</v>
      </c>
      <c r="C2636" t="s">
        <v>5846</v>
      </c>
      <c r="D2636" t="s">
        <v>326</v>
      </c>
      <c r="F2636" t="s">
        <v>7784</v>
      </c>
      <c r="G2636" t="s">
        <v>9048</v>
      </c>
      <c r="H2636" t="s">
        <v>1290</v>
      </c>
      <c r="I2636" t="s">
        <v>1525</v>
      </c>
      <c r="J2636" t="s">
        <v>1644</v>
      </c>
      <c r="K2636">
        <v>11221</v>
      </c>
      <c r="L2636" t="s">
        <v>1671</v>
      </c>
      <c r="M2636" t="s">
        <v>1671</v>
      </c>
      <c r="O2636" t="s">
        <v>1946</v>
      </c>
      <c r="P2636" t="s">
        <v>1964</v>
      </c>
      <c r="R2636" t="s">
        <v>50</v>
      </c>
      <c r="S2636" t="s">
        <v>1670</v>
      </c>
      <c r="U2636" t="s">
        <v>1978</v>
      </c>
      <c r="W2636" t="s">
        <v>326</v>
      </c>
      <c r="X2636">
        <v>763</v>
      </c>
      <c r="Y2636" t="s">
        <v>2009</v>
      </c>
      <c r="Z2636" t="s">
        <v>2016</v>
      </c>
      <c r="AB2636" t="s">
        <v>14887</v>
      </c>
      <c r="AD2636" t="s">
        <v>17291</v>
      </c>
      <c r="AE2636">
        <v>12</v>
      </c>
      <c r="AF2636" t="s">
        <v>2902</v>
      </c>
      <c r="AG2636" t="s">
        <v>1754</v>
      </c>
      <c r="AH2636">
        <v>10</v>
      </c>
      <c r="AI2636">
        <v>1</v>
      </c>
      <c r="AJ2636">
        <v>0</v>
      </c>
      <c r="AK2636">
        <v>166.53</v>
      </c>
      <c r="AN2636" t="s">
        <v>2926</v>
      </c>
      <c r="AO2636">
        <v>20800</v>
      </c>
      <c r="AU2636">
        <v>7.5</v>
      </c>
      <c r="AV2636" t="s">
        <v>333</v>
      </c>
      <c r="AW2636" t="s">
        <v>3060</v>
      </c>
      <c r="AX2636" t="s">
        <v>1754</v>
      </c>
    </row>
    <row r="2637" spans="1:50">
      <c r="A2637" s="1" t="s">
        <v>3208</v>
      </c>
      <c r="B2637" t="s">
        <v>164</v>
      </c>
      <c r="C2637" t="s">
        <v>5847</v>
      </c>
      <c r="D2637" t="s">
        <v>328</v>
      </c>
      <c r="E2637" t="s">
        <v>333</v>
      </c>
      <c r="F2637" t="s">
        <v>526</v>
      </c>
      <c r="G2637" t="s">
        <v>1007</v>
      </c>
      <c r="H2637" t="s">
        <v>10598</v>
      </c>
      <c r="I2637" t="s">
        <v>11425</v>
      </c>
      <c r="J2637" t="s">
        <v>1644</v>
      </c>
      <c r="K2637">
        <v>11208</v>
      </c>
      <c r="L2637" t="s">
        <v>1670</v>
      </c>
      <c r="M2637" t="s">
        <v>1672</v>
      </c>
      <c r="N2637" t="s">
        <v>12638</v>
      </c>
      <c r="O2637" t="s">
        <v>1940</v>
      </c>
      <c r="P2637" t="s">
        <v>1960</v>
      </c>
      <c r="Q2637" t="s">
        <v>1965</v>
      </c>
      <c r="R2637" t="s">
        <v>50</v>
      </c>
      <c r="U2637" t="s">
        <v>1972</v>
      </c>
      <c r="W2637" t="s">
        <v>13036</v>
      </c>
      <c r="X2637" t="s">
        <v>13051</v>
      </c>
      <c r="Y2637" t="s">
        <v>2009</v>
      </c>
      <c r="AA2637" t="s">
        <v>2029</v>
      </c>
      <c r="AB2637" t="s">
        <v>14888</v>
      </c>
      <c r="AD2637" t="s">
        <v>17292</v>
      </c>
      <c r="AE2637" t="s">
        <v>13051</v>
      </c>
      <c r="AH2637" t="s">
        <v>13051</v>
      </c>
      <c r="AI2637">
        <v>1</v>
      </c>
      <c r="AJ2637">
        <v>0</v>
      </c>
      <c r="AK2637">
        <v>166.53</v>
      </c>
      <c r="AN2637" t="s">
        <v>2926</v>
      </c>
      <c r="AO2637">
        <v>20800</v>
      </c>
      <c r="AU2637">
        <v>1</v>
      </c>
      <c r="AV2637" t="s">
        <v>328</v>
      </c>
      <c r="AW2637" t="s">
        <v>3043</v>
      </c>
      <c r="AX2637" t="s">
        <v>18685</v>
      </c>
    </row>
    <row r="2638" spans="1:50">
      <c r="A2638" s="1" t="s">
        <v>143</v>
      </c>
      <c r="B2638" t="s">
        <v>163</v>
      </c>
      <c r="C2638" t="s">
        <v>5848</v>
      </c>
      <c r="D2638" t="s">
        <v>325</v>
      </c>
      <c r="F2638" t="s">
        <v>7784</v>
      </c>
      <c r="G2638" t="s">
        <v>9048</v>
      </c>
      <c r="H2638" t="s">
        <v>1290</v>
      </c>
      <c r="I2638" t="s">
        <v>1525</v>
      </c>
      <c r="J2638" t="s">
        <v>1644</v>
      </c>
      <c r="K2638">
        <v>11221</v>
      </c>
      <c r="L2638" t="s">
        <v>1671</v>
      </c>
      <c r="M2638" t="s">
        <v>1672</v>
      </c>
      <c r="N2638" t="s">
        <v>12639</v>
      </c>
      <c r="O2638" t="s">
        <v>1936</v>
      </c>
      <c r="P2638" t="s">
        <v>1960</v>
      </c>
      <c r="R2638" t="s">
        <v>50</v>
      </c>
      <c r="S2638" t="s">
        <v>1671</v>
      </c>
      <c r="U2638" t="s">
        <v>1972</v>
      </c>
      <c r="V2638" t="s">
        <v>1984</v>
      </c>
      <c r="W2638" t="s">
        <v>266</v>
      </c>
      <c r="X2638">
        <v>763</v>
      </c>
      <c r="Y2638" t="s">
        <v>2009</v>
      </c>
      <c r="Z2638" t="s">
        <v>2016</v>
      </c>
      <c r="AB2638" t="s">
        <v>14887</v>
      </c>
      <c r="AC2638" t="s">
        <v>1754</v>
      </c>
      <c r="AD2638" t="s">
        <v>17291</v>
      </c>
      <c r="AE2638">
        <v>12</v>
      </c>
      <c r="AF2638" t="s">
        <v>2902</v>
      </c>
      <c r="AG2638" t="s">
        <v>1754</v>
      </c>
      <c r="AH2638">
        <v>10</v>
      </c>
      <c r="AI2638">
        <v>1</v>
      </c>
      <c r="AJ2638">
        <v>0</v>
      </c>
      <c r="AK2638">
        <v>166.53</v>
      </c>
      <c r="AN2638" t="s">
        <v>2926</v>
      </c>
      <c r="AO2638">
        <v>20800</v>
      </c>
      <c r="AU2638" t="s">
        <v>13051</v>
      </c>
      <c r="AW2638" t="s">
        <v>3060</v>
      </c>
      <c r="AX2638" t="s">
        <v>1754</v>
      </c>
    </row>
    <row r="2639" spans="1:50">
      <c r="A2639" s="1" t="s">
        <v>78</v>
      </c>
      <c r="B2639" t="s">
        <v>164</v>
      </c>
      <c r="C2639" t="s">
        <v>5849</v>
      </c>
      <c r="D2639" t="s">
        <v>251</v>
      </c>
      <c r="E2639" t="s">
        <v>6770</v>
      </c>
      <c r="F2639" t="s">
        <v>7785</v>
      </c>
      <c r="G2639" t="s">
        <v>8926</v>
      </c>
      <c r="H2639" t="s">
        <v>1292</v>
      </c>
      <c r="I2639" t="s">
        <v>1619</v>
      </c>
      <c r="J2639" t="s">
        <v>1646</v>
      </c>
      <c r="K2639">
        <v>10304</v>
      </c>
      <c r="L2639" t="s">
        <v>1670</v>
      </c>
      <c r="M2639" t="s">
        <v>1670</v>
      </c>
      <c r="N2639" t="s">
        <v>12640</v>
      </c>
      <c r="O2639" t="s">
        <v>1936</v>
      </c>
      <c r="P2639" t="s">
        <v>1960</v>
      </c>
      <c r="Q2639" t="s">
        <v>1969</v>
      </c>
      <c r="R2639" t="s">
        <v>50</v>
      </c>
      <c r="S2639" t="s">
        <v>1671</v>
      </c>
      <c r="U2639" t="s">
        <v>1972</v>
      </c>
      <c r="V2639" t="s">
        <v>1984</v>
      </c>
      <c r="W2639" t="s">
        <v>251</v>
      </c>
      <c r="X2639">
        <v>1307.97</v>
      </c>
      <c r="Y2639" t="s">
        <v>2010</v>
      </c>
      <c r="Z2639" t="s">
        <v>2020</v>
      </c>
      <c r="AA2639" t="s">
        <v>2032</v>
      </c>
      <c r="AB2639" t="s">
        <v>14889</v>
      </c>
      <c r="AD2639" t="s">
        <v>17293</v>
      </c>
      <c r="AE2639">
        <v>85</v>
      </c>
      <c r="AF2639" t="s">
        <v>2902</v>
      </c>
      <c r="AG2639" t="s">
        <v>1754</v>
      </c>
      <c r="AH2639">
        <v>6</v>
      </c>
      <c r="AI2639">
        <v>2</v>
      </c>
      <c r="AJ2639">
        <v>0</v>
      </c>
      <c r="AK2639">
        <v>166.71</v>
      </c>
      <c r="AN2639" t="s">
        <v>2926</v>
      </c>
      <c r="AO2639">
        <v>27441.2</v>
      </c>
      <c r="AQ2639" t="s">
        <v>2979</v>
      </c>
      <c r="AR2639" t="s">
        <v>2985</v>
      </c>
      <c r="AS2639" t="s">
        <v>2992</v>
      </c>
      <c r="AT2639" t="s">
        <v>18506</v>
      </c>
      <c r="AU2639">
        <v>14.6</v>
      </c>
      <c r="AV2639" t="s">
        <v>202</v>
      </c>
      <c r="AW2639" t="s">
        <v>3062</v>
      </c>
    </row>
    <row r="2640" spans="1:50">
      <c r="A2640" s="1" t="s">
        <v>82</v>
      </c>
      <c r="B2640" t="s">
        <v>163</v>
      </c>
      <c r="C2640" t="s">
        <v>5850</v>
      </c>
      <c r="D2640" t="s">
        <v>181</v>
      </c>
      <c r="F2640" t="s">
        <v>702</v>
      </c>
      <c r="G2640" t="s">
        <v>9049</v>
      </c>
      <c r="H2640" t="s">
        <v>9420</v>
      </c>
      <c r="I2640" t="s">
        <v>11079</v>
      </c>
      <c r="J2640" t="s">
        <v>1644</v>
      </c>
      <c r="K2640">
        <v>11233</v>
      </c>
      <c r="L2640" t="s">
        <v>1670</v>
      </c>
      <c r="M2640" t="s">
        <v>1671</v>
      </c>
      <c r="O2640" t="s">
        <v>1937</v>
      </c>
      <c r="P2640" t="s">
        <v>1962</v>
      </c>
      <c r="R2640" t="s">
        <v>50</v>
      </c>
      <c r="S2640" t="s">
        <v>1670</v>
      </c>
      <c r="U2640" t="s">
        <v>1972</v>
      </c>
      <c r="V2640" t="s">
        <v>1984</v>
      </c>
      <c r="W2640" t="s">
        <v>221</v>
      </c>
      <c r="X2640">
        <v>1148.69</v>
      </c>
      <c r="Y2640" t="s">
        <v>2009</v>
      </c>
      <c r="Z2640" t="s">
        <v>2017</v>
      </c>
      <c r="AB2640" t="s">
        <v>14890</v>
      </c>
      <c r="AE2640">
        <v>359</v>
      </c>
      <c r="AF2640" t="s">
        <v>2902</v>
      </c>
      <c r="AG2640" t="s">
        <v>1754</v>
      </c>
      <c r="AH2640">
        <v>34</v>
      </c>
      <c r="AI2640">
        <v>1</v>
      </c>
      <c r="AJ2640">
        <v>0</v>
      </c>
      <c r="AK2640">
        <v>166.73</v>
      </c>
      <c r="AN2640" t="s">
        <v>2926</v>
      </c>
      <c r="AO2640">
        <v>20824.62</v>
      </c>
      <c r="AP2640" t="s">
        <v>18361</v>
      </c>
      <c r="AU2640" t="s">
        <v>13051</v>
      </c>
      <c r="AW2640" t="s">
        <v>3059</v>
      </c>
      <c r="AX2640" t="s">
        <v>1754</v>
      </c>
    </row>
    <row r="2641" spans="1:50">
      <c r="A2641" s="1" t="s">
        <v>82</v>
      </c>
      <c r="B2641" t="s">
        <v>163</v>
      </c>
      <c r="C2641" t="s">
        <v>5851</v>
      </c>
      <c r="D2641" t="s">
        <v>210</v>
      </c>
      <c r="F2641" t="s">
        <v>702</v>
      </c>
      <c r="G2641" t="s">
        <v>9049</v>
      </c>
      <c r="H2641" t="s">
        <v>9420</v>
      </c>
      <c r="I2641" t="s">
        <v>11079</v>
      </c>
      <c r="J2641" t="s">
        <v>1644</v>
      </c>
      <c r="K2641">
        <v>11233</v>
      </c>
      <c r="L2641" t="s">
        <v>1670</v>
      </c>
      <c r="M2641" t="s">
        <v>1671</v>
      </c>
      <c r="N2641" t="s">
        <v>1691</v>
      </c>
      <c r="O2641" t="s">
        <v>1938</v>
      </c>
      <c r="P2641" t="s">
        <v>1961</v>
      </c>
      <c r="R2641" t="s">
        <v>50</v>
      </c>
      <c r="S2641" t="s">
        <v>1670</v>
      </c>
      <c r="U2641" t="s">
        <v>1972</v>
      </c>
      <c r="V2641" t="s">
        <v>1984</v>
      </c>
      <c r="W2641" t="s">
        <v>248</v>
      </c>
      <c r="X2641">
        <v>1148.69</v>
      </c>
      <c r="Y2641" t="s">
        <v>2009</v>
      </c>
      <c r="Z2641" t="s">
        <v>2017</v>
      </c>
      <c r="AB2641" t="s">
        <v>14890</v>
      </c>
      <c r="AC2641" t="s">
        <v>1691</v>
      </c>
      <c r="AE2641">
        <v>359</v>
      </c>
      <c r="AF2641" t="s">
        <v>2902</v>
      </c>
      <c r="AG2641" t="s">
        <v>1754</v>
      </c>
      <c r="AH2641">
        <v>34</v>
      </c>
      <c r="AI2641">
        <v>1</v>
      </c>
      <c r="AJ2641">
        <v>0</v>
      </c>
      <c r="AK2641">
        <v>166.73</v>
      </c>
      <c r="AN2641" t="s">
        <v>2926</v>
      </c>
      <c r="AO2641">
        <v>20824.62</v>
      </c>
      <c r="AP2641" t="s">
        <v>18071</v>
      </c>
      <c r="AU2641" t="s">
        <v>13051</v>
      </c>
      <c r="AW2641" t="s">
        <v>3059</v>
      </c>
      <c r="AX2641" t="s">
        <v>1754</v>
      </c>
    </row>
    <row r="2642" spans="1:50">
      <c r="A2642" s="1" t="s">
        <v>73</v>
      </c>
      <c r="B2642" t="s">
        <v>163</v>
      </c>
      <c r="C2642" t="s">
        <v>5852</v>
      </c>
      <c r="D2642" t="s">
        <v>295</v>
      </c>
      <c r="F2642" t="s">
        <v>7577</v>
      </c>
      <c r="G2642" t="s">
        <v>1007</v>
      </c>
      <c r="H2642" t="s">
        <v>10599</v>
      </c>
      <c r="J2642" t="s">
        <v>1645</v>
      </c>
      <c r="K2642">
        <v>11691</v>
      </c>
      <c r="L2642" t="s">
        <v>1670</v>
      </c>
      <c r="M2642" t="s">
        <v>1670</v>
      </c>
      <c r="O2642" t="s">
        <v>1941</v>
      </c>
      <c r="P2642" t="s">
        <v>1962</v>
      </c>
      <c r="R2642" t="s">
        <v>50</v>
      </c>
      <c r="S2642" t="s">
        <v>1670</v>
      </c>
      <c r="U2642" t="s">
        <v>1972</v>
      </c>
      <c r="W2642" t="s">
        <v>295</v>
      </c>
      <c r="X2642">
        <v>475</v>
      </c>
      <c r="Y2642" t="s">
        <v>2007</v>
      </c>
      <c r="AB2642" t="s">
        <v>14891</v>
      </c>
      <c r="AD2642" t="s">
        <v>17294</v>
      </c>
      <c r="AE2642">
        <v>43</v>
      </c>
      <c r="AH2642">
        <v>4</v>
      </c>
      <c r="AI2642">
        <v>2</v>
      </c>
      <c r="AJ2642">
        <v>0</v>
      </c>
      <c r="AK2642">
        <v>166.77</v>
      </c>
      <c r="AN2642" t="s">
        <v>2926</v>
      </c>
      <c r="AO2642">
        <v>28200</v>
      </c>
      <c r="AU2642" t="s">
        <v>13051</v>
      </c>
      <c r="AW2642" t="s">
        <v>3073</v>
      </c>
    </row>
    <row r="2643" spans="1:50">
      <c r="A2643" s="1" t="s">
        <v>73</v>
      </c>
      <c r="B2643" t="s">
        <v>163</v>
      </c>
      <c r="C2643" t="s">
        <v>5853</v>
      </c>
      <c r="D2643" t="s">
        <v>295</v>
      </c>
      <c r="F2643" t="s">
        <v>7577</v>
      </c>
      <c r="G2643" t="s">
        <v>1007</v>
      </c>
      <c r="H2643" t="s">
        <v>10599</v>
      </c>
      <c r="I2643">
        <v>4</v>
      </c>
      <c r="J2643" t="s">
        <v>1645</v>
      </c>
      <c r="K2643">
        <v>11691</v>
      </c>
      <c r="L2643" t="s">
        <v>1670</v>
      </c>
      <c r="M2643" t="s">
        <v>1670</v>
      </c>
      <c r="O2643" t="s">
        <v>1941</v>
      </c>
      <c r="P2643" t="s">
        <v>1962</v>
      </c>
      <c r="R2643" t="s">
        <v>50</v>
      </c>
      <c r="S2643" t="s">
        <v>1670</v>
      </c>
      <c r="U2643" t="s">
        <v>1972</v>
      </c>
      <c r="W2643" t="s">
        <v>295</v>
      </c>
      <c r="X2643">
        <v>475</v>
      </c>
      <c r="Y2643" t="s">
        <v>2007</v>
      </c>
      <c r="Z2643" t="s">
        <v>2016</v>
      </c>
      <c r="AB2643" t="s">
        <v>14891</v>
      </c>
      <c r="AD2643" t="s">
        <v>17294</v>
      </c>
      <c r="AE2643">
        <v>43</v>
      </c>
      <c r="AH2643">
        <v>4</v>
      </c>
      <c r="AI2643">
        <v>2</v>
      </c>
      <c r="AJ2643">
        <v>0</v>
      </c>
      <c r="AK2643">
        <v>166.77</v>
      </c>
      <c r="AN2643" t="s">
        <v>2926</v>
      </c>
      <c r="AO2643">
        <v>28200</v>
      </c>
      <c r="AU2643" t="s">
        <v>13051</v>
      </c>
      <c r="AW2643" t="s">
        <v>3073</v>
      </c>
    </row>
    <row r="2644" spans="1:50">
      <c r="A2644" s="1" t="s">
        <v>129</v>
      </c>
      <c r="B2644" t="s">
        <v>163</v>
      </c>
      <c r="C2644" t="s">
        <v>5854</v>
      </c>
      <c r="D2644" t="s">
        <v>253</v>
      </c>
      <c r="F2644" t="s">
        <v>7786</v>
      </c>
      <c r="G2644" t="s">
        <v>9050</v>
      </c>
      <c r="H2644" t="s">
        <v>10600</v>
      </c>
      <c r="I2644" t="s">
        <v>1562</v>
      </c>
      <c r="J2644" t="s">
        <v>1644</v>
      </c>
      <c r="K2644">
        <v>11213</v>
      </c>
      <c r="L2644" t="s">
        <v>1670</v>
      </c>
      <c r="M2644" t="s">
        <v>1670</v>
      </c>
      <c r="N2644" t="s">
        <v>1675</v>
      </c>
      <c r="P2644" t="s">
        <v>1958</v>
      </c>
      <c r="R2644" t="s">
        <v>50</v>
      </c>
      <c r="S2644" t="s">
        <v>1671</v>
      </c>
      <c r="U2644" t="s">
        <v>1972</v>
      </c>
      <c r="W2644" t="s">
        <v>266</v>
      </c>
      <c r="X2644" t="s">
        <v>13051</v>
      </c>
      <c r="Y2644" t="s">
        <v>2009</v>
      </c>
      <c r="Z2644" t="s">
        <v>2017</v>
      </c>
      <c r="AB2644" t="s">
        <v>14892</v>
      </c>
      <c r="AE2644">
        <v>6</v>
      </c>
      <c r="AF2644" t="s">
        <v>2902</v>
      </c>
      <c r="AG2644" t="s">
        <v>1754</v>
      </c>
      <c r="AH2644" t="s">
        <v>13051</v>
      </c>
      <c r="AI2644">
        <v>3</v>
      </c>
      <c r="AJ2644">
        <v>0</v>
      </c>
      <c r="AK2644">
        <v>166.9</v>
      </c>
      <c r="AN2644" t="s">
        <v>2926</v>
      </c>
      <c r="AO2644">
        <v>35600</v>
      </c>
      <c r="AU2644" t="s">
        <v>13051</v>
      </c>
      <c r="AW2644" t="s">
        <v>3059</v>
      </c>
    </row>
    <row r="2645" spans="1:50">
      <c r="A2645" s="1" t="s">
        <v>111</v>
      </c>
      <c r="B2645" t="s">
        <v>163</v>
      </c>
      <c r="C2645" t="s">
        <v>5855</v>
      </c>
      <c r="D2645" t="s">
        <v>210</v>
      </c>
      <c r="F2645" t="s">
        <v>7629</v>
      </c>
      <c r="G2645" t="s">
        <v>914</v>
      </c>
      <c r="H2645" t="s">
        <v>10601</v>
      </c>
      <c r="I2645">
        <v>610</v>
      </c>
      <c r="J2645" t="s">
        <v>1641</v>
      </c>
      <c r="K2645">
        <v>10459</v>
      </c>
      <c r="L2645" t="s">
        <v>1670</v>
      </c>
      <c r="M2645" t="s">
        <v>1672</v>
      </c>
      <c r="N2645" t="s">
        <v>12641</v>
      </c>
      <c r="O2645" t="s">
        <v>1936</v>
      </c>
      <c r="P2645" t="s">
        <v>1960</v>
      </c>
      <c r="R2645" t="s">
        <v>50</v>
      </c>
      <c r="S2645" t="s">
        <v>1671</v>
      </c>
      <c r="U2645" t="s">
        <v>1972</v>
      </c>
      <c r="W2645" t="s">
        <v>1991</v>
      </c>
      <c r="X2645">
        <v>1220.06</v>
      </c>
      <c r="Y2645" t="s">
        <v>2006</v>
      </c>
      <c r="Z2645" t="s">
        <v>2013</v>
      </c>
      <c r="AB2645" t="s">
        <v>14893</v>
      </c>
      <c r="AD2645" t="s">
        <v>17295</v>
      </c>
      <c r="AE2645">
        <v>135</v>
      </c>
      <c r="AF2645" t="s">
        <v>2902</v>
      </c>
      <c r="AH2645">
        <v>2</v>
      </c>
      <c r="AI2645">
        <v>2</v>
      </c>
      <c r="AJ2645">
        <v>0</v>
      </c>
      <c r="AK2645">
        <v>167.13</v>
      </c>
      <c r="AN2645" t="s">
        <v>2926</v>
      </c>
      <c r="AO2645">
        <v>28262</v>
      </c>
      <c r="AU2645">
        <v>10.05</v>
      </c>
      <c r="AV2645" t="s">
        <v>364</v>
      </c>
      <c r="AW2645" t="s">
        <v>3068</v>
      </c>
      <c r="AX2645" t="s">
        <v>18685</v>
      </c>
    </row>
    <row r="2646" spans="1:50">
      <c r="A2646" s="1" t="s">
        <v>127</v>
      </c>
      <c r="B2646" t="s">
        <v>163</v>
      </c>
      <c r="C2646" t="s">
        <v>5856</v>
      </c>
      <c r="D2646" t="s">
        <v>283</v>
      </c>
      <c r="F2646" t="s">
        <v>460</v>
      </c>
      <c r="G2646" t="s">
        <v>7923</v>
      </c>
      <c r="H2646" t="s">
        <v>1242</v>
      </c>
      <c r="I2646" t="s">
        <v>1477</v>
      </c>
      <c r="J2646" t="s">
        <v>1644</v>
      </c>
      <c r="K2646">
        <v>11206</v>
      </c>
      <c r="L2646" t="s">
        <v>1670</v>
      </c>
      <c r="M2646" t="s">
        <v>1670</v>
      </c>
      <c r="N2646" t="s">
        <v>1687</v>
      </c>
      <c r="O2646" t="s">
        <v>1675</v>
      </c>
      <c r="P2646" t="s">
        <v>1962</v>
      </c>
      <c r="R2646" t="s">
        <v>50</v>
      </c>
      <c r="S2646" t="s">
        <v>1670</v>
      </c>
      <c r="U2646" t="s">
        <v>1972</v>
      </c>
      <c r="W2646" t="s">
        <v>326</v>
      </c>
      <c r="X2646">
        <v>872.36</v>
      </c>
      <c r="Y2646" t="s">
        <v>2009</v>
      </c>
      <c r="Z2646" t="s">
        <v>2016</v>
      </c>
      <c r="AB2646" t="s">
        <v>14894</v>
      </c>
      <c r="AD2646" t="s">
        <v>17296</v>
      </c>
      <c r="AE2646">
        <v>8</v>
      </c>
      <c r="AF2646" t="s">
        <v>2902</v>
      </c>
      <c r="AG2646" t="s">
        <v>1754</v>
      </c>
      <c r="AH2646" t="s">
        <v>13051</v>
      </c>
      <c r="AI2646">
        <v>1</v>
      </c>
      <c r="AJ2646">
        <v>0</v>
      </c>
      <c r="AK2646">
        <v>167.17</v>
      </c>
      <c r="AN2646" t="s">
        <v>2926</v>
      </c>
      <c r="AO2646">
        <v>20880</v>
      </c>
      <c r="AP2646" t="s">
        <v>18362</v>
      </c>
      <c r="AU2646">
        <v>0.1</v>
      </c>
      <c r="AV2646" t="s">
        <v>272</v>
      </c>
      <c r="AW2646" t="s">
        <v>3059</v>
      </c>
    </row>
    <row r="2647" spans="1:50">
      <c r="A2647" s="1" t="s">
        <v>127</v>
      </c>
      <c r="B2647" t="s">
        <v>164</v>
      </c>
      <c r="C2647" t="s">
        <v>5857</v>
      </c>
      <c r="D2647" t="s">
        <v>283</v>
      </c>
      <c r="E2647" t="s">
        <v>379</v>
      </c>
      <c r="F2647" t="s">
        <v>460</v>
      </c>
      <c r="G2647" t="s">
        <v>7923</v>
      </c>
      <c r="H2647" t="s">
        <v>1242</v>
      </c>
      <c r="I2647" t="s">
        <v>1477</v>
      </c>
      <c r="J2647" t="s">
        <v>1644</v>
      </c>
      <c r="K2647">
        <v>11206</v>
      </c>
      <c r="L2647" t="s">
        <v>1670</v>
      </c>
      <c r="M2647" t="s">
        <v>1670</v>
      </c>
      <c r="N2647" t="s">
        <v>12482</v>
      </c>
      <c r="O2647" t="s">
        <v>1938</v>
      </c>
      <c r="P2647" t="s">
        <v>1959</v>
      </c>
      <c r="Q2647" t="s">
        <v>1965</v>
      </c>
      <c r="R2647" t="s">
        <v>50</v>
      </c>
      <c r="S2647" t="s">
        <v>1670</v>
      </c>
      <c r="U2647" t="s">
        <v>1972</v>
      </c>
      <c r="W2647" t="s">
        <v>165</v>
      </c>
      <c r="X2647">
        <v>872.36</v>
      </c>
      <c r="Y2647" t="s">
        <v>2009</v>
      </c>
      <c r="Z2647" t="s">
        <v>2016</v>
      </c>
      <c r="AA2647" t="s">
        <v>2034</v>
      </c>
      <c r="AB2647" t="s">
        <v>14894</v>
      </c>
      <c r="AD2647" t="s">
        <v>17296</v>
      </c>
      <c r="AE2647">
        <v>8</v>
      </c>
      <c r="AG2647" t="s">
        <v>1754</v>
      </c>
      <c r="AH2647" t="s">
        <v>13051</v>
      </c>
      <c r="AI2647">
        <v>1</v>
      </c>
      <c r="AJ2647">
        <v>0</v>
      </c>
      <c r="AK2647">
        <v>167.17</v>
      </c>
      <c r="AN2647" t="s">
        <v>2926</v>
      </c>
      <c r="AO2647">
        <v>20880</v>
      </c>
      <c r="AP2647" t="s">
        <v>18362</v>
      </c>
      <c r="AS2647" t="s">
        <v>2992</v>
      </c>
      <c r="AT2647" t="s">
        <v>18572</v>
      </c>
      <c r="AU2647">
        <v>0.1</v>
      </c>
      <c r="AV2647" t="s">
        <v>249</v>
      </c>
      <c r="AW2647" t="s">
        <v>3059</v>
      </c>
      <c r="AX2647" t="s">
        <v>18685</v>
      </c>
    </row>
    <row r="2648" spans="1:50">
      <c r="A2648" s="1" t="s">
        <v>97</v>
      </c>
      <c r="B2648" t="s">
        <v>163</v>
      </c>
      <c r="C2648" t="s">
        <v>5858</v>
      </c>
      <c r="D2648" t="s">
        <v>218</v>
      </c>
      <c r="F2648" t="s">
        <v>7787</v>
      </c>
      <c r="G2648" t="s">
        <v>9051</v>
      </c>
      <c r="H2648" t="s">
        <v>10602</v>
      </c>
      <c r="I2648">
        <v>106</v>
      </c>
      <c r="J2648" t="s">
        <v>1643</v>
      </c>
      <c r="K2648">
        <v>10034</v>
      </c>
      <c r="L2648" t="s">
        <v>1670</v>
      </c>
      <c r="M2648" t="s">
        <v>1670</v>
      </c>
      <c r="O2648" t="s">
        <v>1945</v>
      </c>
      <c r="P2648" t="s">
        <v>1959</v>
      </c>
      <c r="R2648" t="s">
        <v>50</v>
      </c>
      <c r="S2648" t="s">
        <v>1671</v>
      </c>
      <c r="U2648" t="s">
        <v>1972</v>
      </c>
      <c r="W2648" t="s">
        <v>218</v>
      </c>
      <c r="X2648">
        <v>1092</v>
      </c>
      <c r="Y2648" t="s">
        <v>2008</v>
      </c>
      <c r="Z2648" t="s">
        <v>2020</v>
      </c>
      <c r="AB2648" t="s">
        <v>14895</v>
      </c>
      <c r="AD2648" t="s">
        <v>17297</v>
      </c>
      <c r="AE2648">
        <v>88</v>
      </c>
      <c r="AF2648" t="s">
        <v>2902</v>
      </c>
      <c r="AG2648" t="s">
        <v>1754</v>
      </c>
      <c r="AH2648">
        <v>9</v>
      </c>
      <c r="AI2648">
        <v>3</v>
      </c>
      <c r="AJ2648">
        <v>0</v>
      </c>
      <c r="AK2648">
        <v>167.47</v>
      </c>
      <c r="AN2648" t="s">
        <v>2926</v>
      </c>
      <c r="AO2648">
        <v>34800</v>
      </c>
      <c r="AU2648">
        <v>10</v>
      </c>
      <c r="AV2648" t="s">
        <v>361</v>
      </c>
      <c r="AW2648" t="s">
        <v>3042</v>
      </c>
      <c r="AX2648" t="s">
        <v>18685</v>
      </c>
    </row>
    <row r="2649" spans="1:50">
      <c r="A2649" s="1" t="s">
        <v>133</v>
      </c>
      <c r="B2649" t="s">
        <v>163</v>
      </c>
      <c r="C2649" t="s">
        <v>5859</v>
      </c>
      <c r="D2649" t="s">
        <v>362</v>
      </c>
      <c r="F2649" t="s">
        <v>544</v>
      </c>
      <c r="G2649" t="s">
        <v>1020</v>
      </c>
      <c r="H2649" t="s">
        <v>9614</v>
      </c>
      <c r="I2649" t="s">
        <v>11030</v>
      </c>
      <c r="J2649" t="s">
        <v>1644</v>
      </c>
      <c r="K2649">
        <v>11213</v>
      </c>
      <c r="L2649" t="s">
        <v>1670</v>
      </c>
      <c r="M2649" t="s">
        <v>1670</v>
      </c>
      <c r="N2649" t="s">
        <v>12642</v>
      </c>
      <c r="O2649" t="s">
        <v>1939</v>
      </c>
      <c r="P2649" t="s">
        <v>1960</v>
      </c>
      <c r="R2649" t="s">
        <v>50</v>
      </c>
      <c r="S2649" t="s">
        <v>1670</v>
      </c>
      <c r="U2649" t="s">
        <v>1972</v>
      </c>
      <c r="W2649" t="s">
        <v>232</v>
      </c>
      <c r="X2649">
        <v>905.59</v>
      </c>
      <c r="Y2649" t="s">
        <v>2009</v>
      </c>
      <c r="Z2649" t="s">
        <v>2015</v>
      </c>
      <c r="AB2649" t="s">
        <v>14874</v>
      </c>
      <c r="AD2649" t="s">
        <v>17277</v>
      </c>
      <c r="AE2649">
        <v>34</v>
      </c>
      <c r="AF2649" t="s">
        <v>2902</v>
      </c>
      <c r="AG2649" t="s">
        <v>1754</v>
      </c>
      <c r="AH2649">
        <v>25</v>
      </c>
      <c r="AI2649">
        <v>2</v>
      </c>
      <c r="AJ2649">
        <v>0</v>
      </c>
      <c r="AK2649">
        <v>167.68</v>
      </c>
      <c r="AN2649" t="s">
        <v>2927</v>
      </c>
      <c r="AO2649">
        <v>27600</v>
      </c>
      <c r="AP2649" t="s">
        <v>18059</v>
      </c>
      <c r="AU2649">
        <v>0.1</v>
      </c>
      <c r="AV2649" t="s">
        <v>328</v>
      </c>
      <c r="AW2649" t="s">
        <v>3060</v>
      </c>
      <c r="AX2649" t="s">
        <v>18685</v>
      </c>
    </row>
    <row r="2650" spans="1:50">
      <c r="A2650" s="1" t="s">
        <v>126</v>
      </c>
      <c r="B2650" t="s">
        <v>163</v>
      </c>
      <c r="C2650" t="s">
        <v>5860</v>
      </c>
      <c r="D2650" t="s">
        <v>200</v>
      </c>
      <c r="F2650" t="s">
        <v>685</v>
      </c>
      <c r="G2650" t="s">
        <v>888</v>
      </c>
      <c r="H2650" t="s">
        <v>9627</v>
      </c>
      <c r="I2650" t="s">
        <v>11430</v>
      </c>
      <c r="J2650" t="s">
        <v>1641</v>
      </c>
      <c r="K2650">
        <v>10451</v>
      </c>
      <c r="L2650" t="s">
        <v>1670</v>
      </c>
      <c r="M2650" t="s">
        <v>1670</v>
      </c>
      <c r="N2650" t="s">
        <v>11981</v>
      </c>
      <c r="O2650" t="s">
        <v>1939</v>
      </c>
      <c r="P2650" t="s">
        <v>1960</v>
      </c>
      <c r="R2650" t="s">
        <v>50</v>
      </c>
      <c r="S2650" t="s">
        <v>1670</v>
      </c>
      <c r="U2650" t="s">
        <v>1972</v>
      </c>
      <c r="W2650" t="s">
        <v>359</v>
      </c>
      <c r="X2650">
        <v>1570</v>
      </c>
      <c r="Y2650" t="s">
        <v>2006</v>
      </c>
      <c r="Z2650" t="s">
        <v>2015</v>
      </c>
      <c r="AB2650" t="s">
        <v>14896</v>
      </c>
      <c r="AD2650" t="s">
        <v>17298</v>
      </c>
      <c r="AE2650">
        <v>100</v>
      </c>
      <c r="AF2650" t="s">
        <v>2902</v>
      </c>
      <c r="AG2650" t="s">
        <v>2915</v>
      </c>
      <c r="AH2650">
        <v>41</v>
      </c>
      <c r="AI2650">
        <v>2</v>
      </c>
      <c r="AJ2650">
        <v>0</v>
      </c>
      <c r="AK2650">
        <v>167.68</v>
      </c>
      <c r="AN2650" t="s">
        <v>2927</v>
      </c>
      <c r="AO2650">
        <v>27600</v>
      </c>
      <c r="AU2650" t="s">
        <v>13051</v>
      </c>
      <c r="AW2650" t="s">
        <v>3047</v>
      </c>
    </row>
    <row r="2651" spans="1:50">
      <c r="A2651" s="1" t="s">
        <v>3082</v>
      </c>
      <c r="B2651" t="s">
        <v>164</v>
      </c>
      <c r="C2651" t="s">
        <v>5861</v>
      </c>
      <c r="D2651" t="s">
        <v>171</v>
      </c>
      <c r="E2651" t="s">
        <v>388</v>
      </c>
      <c r="F2651" t="s">
        <v>510</v>
      </c>
      <c r="G2651" t="s">
        <v>9052</v>
      </c>
      <c r="H2651" t="s">
        <v>10603</v>
      </c>
      <c r="I2651" t="s">
        <v>1519</v>
      </c>
      <c r="J2651" t="s">
        <v>1641</v>
      </c>
      <c r="K2651">
        <v>10467</v>
      </c>
      <c r="L2651" t="s">
        <v>1670</v>
      </c>
      <c r="M2651" t="s">
        <v>1672</v>
      </c>
      <c r="O2651" t="s">
        <v>1945</v>
      </c>
      <c r="P2651" t="s">
        <v>1961</v>
      </c>
      <c r="Q2651" t="s">
        <v>1970</v>
      </c>
      <c r="R2651" t="s">
        <v>50</v>
      </c>
      <c r="S2651" t="s">
        <v>1671</v>
      </c>
      <c r="U2651" t="s">
        <v>1973</v>
      </c>
      <c r="W2651" t="s">
        <v>1991</v>
      </c>
      <c r="X2651">
        <v>885</v>
      </c>
      <c r="Y2651" t="s">
        <v>2006</v>
      </c>
      <c r="AA2651" t="s">
        <v>2030</v>
      </c>
      <c r="AB2651" t="s">
        <v>14897</v>
      </c>
      <c r="AD2651" t="s">
        <v>17299</v>
      </c>
      <c r="AE2651" t="s">
        <v>13051</v>
      </c>
      <c r="AF2651" t="s">
        <v>2902</v>
      </c>
      <c r="AH2651">
        <v>20</v>
      </c>
      <c r="AI2651">
        <v>2</v>
      </c>
      <c r="AJ2651">
        <v>0</v>
      </c>
      <c r="AK2651">
        <v>167.72</v>
      </c>
      <c r="AN2651" t="s">
        <v>2926</v>
      </c>
      <c r="AO2651">
        <v>28362</v>
      </c>
      <c r="AU2651">
        <v>11.75</v>
      </c>
      <c r="AV2651" t="s">
        <v>405</v>
      </c>
      <c r="AW2651" t="s">
        <v>3053</v>
      </c>
      <c r="AX2651" t="s">
        <v>18685</v>
      </c>
    </row>
    <row r="2652" spans="1:50">
      <c r="A2652" s="1" t="s">
        <v>69</v>
      </c>
      <c r="B2652" t="s">
        <v>164</v>
      </c>
      <c r="C2652" t="s">
        <v>5862</v>
      </c>
      <c r="D2652" t="s">
        <v>340</v>
      </c>
      <c r="E2652" t="s">
        <v>192</v>
      </c>
      <c r="F2652" t="s">
        <v>6803</v>
      </c>
      <c r="G2652" t="s">
        <v>9053</v>
      </c>
      <c r="H2652" t="s">
        <v>10604</v>
      </c>
      <c r="I2652" t="s">
        <v>1551</v>
      </c>
      <c r="J2652" t="s">
        <v>1644</v>
      </c>
      <c r="K2652">
        <v>11217</v>
      </c>
      <c r="L2652" t="s">
        <v>1671</v>
      </c>
      <c r="M2652" t="s">
        <v>1671</v>
      </c>
      <c r="P2652" t="s">
        <v>1958</v>
      </c>
      <c r="Q2652" t="s">
        <v>1965</v>
      </c>
      <c r="R2652" t="s">
        <v>50</v>
      </c>
      <c r="U2652" t="s">
        <v>1972</v>
      </c>
      <c r="W2652" t="s">
        <v>340</v>
      </c>
      <c r="X2652">
        <v>1489</v>
      </c>
      <c r="Y2652" t="s">
        <v>2009</v>
      </c>
      <c r="AA2652" t="s">
        <v>2029</v>
      </c>
      <c r="AB2652" t="s">
        <v>14898</v>
      </c>
      <c r="AD2652" t="s">
        <v>17300</v>
      </c>
      <c r="AE2652">
        <v>212</v>
      </c>
      <c r="AH2652">
        <v>5</v>
      </c>
      <c r="AI2652">
        <v>1</v>
      </c>
      <c r="AJ2652">
        <v>0</v>
      </c>
      <c r="AK2652">
        <v>168.04</v>
      </c>
      <c r="AN2652" t="s">
        <v>2926</v>
      </c>
      <c r="AO2652">
        <v>20400</v>
      </c>
      <c r="AU2652">
        <v>3.7</v>
      </c>
      <c r="AV2652" t="s">
        <v>192</v>
      </c>
      <c r="AW2652" t="s">
        <v>69</v>
      </c>
    </row>
    <row r="2653" spans="1:50">
      <c r="A2653" s="1" t="s">
        <v>71</v>
      </c>
      <c r="B2653" t="s">
        <v>164</v>
      </c>
      <c r="C2653" t="s">
        <v>5863</v>
      </c>
      <c r="D2653" t="s">
        <v>387</v>
      </c>
      <c r="E2653" t="s">
        <v>372</v>
      </c>
      <c r="F2653" t="s">
        <v>687</v>
      </c>
      <c r="G2653" t="s">
        <v>9054</v>
      </c>
      <c r="H2653" t="s">
        <v>10605</v>
      </c>
      <c r="I2653">
        <v>1</v>
      </c>
      <c r="J2653" t="s">
        <v>1646</v>
      </c>
      <c r="K2653">
        <v>10301</v>
      </c>
      <c r="L2653" t="s">
        <v>1670</v>
      </c>
      <c r="M2653" t="s">
        <v>1670</v>
      </c>
      <c r="N2653" t="s">
        <v>12643</v>
      </c>
      <c r="O2653" t="s">
        <v>1936</v>
      </c>
      <c r="P2653" t="s">
        <v>1960</v>
      </c>
      <c r="Q2653" t="s">
        <v>1969</v>
      </c>
      <c r="R2653" t="s">
        <v>50</v>
      </c>
      <c r="S2653" t="s">
        <v>1671</v>
      </c>
      <c r="U2653" t="s">
        <v>1972</v>
      </c>
      <c r="V2653" t="s">
        <v>1984</v>
      </c>
      <c r="W2653" t="s">
        <v>387</v>
      </c>
      <c r="X2653">
        <v>325</v>
      </c>
      <c r="Y2653" t="s">
        <v>2010</v>
      </c>
      <c r="Z2653" t="s">
        <v>2020</v>
      </c>
      <c r="AA2653" t="s">
        <v>2032</v>
      </c>
      <c r="AB2653" t="s">
        <v>14899</v>
      </c>
      <c r="AD2653" t="s">
        <v>17301</v>
      </c>
      <c r="AE2653">
        <v>4</v>
      </c>
      <c r="AF2653" t="s">
        <v>2902</v>
      </c>
      <c r="AG2653" t="s">
        <v>1754</v>
      </c>
      <c r="AH2653">
        <v>17</v>
      </c>
      <c r="AI2653">
        <v>1</v>
      </c>
      <c r="AJ2653">
        <v>0</v>
      </c>
      <c r="AK2653">
        <v>168.04</v>
      </c>
      <c r="AN2653" t="s">
        <v>2926</v>
      </c>
      <c r="AO2653">
        <v>20400</v>
      </c>
      <c r="AQ2653" t="s">
        <v>2979</v>
      </c>
      <c r="AR2653" t="s">
        <v>2982</v>
      </c>
      <c r="AS2653" t="s">
        <v>2992</v>
      </c>
      <c r="AT2653" t="s">
        <v>18603</v>
      </c>
      <c r="AU2653">
        <v>9.699999999999999</v>
      </c>
      <c r="AV2653" t="s">
        <v>372</v>
      </c>
      <c r="AW2653" t="s">
        <v>71</v>
      </c>
    </row>
    <row r="2654" spans="1:50">
      <c r="A2654" s="1" t="s">
        <v>57</v>
      </c>
      <c r="B2654" t="s">
        <v>163</v>
      </c>
      <c r="C2654" t="s">
        <v>5864</v>
      </c>
      <c r="D2654" t="s">
        <v>319</v>
      </c>
      <c r="F2654" t="s">
        <v>7788</v>
      </c>
      <c r="G2654" t="s">
        <v>1002</v>
      </c>
      <c r="H2654" t="s">
        <v>1112</v>
      </c>
      <c r="I2654" t="s">
        <v>11281</v>
      </c>
      <c r="J2654" t="s">
        <v>1641</v>
      </c>
      <c r="K2654">
        <v>10453</v>
      </c>
      <c r="L2654" t="s">
        <v>1670</v>
      </c>
      <c r="M2654" t="s">
        <v>1670</v>
      </c>
      <c r="N2654" t="s">
        <v>1677</v>
      </c>
      <c r="O2654" t="s">
        <v>1939</v>
      </c>
      <c r="P2654" t="s">
        <v>1960</v>
      </c>
      <c r="R2654" t="s">
        <v>50</v>
      </c>
      <c r="S2654" t="s">
        <v>1670</v>
      </c>
      <c r="U2654" t="s">
        <v>1972</v>
      </c>
      <c r="W2654" t="s">
        <v>283</v>
      </c>
      <c r="X2654">
        <v>1175</v>
      </c>
      <c r="Y2654" t="s">
        <v>2006</v>
      </c>
      <c r="Z2654" t="s">
        <v>2015</v>
      </c>
      <c r="AB2654" t="s">
        <v>13392</v>
      </c>
      <c r="AD2654" t="s">
        <v>17302</v>
      </c>
      <c r="AE2654">
        <v>170</v>
      </c>
      <c r="AF2654" t="s">
        <v>2902</v>
      </c>
      <c r="AH2654">
        <v>30</v>
      </c>
      <c r="AI2654">
        <v>1</v>
      </c>
      <c r="AJ2654">
        <v>0</v>
      </c>
      <c r="AK2654">
        <v>168.04</v>
      </c>
      <c r="AN2654" t="s">
        <v>2926</v>
      </c>
      <c r="AO2654">
        <v>20400</v>
      </c>
      <c r="AU2654" t="s">
        <v>13051</v>
      </c>
      <c r="AW2654" t="s">
        <v>76</v>
      </c>
    </row>
    <row r="2655" spans="1:50">
      <c r="A2655" s="1" t="s">
        <v>134</v>
      </c>
      <c r="B2655" t="s">
        <v>163</v>
      </c>
      <c r="C2655" t="s">
        <v>5865</v>
      </c>
      <c r="D2655" t="s">
        <v>179</v>
      </c>
      <c r="F2655" t="s">
        <v>7496</v>
      </c>
      <c r="G2655" t="s">
        <v>806</v>
      </c>
      <c r="H2655" t="s">
        <v>10606</v>
      </c>
      <c r="I2655" t="s">
        <v>1517</v>
      </c>
      <c r="J2655" t="s">
        <v>1643</v>
      </c>
      <c r="K2655">
        <v>10034</v>
      </c>
      <c r="L2655" t="s">
        <v>1670</v>
      </c>
      <c r="M2655" t="s">
        <v>1672</v>
      </c>
      <c r="O2655" t="s">
        <v>1945</v>
      </c>
      <c r="P2655" t="s">
        <v>1962</v>
      </c>
      <c r="R2655" t="s">
        <v>50</v>
      </c>
      <c r="S2655" t="s">
        <v>1671</v>
      </c>
      <c r="U2655" t="s">
        <v>1972</v>
      </c>
      <c r="W2655" t="s">
        <v>179</v>
      </c>
      <c r="X2655">
        <v>1194.97</v>
      </c>
      <c r="Y2655" t="s">
        <v>2008</v>
      </c>
      <c r="Z2655" t="s">
        <v>2013</v>
      </c>
      <c r="AB2655" t="s">
        <v>14900</v>
      </c>
      <c r="AD2655" t="s">
        <v>17303</v>
      </c>
      <c r="AE2655">
        <v>48</v>
      </c>
      <c r="AF2655" t="s">
        <v>2902</v>
      </c>
      <c r="AG2655" t="s">
        <v>2919</v>
      </c>
      <c r="AH2655">
        <v>24</v>
      </c>
      <c r="AI2655">
        <v>1</v>
      </c>
      <c r="AJ2655">
        <v>0</v>
      </c>
      <c r="AK2655">
        <v>168.07</v>
      </c>
      <c r="AN2655" t="s">
        <v>2927</v>
      </c>
      <c r="AO2655">
        <v>20991.6</v>
      </c>
      <c r="AU2655">
        <v>2.6</v>
      </c>
      <c r="AV2655" t="s">
        <v>289</v>
      </c>
      <c r="AW2655" t="s">
        <v>3042</v>
      </c>
      <c r="AX2655" t="s">
        <v>18685</v>
      </c>
    </row>
    <row r="2656" spans="1:50">
      <c r="A2656" s="1" t="s">
        <v>82</v>
      </c>
      <c r="B2656" t="s">
        <v>163</v>
      </c>
      <c r="C2656" t="s">
        <v>5866</v>
      </c>
      <c r="D2656" t="s">
        <v>181</v>
      </c>
      <c r="F2656" t="s">
        <v>6859</v>
      </c>
      <c r="G2656" t="s">
        <v>833</v>
      </c>
      <c r="H2656" t="s">
        <v>9482</v>
      </c>
      <c r="I2656" t="s">
        <v>10960</v>
      </c>
      <c r="J2656" t="s">
        <v>1644</v>
      </c>
      <c r="K2656">
        <v>11233</v>
      </c>
      <c r="L2656" t="s">
        <v>1670</v>
      </c>
      <c r="M2656" t="s">
        <v>1670</v>
      </c>
      <c r="N2656" t="s">
        <v>1691</v>
      </c>
      <c r="O2656" t="s">
        <v>1937</v>
      </c>
      <c r="P2656" t="s">
        <v>1962</v>
      </c>
      <c r="R2656" t="s">
        <v>50</v>
      </c>
      <c r="S2656" t="s">
        <v>1670</v>
      </c>
      <c r="U2656" t="s">
        <v>1972</v>
      </c>
      <c r="V2656" t="s">
        <v>1984</v>
      </c>
      <c r="W2656" t="s">
        <v>221</v>
      </c>
      <c r="X2656">
        <v>446</v>
      </c>
      <c r="Y2656" t="s">
        <v>2009</v>
      </c>
      <c r="AB2656" t="s">
        <v>2223</v>
      </c>
      <c r="AD2656" t="s">
        <v>17304</v>
      </c>
      <c r="AE2656">
        <v>359</v>
      </c>
      <c r="AF2656" t="s">
        <v>2902</v>
      </c>
      <c r="AG2656" t="s">
        <v>2915</v>
      </c>
      <c r="AH2656" t="s">
        <v>13051</v>
      </c>
      <c r="AI2656">
        <v>1</v>
      </c>
      <c r="AJ2656">
        <v>0</v>
      </c>
      <c r="AK2656">
        <v>168.13</v>
      </c>
      <c r="AN2656" t="s">
        <v>2926</v>
      </c>
      <c r="AO2656">
        <v>21000</v>
      </c>
      <c r="AP2656" t="s">
        <v>18363</v>
      </c>
      <c r="AU2656" t="s">
        <v>13051</v>
      </c>
      <c r="AW2656" t="s">
        <v>3060</v>
      </c>
    </row>
    <row r="2657" spans="1:50">
      <c r="A2657" s="1" t="s">
        <v>59</v>
      </c>
      <c r="B2657" t="s">
        <v>164</v>
      </c>
      <c r="C2657" t="s">
        <v>5867</v>
      </c>
      <c r="D2657" t="s">
        <v>180</v>
      </c>
      <c r="E2657" t="s">
        <v>359</v>
      </c>
      <c r="F2657" t="s">
        <v>449</v>
      </c>
      <c r="G2657" t="s">
        <v>9043</v>
      </c>
      <c r="H2657" t="s">
        <v>1114</v>
      </c>
      <c r="I2657" t="s">
        <v>10938</v>
      </c>
      <c r="J2657" t="s">
        <v>1641</v>
      </c>
      <c r="K2657">
        <v>10456</v>
      </c>
      <c r="L2657" t="s">
        <v>1670</v>
      </c>
      <c r="M2657" t="s">
        <v>1670</v>
      </c>
      <c r="O2657" t="s">
        <v>1939</v>
      </c>
      <c r="P2657" t="s">
        <v>1958</v>
      </c>
      <c r="Q2657" t="s">
        <v>1965</v>
      </c>
      <c r="R2657" t="s">
        <v>50</v>
      </c>
      <c r="S2657" t="s">
        <v>1670</v>
      </c>
      <c r="U2657" t="s">
        <v>1972</v>
      </c>
      <c r="W2657" t="s">
        <v>1992</v>
      </c>
      <c r="X2657">
        <v>1268.04</v>
      </c>
      <c r="Y2657" t="s">
        <v>2006</v>
      </c>
      <c r="Z2657" t="s">
        <v>2015</v>
      </c>
      <c r="AA2657" t="s">
        <v>2029</v>
      </c>
      <c r="AB2657" t="s">
        <v>13250</v>
      </c>
      <c r="AD2657" t="s">
        <v>17285</v>
      </c>
      <c r="AE2657">
        <v>131</v>
      </c>
      <c r="AF2657" t="s">
        <v>2902</v>
      </c>
      <c r="AG2657" t="s">
        <v>1754</v>
      </c>
      <c r="AH2657">
        <v>21</v>
      </c>
      <c r="AI2657">
        <v>3</v>
      </c>
      <c r="AJ2657">
        <v>0</v>
      </c>
      <c r="AK2657">
        <v>168.43</v>
      </c>
      <c r="AN2657" t="s">
        <v>2927</v>
      </c>
      <c r="AO2657">
        <v>35000</v>
      </c>
      <c r="AU2657">
        <v>0.4</v>
      </c>
      <c r="AV2657" t="s">
        <v>395</v>
      </c>
      <c r="AW2657" t="s">
        <v>3047</v>
      </c>
    </row>
    <row r="2658" spans="1:50">
      <c r="A2658" s="1" t="s">
        <v>59</v>
      </c>
      <c r="B2658" t="s">
        <v>163</v>
      </c>
      <c r="C2658" t="s">
        <v>5868</v>
      </c>
      <c r="D2658" t="s">
        <v>180</v>
      </c>
      <c r="F2658" t="s">
        <v>449</v>
      </c>
      <c r="G2658" t="s">
        <v>9043</v>
      </c>
      <c r="H2658" t="s">
        <v>1114</v>
      </c>
      <c r="I2658" t="s">
        <v>10938</v>
      </c>
      <c r="J2658" t="s">
        <v>1641</v>
      </c>
      <c r="K2658">
        <v>10456</v>
      </c>
      <c r="L2658" t="s">
        <v>1670</v>
      </c>
      <c r="M2658" t="s">
        <v>1670</v>
      </c>
      <c r="N2658" t="s">
        <v>1679</v>
      </c>
      <c r="O2658" t="s">
        <v>1938</v>
      </c>
      <c r="P2658" t="s">
        <v>1961</v>
      </c>
      <c r="R2658" t="s">
        <v>50</v>
      </c>
      <c r="S2658" t="s">
        <v>1670</v>
      </c>
      <c r="U2658" t="s">
        <v>1972</v>
      </c>
      <c r="W2658" t="s">
        <v>1992</v>
      </c>
      <c r="X2658">
        <v>1268.04</v>
      </c>
      <c r="Y2658" t="s">
        <v>2006</v>
      </c>
      <c r="Z2658" t="s">
        <v>2015</v>
      </c>
      <c r="AB2658" t="s">
        <v>13250</v>
      </c>
      <c r="AD2658" t="s">
        <v>17285</v>
      </c>
      <c r="AE2658">
        <v>131</v>
      </c>
      <c r="AF2658" t="s">
        <v>2902</v>
      </c>
      <c r="AG2658" t="s">
        <v>1754</v>
      </c>
      <c r="AH2658">
        <v>21</v>
      </c>
      <c r="AI2658">
        <v>3</v>
      </c>
      <c r="AJ2658">
        <v>0</v>
      </c>
      <c r="AK2658">
        <v>168.43</v>
      </c>
      <c r="AN2658" t="s">
        <v>2927</v>
      </c>
      <c r="AO2658">
        <v>35000</v>
      </c>
      <c r="AU2658" t="s">
        <v>13051</v>
      </c>
      <c r="AW2658" t="s">
        <v>3047</v>
      </c>
    </row>
    <row r="2659" spans="1:50">
      <c r="A2659" s="1" t="s">
        <v>57</v>
      </c>
      <c r="B2659" t="s">
        <v>163</v>
      </c>
      <c r="C2659" t="s">
        <v>5869</v>
      </c>
      <c r="D2659" t="s">
        <v>319</v>
      </c>
      <c r="F2659" t="s">
        <v>7788</v>
      </c>
      <c r="G2659" t="s">
        <v>1002</v>
      </c>
      <c r="H2659" t="s">
        <v>1112</v>
      </c>
      <c r="I2659" t="s">
        <v>11281</v>
      </c>
      <c r="J2659" t="s">
        <v>1641</v>
      </c>
      <c r="K2659">
        <v>10453</v>
      </c>
      <c r="L2659" t="s">
        <v>1670</v>
      </c>
      <c r="M2659" t="s">
        <v>1670</v>
      </c>
      <c r="O2659" t="s">
        <v>1938</v>
      </c>
      <c r="P2659" t="s">
        <v>1961</v>
      </c>
      <c r="R2659" t="s">
        <v>50</v>
      </c>
      <c r="S2659" t="s">
        <v>1670</v>
      </c>
      <c r="U2659" t="s">
        <v>1972</v>
      </c>
      <c r="W2659" t="s">
        <v>283</v>
      </c>
      <c r="X2659">
        <v>1175</v>
      </c>
      <c r="Y2659" t="s">
        <v>2006</v>
      </c>
      <c r="Z2659" t="s">
        <v>2015</v>
      </c>
      <c r="AB2659" t="s">
        <v>13392</v>
      </c>
      <c r="AD2659" t="s">
        <v>17302</v>
      </c>
      <c r="AE2659">
        <v>170</v>
      </c>
      <c r="AF2659" t="s">
        <v>2902</v>
      </c>
      <c r="AH2659">
        <v>30</v>
      </c>
      <c r="AI2659">
        <v>1</v>
      </c>
      <c r="AJ2659">
        <v>0</v>
      </c>
      <c r="AK2659">
        <v>168.86</v>
      </c>
      <c r="AN2659" t="s">
        <v>2926</v>
      </c>
      <c r="AO2659">
        <v>20500</v>
      </c>
      <c r="AU2659" t="s">
        <v>13051</v>
      </c>
      <c r="AW2659" t="s">
        <v>76</v>
      </c>
    </row>
    <row r="2660" spans="1:50">
      <c r="A2660" s="1" t="s">
        <v>73</v>
      </c>
      <c r="B2660" t="s">
        <v>163</v>
      </c>
      <c r="C2660" t="s">
        <v>5870</v>
      </c>
      <c r="D2660" t="s">
        <v>329</v>
      </c>
      <c r="F2660" t="s">
        <v>720</v>
      </c>
      <c r="G2660" t="s">
        <v>9055</v>
      </c>
      <c r="H2660" t="s">
        <v>10607</v>
      </c>
      <c r="I2660" t="s">
        <v>1517</v>
      </c>
      <c r="J2660" t="s">
        <v>1662</v>
      </c>
      <c r="K2660">
        <v>11104</v>
      </c>
      <c r="L2660" t="s">
        <v>1670</v>
      </c>
      <c r="M2660" t="s">
        <v>1670</v>
      </c>
      <c r="N2660" t="s">
        <v>11921</v>
      </c>
      <c r="O2660" t="s">
        <v>1940</v>
      </c>
      <c r="P2660" t="s">
        <v>1960</v>
      </c>
      <c r="R2660" t="s">
        <v>50</v>
      </c>
      <c r="S2660" t="s">
        <v>1671</v>
      </c>
      <c r="U2660" t="s">
        <v>1972</v>
      </c>
      <c r="V2660" t="s">
        <v>1984</v>
      </c>
      <c r="W2660" t="s">
        <v>252</v>
      </c>
      <c r="X2660">
        <v>1142</v>
      </c>
      <c r="Y2660" t="s">
        <v>2007</v>
      </c>
      <c r="Z2660" t="s">
        <v>2014</v>
      </c>
      <c r="AB2660" t="s">
        <v>14808</v>
      </c>
      <c r="AD2660" t="s">
        <v>17305</v>
      </c>
      <c r="AE2660">
        <v>54</v>
      </c>
      <c r="AF2660" t="s">
        <v>2902</v>
      </c>
      <c r="AG2660" t="s">
        <v>1754</v>
      </c>
      <c r="AH2660">
        <v>36</v>
      </c>
      <c r="AI2660">
        <v>1</v>
      </c>
      <c r="AJ2660">
        <v>0</v>
      </c>
      <c r="AK2660">
        <v>168.86</v>
      </c>
      <c r="AN2660" t="s">
        <v>2926</v>
      </c>
      <c r="AO2660">
        <v>20500</v>
      </c>
      <c r="AQ2660" t="s">
        <v>2977</v>
      </c>
      <c r="AR2660" t="s">
        <v>18481</v>
      </c>
      <c r="AU2660">
        <v>15.7</v>
      </c>
      <c r="AV2660" t="s">
        <v>199</v>
      </c>
      <c r="AW2660" t="s">
        <v>89</v>
      </c>
    </row>
    <row r="2661" spans="1:50">
      <c r="A2661" s="1" t="s">
        <v>105</v>
      </c>
      <c r="B2661" t="s">
        <v>163</v>
      </c>
      <c r="C2661" t="s">
        <v>5871</v>
      </c>
      <c r="D2661" t="s">
        <v>373</v>
      </c>
      <c r="F2661" t="s">
        <v>7143</v>
      </c>
      <c r="G2661" t="s">
        <v>6803</v>
      </c>
      <c r="H2661" t="s">
        <v>1442</v>
      </c>
      <c r="I2661" t="s">
        <v>1548</v>
      </c>
      <c r="J2661" t="s">
        <v>1641</v>
      </c>
      <c r="K2661">
        <v>10451</v>
      </c>
      <c r="L2661" t="s">
        <v>1670</v>
      </c>
      <c r="M2661" t="s">
        <v>1670</v>
      </c>
      <c r="N2661" t="s">
        <v>12644</v>
      </c>
      <c r="O2661" t="s">
        <v>1936</v>
      </c>
      <c r="P2661" t="s">
        <v>1960</v>
      </c>
      <c r="R2661" t="s">
        <v>50</v>
      </c>
      <c r="S2661" t="s">
        <v>1671</v>
      </c>
      <c r="U2661" t="s">
        <v>1972</v>
      </c>
      <c r="W2661" t="s">
        <v>373</v>
      </c>
      <c r="X2661">
        <v>1284.38</v>
      </c>
      <c r="Y2661" t="s">
        <v>2006</v>
      </c>
      <c r="Z2661" t="s">
        <v>2020</v>
      </c>
      <c r="AB2661" t="s">
        <v>14901</v>
      </c>
      <c r="AD2661" t="s">
        <v>17306</v>
      </c>
      <c r="AE2661" t="s">
        <v>13051</v>
      </c>
      <c r="AF2661" t="s">
        <v>2902</v>
      </c>
      <c r="AG2661" t="s">
        <v>1754</v>
      </c>
      <c r="AH2661">
        <v>8</v>
      </c>
      <c r="AI2661">
        <v>1</v>
      </c>
      <c r="AJ2661">
        <v>0</v>
      </c>
      <c r="AK2661">
        <v>168.93</v>
      </c>
      <c r="AN2661" t="s">
        <v>2926</v>
      </c>
      <c r="AO2661">
        <v>20508</v>
      </c>
      <c r="AU2661">
        <v>16.3</v>
      </c>
      <c r="AV2661" t="s">
        <v>392</v>
      </c>
      <c r="AW2661" t="s">
        <v>3047</v>
      </c>
    </row>
    <row r="2662" spans="1:50">
      <c r="A2662" s="1" t="s">
        <v>126</v>
      </c>
      <c r="B2662" t="s">
        <v>163</v>
      </c>
      <c r="C2662" t="s">
        <v>5872</v>
      </c>
      <c r="D2662" t="s">
        <v>245</v>
      </c>
      <c r="F2662" t="s">
        <v>7789</v>
      </c>
      <c r="G2662" t="s">
        <v>843</v>
      </c>
      <c r="H2662" t="s">
        <v>9627</v>
      </c>
      <c r="I2662" t="s">
        <v>1508</v>
      </c>
      <c r="J2662" t="s">
        <v>1641</v>
      </c>
      <c r="K2662">
        <v>10451</v>
      </c>
      <c r="L2662" t="s">
        <v>1670</v>
      </c>
      <c r="M2662" t="s">
        <v>1670</v>
      </c>
      <c r="N2662" t="s">
        <v>11981</v>
      </c>
      <c r="O2662" t="s">
        <v>1939</v>
      </c>
      <c r="P2662" t="s">
        <v>1960</v>
      </c>
      <c r="R2662" t="s">
        <v>50</v>
      </c>
      <c r="S2662" t="s">
        <v>1670</v>
      </c>
      <c r="U2662" t="s">
        <v>1972</v>
      </c>
      <c r="W2662" t="s">
        <v>359</v>
      </c>
      <c r="X2662">
        <v>627.27</v>
      </c>
      <c r="Y2662" t="s">
        <v>2006</v>
      </c>
      <c r="Z2662" t="s">
        <v>2015</v>
      </c>
      <c r="AB2662" t="s">
        <v>14373</v>
      </c>
      <c r="AE2662">
        <v>100</v>
      </c>
      <c r="AF2662" t="s">
        <v>2907</v>
      </c>
      <c r="AG2662" t="s">
        <v>2915</v>
      </c>
      <c r="AH2662">
        <v>34</v>
      </c>
      <c r="AI2662">
        <v>2</v>
      </c>
      <c r="AJ2662">
        <v>0</v>
      </c>
      <c r="AK2662">
        <v>169.02</v>
      </c>
      <c r="AN2662" t="s">
        <v>2927</v>
      </c>
      <c r="AO2662">
        <v>27820</v>
      </c>
      <c r="AU2662" t="s">
        <v>13051</v>
      </c>
      <c r="AW2662" t="s">
        <v>3047</v>
      </c>
    </row>
    <row r="2663" spans="1:50">
      <c r="A2663" s="1" t="s">
        <v>95</v>
      </c>
      <c r="B2663" t="s">
        <v>164</v>
      </c>
      <c r="C2663" t="s">
        <v>5873</v>
      </c>
      <c r="D2663" t="s">
        <v>384</v>
      </c>
      <c r="E2663" t="s">
        <v>258</v>
      </c>
      <c r="F2663" t="s">
        <v>7790</v>
      </c>
      <c r="G2663" t="s">
        <v>843</v>
      </c>
      <c r="H2663" t="s">
        <v>1388</v>
      </c>
      <c r="I2663" t="s">
        <v>1614</v>
      </c>
      <c r="J2663" t="s">
        <v>1641</v>
      </c>
      <c r="K2663">
        <v>10452</v>
      </c>
      <c r="L2663" t="s">
        <v>1670</v>
      </c>
      <c r="M2663" t="s">
        <v>1670</v>
      </c>
      <c r="O2663" t="s">
        <v>1675</v>
      </c>
      <c r="P2663" t="s">
        <v>1958</v>
      </c>
      <c r="Q2663" t="s">
        <v>1965</v>
      </c>
      <c r="R2663" t="s">
        <v>50</v>
      </c>
      <c r="S2663" t="s">
        <v>1671</v>
      </c>
      <c r="U2663" t="s">
        <v>1972</v>
      </c>
      <c r="W2663" t="s">
        <v>384</v>
      </c>
      <c r="X2663">
        <v>1350</v>
      </c>
      <c r="Y2663" t="s">
        <v>2006</v>
      </c>
      <c r="Z2663" t="s">
        <v>2015</v>
      </c>
      <c r="AA2663" t="s">
        <v>2029</v>
      </c>
      <c r="AB2663" t="s">
        <v>14902</v>
      </c>
      <c r="AD2663" t="s">
        <v>17307</v>
      </c>
      <c r="AE2663" t="s">
        <v>13051</v>
      </c>
      <c r="AF2663" t="s">
        <v>2902</v>
      </c>
      <c r="AG2663" t="s">
        <v>2919</v>
      </c>
      <c r="AH2663">
        <v>10</v>
      </c>
      <c r="AI2663">
        <v>1</v>
      </c>
      <c r="AJ2663">
        <v>0</v>
      </c>
      <c r="AK2663">
        <v>169.1</v>
      </c>
      <c r="AN2663" t="s">
        <v>2927</v>
      </c>
      <c r="AO2663">
        <v>21120</v>
      </c>
      <c r="AU2663">
        <v>1</v>
      </c>
      <c r="AV2663" t="s">
        <v>406</v>
      </c>
      <c r="AW2663" t="s">
        <v>95</v>
      </c>
    </row>
    <row r="2664" spans="1:50">
      <c r="A2664" s="1" t="s">
        <v>97</v>
      </c>
      <c r="B2664" t="s">
        <v>163</v>
      </c>
      <c r="C2664" t="s">
        <v>5874</v>
      </c>
      <c r="D2664" t="s">
        <v>248</v>
      </c>
      <c r="F2664" t="s">
        <v>7222</v>
      </c>
      <c r="G2664" t="s">
        <v>7951</v>
      </c>
      <c r="H2664" t="s">
        <v>10608</v>
      </c>
      <c r="I2664" t="s">
        <v>1570</v>
      </c>
      <c r="J2664" t="s">
        <v>1643</v>
      </c>
      <c r="K2664">
        <v>10034</v>
      </c>
      <c r="L2664" t="s">
        <v>1670</v>
      </c>
      <c r="M2664" t="s">
        <v>1670</v>
      </c>
      <c r="N2664" t="s">
        <v>12645</v>
      </c>
      <c r="O2664" t="s">
        <v>1940</v>
      </c>
      <c r="P2664" t="s">
        <v>1960</v>
      </c>
      <c r="R2664" t="s">
        <v>50</v>
      </c>
      <c r="S2664" t="s">
        <v>1671</v>
      </c>
      <c r="U2664" t="s">
        <v>1972</v>
      </c>
      <c r="V2664" t="s">
        <v>1984</v>
      </c>
      <c r="W2664" t="s">
        <v>248</v>
      </c>
      <c r="X2664">
        <v>1300</v>
      </c>
      <c r="Y2664" t="s">
        <v>2008</v>
      </c>
      <c r="Z2664" t="s">
        <v>2014</v>
      </c>
      <c r="AB2664" t="s">
        <v>13346</v>
      </c>
      <c r="AD2664" t="s">
        <v>17308</v>
      </c>
      <c r="AE2664">
        <v>259</v>
      </c>
      <c r="AF2664" t="s">
        <v>2902</v>
      </c>
      <c r="AG2664" t="s">
        <v>1754</v>
      </c>
      <c r="AH2664">
        <v>18</v>
      </c>
      <c r="AI2664">
        <v>2</v>
      </c>
      <c r="AJ2664">
        <v>0</v>
      </c>
      <c r="AK2664">
        <v>169.13</v>
      </c>
      <c r="AN2664" t="s">
        <v>2927</v>
      </c>
      <c r="AO2664">
        <v>28600</v>
      </c>
      <c r="AU2664">
        <v>16.5</v>
      </c>
      <c r="AV2664" t="s">
        <v>397</v>
      </c>
      <c r="AW2664" t="s">
        <v>3051</v>
      </c>
      <c r="AX2664" t="s">
        <v>18685</v>
      </c>
    </row>
    <row r="2665" spans="1:50">
      <c r="A2665" s="1" t="s">
        <v>82</v>
      </c>
      <c r="B2665" t="s">
        <v>163</v>
      </c>
      <c r="C2665" t="s">
        <v>5875</v>
      </c>
      <c r="D2665" t="s">
        <v>181</v>
      </c>
      <c r="F2665" t="s">
        <v>7791</v>
      </c>
      <c r="G2665" t="s">
        <v>9056</v>
      </c>
      <c r="H2665" t="s">
        <v>1144</v>
      </c>
      <c r="I2665" t="s">
        <v>11431</v>
      </c>
      <c r="J2665" t="s">
        <v>1644</v>
      </c>
      <c r="K2665">
        <v>11233</v>
      </c>
      <c r="L2665" t="s">
        <v>1670</v>
      </c>
      <c r="M2665" t="s">
        <v>1670</v>
      </c>
      <c r="N2665" t="s">
        <v>1691</v>
      </c>
      <c r="O2665" t="s">
        <v>1937</v>
      </c>
      <c r="P2665" t="s">
        <v>1962</v>
      </c>
      <c r="R2665" t="s">
        <v>50</v>
      </c>
      <c r="S2665" t="s">
        <v>1670</v>
      </c>
      <c r="U2665" t="s">
        <v>1972</v>
      </c>
      <c r="V2665" t="s">
        <v>1984</v>
      </c>
      <c r="W2665" t="s">
        <v>221</v>
      </c>
      <c r="X2665">
        <v>1353.11</v>
      </c>
      <c r="Y2665" t="s">
        <v>2009</v>
      </c>
      <c r="AB2665" t="s">
        <v>14903</v>
      </c>
      <c r="AD2665" t="s">
        <v>17309</v>
      </c>
      <c r="AE2665">
        <v>359</v>
      </c>
      <c r="AF2665" t="s">
        <v>2902</v>
      </c>
      <c r="AG2665" t="s">
        <v>1754</v>
      </c>
      <c r="AH2665">
        <v>24</v>
      </c>
      <c r="AI2665">
        <v>5</v>
      </c>
      <c r="AJ2665">
        <v>0</v>
      </c>
      <c r="AK2665">
        <v>169.71</v>
      </c>
      <c r="AN2665" t="s">
        <v>2926</v>
      </c>
      <c r="AO2665">
        <v>51200</v>
      </c>
      <c r="AP2665" t="s">
        <v>18364</v>
      </c>
      <c r="AU2665" t="s">
        <v>13051</v>
      </c>
      <c r="AW2665" t="s">
        <v>3060</v>
      </c>
    </row>
    <row r="2666" spans="1:50">
      <c r="A2666" s="1" t="s">
        <v>3209</v>
      </c>
      <c r="B2666" t="s">
        <v>164</v>
      </c>
      <c r="C2666" t="s">
        <v>5876</v>
      </c>
      <c r="D2666" t="s">
        <v>6211</v>
      </c>
      <c r="E2666" t="s">
        <v>359</v>
      </c>
      <c r="F2666" t="s">
        <v>7792</v>
      </c>
      <c r="G2666" t="s">
        <v>9057</v>
      </c>
      <c r="H2666" t="s">
        <v>10609</v>
      </c>
      <c r="I2666">
        <v>10</v>
      </c>
      <c r="J2666" t="s">
        <v>1643</v>
      </c>
      <c r="K2666">
        <v>10009</v>
      </c>
      <c r="L2666" t="s">
        <v>1670</v>
      </c>
      <c r="M2666" t="s">
        <v>1672</v>
      </c>
      <c r="O2666" t="s">
        <v>1675</v>
      </c>
      <c r="P2666" t="s">
        <v>1958</v>
      </c>
      <c r="Q2666" t="s">
        <v>1965</v>
      </c>
      <c r="R2666" t="s">
        <v>50</v>
      </c>
      <c r="S2666" t="s">
        <v>1671</v>
      </c>
      <c r="U2666" t="s">
        <v>1972</v>
      </c>
      <c r="W2666" t="s">
        <v>1989</v>
      </c>
      <c r="X2666">
        <v>549.4</v>
      </c>
      <c r="Y2666" t="s">
        <v>2008</v>
      </c>
      <c r="Z2666" t="s">
        <v>2020</v>
      </c>
      <c r="AA2666" t="s">
        <v>2029</v>
      </c>
      <c r="AB2666" t="s">
        <v>14904</v>
      </c>
      <c r="AD2666" t="s">
        <v>17310</v>
      </c>
      <c r="AE2666" t="s">
        <v>13051</v>
      </c>
      <c r="AF2666" t="s">
        <v>2902</v>
      </c>
      <c r="AG2666" t="s">
        <v>1754</v>
      </c>
      <c r="AH2666">
        <v>20</v>
      </c>
      <c r="AI2666">
        <v>1</v>
      </c>
      <c r="AJ2666">
        <v>0</v>
      </c>
      <c r="AK2666">
        <v>169.72</v>
      </c>
      <c r="AN2666" t="s">
        <v>2926</v>
      </c>
      <c r="AO2666">
        <v>20604</v>
      </c>
      <c r="AU2666">
        <v>3.25</v>
      </c>
      <c r="AV2666" t="s">
        <v>307</v>
      </c>
      <c r="AW2666" t="s">
        <v>3048</v>
      </c>
    </row>
    <row r="2667" spans="1:50">
      <c r="A2667" s="1" t="s">
        <v>64</v>
      </c>
      <c r="B2667" t="s">
        <v>164</v>
      </c>
      <c r="C2667" t="s">
        <v>5877</v>
      </c>
      <c r="D2667" t="s">
        <v>175</v>
      </c>
      <c r="E2667" t="s">
        <v>236</v>
      </c>
      <c r="F2667" t="s">
        <v>6941</v>
      </c>
      <c r="G2667" t="s">
        <v>9058</v>
      </c>
      <c r="H2667" t="s">
        <v>10610</v>
      </c>
      <c r="I2667" t="s">
        <v>1606</v>
      </c>
      <c r="J2667" t="s">
        <v>1643</v>
      </c>
      <c r="K2667">
        <v>10029</v>
      </c>
      <c r="L2667" t="s">
        <v>1670</v>
      </c>
      <c r="M2667" t="s">
        <v>1670</v>
      </c>
      <c r="O2667" t="s">
        <v>1675</v>
      </c>
      <c r="P2667" t="s">
        <v>1958</v>
      </c>
      <c r="Q2667" t="s">
        <v>1965</v>
      </c>
      <c r="R2667" t="s">
        <v>50</v>
      </c>
      <c r="S2667" t="s">
        <v>1671</v>
      </c>
      <c r="U2667" t="s">
        <v>1972</v>
      </c>
      <c r="W2667" t="s">
        <v>264</v>
      </c>
      <c r="X2667">
        <v>2913</v>
      </c>
      <c r="Y2667" t="s">
        <v>2008</v>
      </c>
      <c r="Z2667" t="s">
        <v>2027</v>
      </c>
      <c r="AA2667" t="s">
        <v>2029</v>
      </c>
      <c r="AB2667" t="s">
        <v>14905</v>
      </c>
      <c r="AD2667" t="s">
        <v>17311</v>
      </c>
      <c r="AE2667">
        <v>600</v>
      </c>
      <c r="AF2667" t="s">
        <v>2904</v>
      </c>
      <c r="AG2667" t="s">
        <v>2915</v>
      </c>
      <c r="AH2667">
        <v>43</v>
      </c>
      <c r="AI2667">
        <v>2</v>
      </c>
      <c r="AJ2667">
        <v>0</v>
      </c>
      <c r="AK2667">
        <v>170.52</v>
      </c>
      <c r="AN2667" t="s">
        <v>2926</v>
      </c>
      <c r="AO2667">
        <v>28068</v>
      </c>
      <c r="AU2667">
        <v>5</v>
      </c>
      <c r="AV2667" t="s">
        <v>236</v>
      </c>
      <c r="AW2667" t="s">
        <v>3071</v>
      </c>
    </row>
    <row r="2668" spans="1:50">
      <c r="A2668" s="1" t="s">
        <v>3206</v>
      </c>
      <c r="B2668" t="s">
        <v>164</v>
      </c>
      <c r="C2668" t="s">
        <v>5878</v>
      </c>
      <c r="D2668" t="s">
        <v>165</v>
      </c>
      <c r="E2668" t="s">
        <v>361</v>
      </c>
      <c r="F2668" t="s">
        <v>7435</v>
      </c>
      <c r="G2668" t="s">
        <v>9059</v>
      </c>
      <c r="H2668" t="s">
        <v>10611</v>
      </c>
      <c r="I2668" t="s">
        <v>11432</v>
      </c>
      <c r="J2668" t="s">
        <v>1644</v>
      </c>
      <c r="K2668">
        <v>11233</v>
      </c>
      <c r="L2668" t="s">
        <v>1670</v>
      </c>
      <c r="M2668" t="s">
        <v>1670</v>
      </c>
      <c r="N2668" t="s">
        <v>12646</v>
      </c>
      <c r="O2668" t="s">
        <v>1940</v>
      </c>
      <c r="P2668" t="s">
        <v>1958</v>
      </c>
      <c r="Q2668" t="s">
        <v>1965</v>
      </c>
      <c r="R2668" t="s">
        <v>50</v>
      </c>
      <c r="S2668" t="s">
        <v>1671</v>
      </c>
      <c r="U2668" t="s">
        <v>1972</v>
      </c>
      <c r="W2668" t="s">
        <v>338</v>
      </c>
      <c r="X2668">
        <v>1400</v>
      </c>
      <c r="Y2668" t="s">
        <v>2009</v>
      </c>
      <c r="Z2668" t="s">
        <v>2014</v>
      </c>
      <c r="AA2668" t="s">
        <v>2029</v>
      </c>
      <c r="AB2668" t="s">
        <v>13619</v>
      </c>
      <c r="AC2668" t="s">
        <v>15299</v>
      </c>
      <c r="AD2668" t="s">
        <v>17312</v>
      </c>
      <c r="AE2668" t="s">
        <v>13051</v>
      </c>
      <c r="AG2668" t="s">
        <v>2921</v>
      </c>
      <c r="AH2668">
        <v>7</v>
      </c>
      <c r="AI2668">
        <v>1</v>
      </c>
      <c r="AJ2668">
        <v>0</v>
      </c>
      <c r="AK2668">
        <v>171.02</v>
      </c>
      <c r="AN2668" t="s">
        <v>2926</v>
      </c>
      <c r="AO2668">
        <v>21360</v>
      </c>
      <c r="AU2668">
        <v>5.5</v>
      </c>
      <c r="AV2668" t="s">
        <v>240</v>
      </c>
      <c r="AW2668" t="s">
        <v>3069</v>
      </c>
      <c r="AX2668" t="s">
        <v>18686</v>
      </c>
    </row>
    <row r="2669" spans="1:50">
      <c r="A2669" s="1" t="s">
        <v>53</v>
      </c>
      <c r="B2669" t="s">
        <v>164</v>
      </c>
      <c r="C2669" t="s">
        <v>5879</v>
      </c>
      <c r="D2669" t="s">
        <v>169</v>
      </c>
      <c r="E2669" t="s">
        <v>166</v>
      </c>
      <c r="F2669" t="s">
        <v>7775</v>
      </c>
      <c r="G2669" t="s">
        <v>9060</v>
      </c>
      <c r="H2669" t="s">
        <v>10612</v>
      </c>
      <c r="I2669" t="s">
        <v>1595</v>
      </c>
      <c r="J2669" t="s">
        <v>1645</v>
      </c>
      <c r="K2669">
        <v>11693</v>
      </c>
      <c r="L2669" t="s">
        <v>1670</v>
      </c>
      <c r="M2669" t="s">
        <v>1670</v>
      </c>
      <c r="N2669" t="s">
        <v>12647</v>
      </c>
      <c r="O2669" t="s">
        <v>1940</v>
      </c>
      <c r="P2669" t="s">
        <v>1958</v>
      </c>
      <c r="Q2669" t="s">
        <v>1965</v>
      </c>
      <c r="R2669" t="s">
        <v>50</v>
      </c>
      <c r="S2669" t="s">
        <v>1671</v>
      </c>
      <c r="U2669" t="s">
        <v>1972</v>
      </c>
      <c r="V2669" t="s">
        <v>1985</v>
      </c>
      <c r="W2669" t="s">
        <v>169</v>
      </c>
      <c r="X2669">
        <v>600</v>
      </c>
      <c r="Y2669" t="s">
        <v>2007</v>
      </c>
      <c r="Z2669" t="s">
        <v>2014</v>
      </c>
      <c r="AA2669" t="s">
        <v>2029</v>
      </c>
      <c r="AB2669" t="s">
        <v>14906</v>
      </c>
      <c r="AC2669" t="s">
        <v>1754</v>
      </c>
      <c r="AD2669" t="s">
        <v>17313</v>
      </c>
      <c r="AE2669">
        <v>2</v>
      </c>
      <c r="AF2669" t="s">
        <v>2903</v>
      </c>
      <c r="AG2669" t="s">
        <v>1754</v>
      </c>
      <c r="AH2669">
        <v>4</v>
      </c>
      <c r="AI2669">
        <v>1</v>
      </c>
      <c r="AJ2669">
        <v>0</v>
      </c>
      <c r="AK2669">
        <v>171.33</v>
      </c>
      <c r="AN2669" t="s">
        <v>2926</v>
      </c>
      <c r="AO2669">
        <v>20800</v>
      </c>
      <c r="AU2669">
        <v>0.9</v>
      </c>
      <c r="AV2669" t="s">
        <v>166</v>
      </c>
      <c r="AW2669" t="s">
        <v>3044</v>
      </c>
    </row>
    <row r="2670" spans="1:50">
      <c r="A2670" s="1" t="s">
        <v>58</v>
      </c>
      <c r="B2670" t="s">
        <v>164</v>
      </c>
      <c r="C2670" t="s">
        <v>5880</v>
      </c>
      <c r="D2670" t="s">
        <v>271</v>
      </c>
      <c r="E2670" t="s">
        <v>277</v>
      </c>
      <c r="F2670" t="s">
        <v>420</v>
      </c>
      <c r="G2670" t="s">
        <v>855</v>
      </c>
      <c r="H2670" t="s">
        <v>10613</v>
      </c>
      <c r="I2670">
        <v>31</v>
      </c>
      <c r="J2670" t="s">
        <v>1641</v>
      </c>
      <c r="K2670">
        <v>10457</v>
      </c>
      <c r="L2670" t="s">
        <v>1670</v>
      </c>
      <c r="M2670" t="s">
        <v>1670</v>
      </c>
      <c r="N2670" t="s">
        <v>12648</v>
      </c>
      <c r="O2670" t="s">
        <v>1936</v>
      </c>
      <c r="P2670" t="s">
        <v>1958</v>
      </c>
      <c r="Q2670" t="s">
        <v>1965</v>
      </c>
      <c r="R2670" t="s">
        <v>50</v>
      </c>
      <c r="S2670" t="s">
        <v>1671</v>
      </c>
      <c r="U2670" t="s">
        <v>1972</v>
      </c>
      <c r="V2670" t="s">
        <v>1986</v>
      </c>
      <c r="W2670" t="s">
        <v>271</v>
      </c>
      <c r="X2670">
        <v>1326</v>
      </c>
      <c r="Y2670" t="s">
        <v>2006</v>
      </c>
      <c r="Z2670" t="s">
        <v>2011</v>
      </c>
      <c r="AA2670" t="s">
        <v>2029</v>
      </c>
      <c r="AB2670" t="s">
        <v>14630</v>
      </c>
      <c r="AD2670" t="s">
        <v>17314</v>
      </c>
      <c r="AE2670">
        <v>55</v>
      </c>
      <c r="AF2670" t="s">
        <v>2902</v>
      </c>
      <c r="AH2670">
        <v>2</v>
      </c>
      <c r="AI2670">
        <v>1</v>
      </c>
      <c r="AJ2670">
        <v>0</v>
      </c>
      <c r="AK2670">
        <v>171.33</v>
      </c>
      <c r="AN2670" t="s">
        <v>2927</v>
      </c>
      <c r="AO2670">
        <v>20800</v>
      </c>
      <c r="AU2670">
        <v>1.5</v>
      </c>
      <c r="AV2670" t="s">
        <v>271</v>
      </c>
      <c r="AW2670" t="s">
        <v>3081</v>
      </c>
    </row>
    <row r="2671" spans="1:50">
      <c r="A2671" s="1" t="s">
        <v>123</v>
      </c>
      <c r="B2671" t="s">
        <v>163</v>
      </c>
      <c r="C2671" t="s">
        <v>5881</v>
      </c>
      <c r="D2671" t="s">
        <v>373</v>
      </c>
      <c r="F2671" t="s">
        <v>6888</v>
      </c>
      <c r="G2671" t="s">
        <v>9061</v>
      </c>
      <c r="H2671" t="s">
        <v>10614</v>
      </c>
      <c r="I2671" t="s">
        <v>1502</v>
      </c>
      <c r="J2671" t="s">
        <v>1641</v>
      </c>
      <c r="K2671">
        <v>10459</v>
      </c>
      <c r="L2671" t="s">
        <v>1670</v>
      </c>
      <c r="M2671" t="s">
        <v>1670</v>
      </c>
      <c r="N2671" t="s">
        <v>12649</v>
      </c>
      <c r="O2671" t="s">
        <v>1940</v>
      </c>
      <c r="P2671" t="s">
        <v>1958</v>
      </c>
      <c r="R2671" t="s">
        <v>50</v>
      </c>
      <c r="S2671" t="s">
        <v>1671</v>
      </c>
      <c r="U2671" t="s">
        <v>1972</v>
      </c>
      <c r="V2671" t="s">
        <v>1984</v>
      </c>
      <c r="W2671" t="s">
        <v>373</v>
      </c>
      <c r="X2671">
        <v>843.08</v>
      </c>
      <c r="Y2671" t="s">
        <v>2006</v>
      </c>
      <c r="Z2671" t="s">
        <v>2013</v>
      </c>
      <c r="AB2671" t="s">
        <v>14907</v>
      </c>
      <c r="AD2671" t="s">
        <v>17315</v>
      </c>
      <c r="AE2671" t="s">
        <v>13051</v>
      </c>
      <c r="AF2671" t="s">
        <v>2902</v>
      </c>
      <c r="AG2671" t="s">
        <v>1754</v>
      </c>
      <c r="AH2671">
        <v>1</v>
      </c>
      <c r="AI2671">
        <v>1</v>
      </c>
      <c r="AJ2671">
        <v>0</v>
      </c>
      <c r="AK2671">
        <v>171.33</v>
      </c>
      <c r="AN2671" t="s">
        <v>2926</v>
      </c>
      <c r="AO2671">
        <v>20800</v>
      </c>
      <c r="AU2671">
        <v>1.2</v>
      </c>
      <c r="AV2671" t="s">
        <v>203</v>
      </c>
      <c r="AW2671" t="s">
        <v>123</v>
      </c>
      <c r="AX2671" t="s">
        <v>18685</v>
      </c>
    </row>
    <row r="2672" spans="1:50">
      <c r="A2672" s="1" t="s">
        <v>162</v>
      </c>
      <c r="B2672" t="s">
        <v>163</v>
      </c>
      <c r="C2672" t="s">
        <v>5882</v>
      </c>
      <c r="D2672" t="s">
        <v>311</v>
      </c>
      <c r="F2672" t="s">
        <v>427</v>
      </c>
      <c r="G2672" t="s">
        <v>1082</v>
      </c>
      <c r="H2672" t="s">
        <v>10615</v>
      </c>
      <c r="I2672" t="s">
        <v>11433</v>
      </c>
      <c r="J2672" t="s">
        <v>1645</v>
      </c>
      <c r="K2672">
        <v>11691</v>
      </c>
      <c r="L2672" t="s">
        <v>1670</v>
      </c>
      <c r="M2672" t="s">
        <v>1670</v>
      </c>
      <c r="N2672" t="s">
        <v>12650</v>
      </c>
      <c r="O2672" t="s">
        <v>1940</v>
      </c>
      <c r="P2672" t="s">
        <v>1963</v>
      </c>
      <c r="R2672" t="s">
        <v>50</v>
      </c>
      <c r="S2672" t="s">
        <v>1671</v>
      </c>
      <c r="U2672" t="s">
        <v>1972</v>
      </c>
      <c r="V2672" t="s">
        <v>1984</v>
      </c>
      <c r="W2672" t="s">
        <v>311</v>
      </c>
      <c r="X2672">
        <v>850</v>
      </c>
      <c r="Y2672" t="s">
        <v>2007</v>
      </c>
      <c r="Z2672" t="s">
        <v>2014</v>
      </c>
      <c r="AB2672" t="s">
        <v>14908</v>
      </c>
      <c r="AD2672" t="s">
        <v>17316</v>
      </c>
      <c r="AE2672">
        <v>2</v>
      </c>
      <c r="AF2672" t="s">
        <v>2903</v>
      </c>
      <c r="AG2672" t="s">
        <v>1754</v>
      </c>
      <c r="AH2672">
        <v>2</v>
      </c>
      <c r="AI2672">
        <v>1</v>
      </c>
      <c r="AJ2672">
        <v>0</v>
      </c>
      <c r="AK2672">
        <v>171.33</v>
      </c>
      <c r="AN2672" t="s">
        <v>2926</v>
      </c>
      <c r="AO2672">
        <v>20800</v>
      </c>
      <c r="AU2672" t="s">
        <v>13051</v>
      </c>
      <c r="AW2672" t="s">
        <v>3044</v>
      </c>
    </row>
    <row r="2673" spans="1:50">
      <c r="A2673" s="1" t="s">
        <v>62</v>
      </c>
      <c r="B2673" t="s">
        <v>163</v>
      </c>
      <c r="C2673" t="s">
        <v>5883</v>
      </c>
      <c r="D2673" t="s">
        <v>6212</v>
      </c>
      <c r="F2673" t="s">
        <v>7793</v>
      </c>
      <c r="G2673" t="s">
        <v>9062</v>
      </c>
      <c r="H2673" t="s">
        <v>10161</v>
      </c>
      <c r="I2673" t="s">
        <v>11311</v>
      </c>
      <c r="J2673" t="s">
        <v>1644</v>
      </c>
      <c r="K2673">
        <v>11226</v>
      </c>
      <c r="L2673" t="s">
        <v>1670</v>
      </c>
      <c r="M2673" t="s">
        <v>1670</v>
      </c>
      <c r="O2673" t="s">
        <v>1939</v>
      </c>
      <c r="P2673" t="s">
        <v>1959</v>
      </c>
      <c r="R2673" t="s">
        <v>50</v>
      </c>
      <c r="S2673" t="s">
        <v>1670</v>
      </c>
      <c r="T2673" t="s">
        <v>13026</v>
      </c>
      <c r="U2673" t="s">
        <v>1972</v>
      </c>
      <c r="W2673" t="s">
        <v>1992</v>
      </c>
      <c r="X2673">
        <v>560</v>
      </c>
      <c r="Y2673" t="s">
        <v>2009</v>
      </c>
      <c r="Z2673" t="s">
        <v>2015</v>
      </c>
      <c r="AB2673" t="s">
        <v>14482</v>
      </c>
      <c r="AE2673">
        <v>6</v>
      </c>
      <c r="AF2673" t="s">
        <v>2902</v>
      </c>
      <c r="AG2673" t="s">
        <v>1754</v>
      </c>
      <c r="AH2673">
        <v>17</v>
      </c>
      <c r="AI2673">
        <v>1</v>
      </c>
      <c r="AJ2673">
        <v>0</v>
      </c>
      <c r="AK2673">
        <v>171.33</v>
      </c>
      <c r="AN2673" t="s">
        <v>2926</v>
      </c>
      <c r="AO2673">
        <v>20800</v>
      </c>
      <c r="AU2673">
        <v>44.75</v>
      </c>
      <c r="AV2673" t="s">
        <v>384</v>
      </c>
      <c r="AW2673" t="s">
        <v>3079</v>
      </c>
    </row>
    <row r="2674" spans="1:50">
      <c r="A2674" s="1" t="s">
        <v>62</v>
      </c>
      <c r="B2674" t="s">
        <v>163</v>
      </c>
      <c r="C2674" t="s">
        <v>5884</v>
      </c>
      <c r="D2674" t="s">
        <v>6182</v>
      </c>
      <c r="F2674" t="s">
        <v>7793</v>
      </c>
      <c r="G2674" t="s">
        <v>9062</v>
      </c>
      <c r="H2674" t="s">
        <v>10161</v>
      </c>
      <c r="I2674" t="s">
        <v>11311</v>
      </c>
      <c r="J2674" t="s">
        <v>1644</v>
      </c>
      <c r="K2674">
        <v>11226</v>
      </c>
      <c r="L2674" t="s">
        <v>1670</v>
      </c>
      <c r="M2674" t="s">
        <v>1670</v>
      </c>
      <c r="O2674" t="s">
        <v>1941</v>
      </c>
      <c r="P2674" t="s">
        <v>1959</v>
      </c>
      <c r="R2674" t="s">
        <v>50</v>
      </c>
      <c r="S2674" t="s">
        <v>1670</v>
      </c>
      <c r="T2674" t="s">
        <v>13026</v>
      </c>
      <c r="U2674" t="s">
        <v>1972</v>
      </c>
      <c r="W2674" t="s">
        <v>356</v>
      </c>
      <c r="X2674">
        <v>560</v>
      </c>
      <c r="Y2674" t="s">
        <v>2009</v>
      </c>
      <c r="Z2674" t="s">
        <v>2015</v>
      </c>
      <c r="AB2674" t="s">
        <v>14482</v>
      </c>
      <c r="AE2674">
        <v>6</v>
      </c>
      <c r="AF2674" t="s">
        <v>2902</v>
      </c>
      <c r="AG2674" t="s">
        <v>1754</v>
      </c>
      <c r="AH2674">
        <v>17</v>
      </c>
      <c r="AI2674">
        <v>1</v>
      </c>
      <c r="AJ2674">
        <v>0</v>
      </c>
      <c r="AK2674">
        <v>171.33</v>
      </c>
      <c r="AN2674" t="s">
        <v>2926</v>
      </c>
      <c r="AO2674">
        <v>20800</v>
      </c>
      <c r="AU2674">
        <v>28.25</v>
      </c>
      <c r="AV2674" t="s">
        <v>327</v>
      </c>
      <c r="AW2674" t="s">
        <v>3079</v>
      </c>
    </row>
    <row r="2675" spans="1:50">
      <c r="A2675" s="1" t="s">
        <v>3192</v>
      </c>
      <c r="B2675" t="s">
        <v>164</v>
      </c>
      <c r="C2675" t="s">
        <v>5885</v>
      </c>
      <c r="D2675" t="s">
        <v>175</v>
      </c>
      <c r="E2675" t="s">
        <v>270</v>
      </c>
      <c r="F2675" t="s">
        <v>7086</v>
      </c>
      <c r="G2675" t="s">
        <v>9063</v>
      </c>
      <c r="H2675" t="s">
        <v>10616</v>
      </c>
      <c r="I2675" t="s">
        <v>1569</v>
      </c>
      <c r="J2675" t="s">
        <v>1645</v>
      </c>
      <c r="K2675">
        <v>11691</v>
      </c>
      <c r="L2675" t="s">
        <v>1670</v>
      </c>
      <c r="M2675" t="s">
        <v>1670</v>
      </c>
      <c r="N2675" t="s">
        <v>12651</v>
      </c>
      <c r="O2675" t="s">
        <v>1936</v>
      </c>
      <c r="P2675" t="s">
        <v>1960</v>
      </c>
      <c r="Q2675" t="s">
        <v>1969</v>
      </c>
      <c r="R2675" t="s">
        <v>50</v>
      </c>
      <c r="S2675" t="s">
        <v>1671</v>
      </c>
      <c r="U2675" t="s">
        <v>1972</v>
      </c>
      <c r="V2675" t="s">
        <v>1985</v>
      </c>
      <c r="W2675" t="s">
        <v>175</v>
      </c>
      <c r="X2675">
        <v>685</v>
      </c>
      <c r="Y2675" t="s">
        <v>2007</v>
      </c>
      <c r="Z2675" t="s">
        <v>2014</v>
      </c>
      <c r="AA2675" t="s">
        <v>2032</v>
      </c>
      <c r="AB2675" t="s">
        <v>14909</v>
      </c>
      <c r="AC2675" t="s">
        <v>1691</v>
      </c>
      <c r="AD2675" t="s">
        <v>17317</v>
      </c>
      <c r="AE2675">
        <v>38</v>
      </c>
      <c r="AF2675" t="s">
        <v>2910</v>
      </c>
      <c r="AG2675" t="s">
        <v>1754</v>
      </c>
      <c r="AH2675">
        <v>4</v>
      </c>
      <c r="AI2675">
        <v>1</v>
      </c>
      <c r="AJ2675">
        <v>0</v>
      </c>
      <c r="AK2675">
        <v>171.33</v>
      </c>
      <c r="AM2675" t="s">
        <v>2925</v>
      </c>
      <c r="AN2675" t="s">
        <v>2926</v>
      </c>
      <c r="AO2675">
        <v>20800</v>
      </c>
      <c r="AQ2675" t="s">
        <v>2978</v>
      </c>
      <c r="AR2675" t="s">
        <v>2982</v>
      </c>
      <c r="AS2675" t="s">
        <v>2992</v>
      </c>
      <c r="AT2675" t="s">
        <v>18604</v>
      </c>
      <c r="AU2675">
        <v>5.2</v>
      </c>
      <c r="AV2675" t="s">
        <v>312</v>
      </c>
      <c r="AW2675" t="s">
        <v>3044</v>
      </c>
    </row>
    <row r="2676" spans="1:50">
      <c r="A2676" s="1" t="s">
        <v>146</v>
      </c>
      <c r="B2676" t="s">
        <v>164</v>
      </c>
      <c r="C2676" t="s">
        <v>5886</v>
      </c>
      <c r="D2676" t="s">
        <v>6156</v>
      </c>
      <c r="E2676" t="s">
        <v>247</v>
      </c>
      <c r="F2676" t="s">
        <v>6876</v>
      </c>
      <c r="G2676" t="s">
        <v>855</v>
      </c>
      <c r="H2676" t="s">
        <v>10617</v>
      </c>
      <c r="I2676" t="s">
        <v>1602</v>
      </c>
      <c r="J2676" t="s">
        <v>1641</v>
      </c>
      <c r="K2676">
        <v>10453</v>
      </c>
      <c r="L2676" t="s">
        <v>1670</v>
      </c>
      <c r="M2676" t="s">
        <v>1670</v>
      </c>
      <c r="N2676" t="s">
        <v>12652</v>
      </c>
      <c r="O2676" t="s">
        <v>1940</v>
      </c>
      <c r="P2676" t="s">
        <v>1960</v>
      </c>
      <c r="Q2676" t="s">
        <v>1969</v>
      </c>
      <c r="R2676" t="s">
        <v>50</v>
      </c>
      <c r="S2676" t="s">
        <v>1671</v>
      </c>
      <c r="U2676" t="s">
        <v>1972</v>
      </c>
      <c r="V2676" t="s">
        <v>1984</v>
      </c>
      <c r="W2676" t="s">
        <v>260</v>
      </c>
      <c r="X2676">
        <v>1419</v>
      </c>
      <c r="Y2676" t="s">
        <v>2006</v>
      </c>
      <c r="Z2676" t="s">
        <v>2026</v>
      </c>
      <c r="AA2676" t="s">
        <v>2032</v>
      </c>
      <c r="AB2676" t="s">
        <v>14910</v>
      </c>
      <c r="AD2676" t="s">
        <v>17318</v>
      </c>
      <c r="AE2676">
        <v>40</v>
      </c>
      <c r="AF2676" t="s">
        <v>2902</v>
      </c>
      <c r="AG2676" t="s">
        <v>1754</v>
      </c>
      <c r="AH2676">
        <v>10</v>
      </c>
      <c r="AI2676">
        <v>1</v>
      </c>
      <c r="AJ2676">
        <v>0</v>
      </c>
      <c r="AK2676">
        <v>171.33</v>
      </c>
      <c r="AN2676" t="s">
        <v>2926</v>
      </c>
      <c r="AO2676">
        <v>20800</v>
      </c>
      <c r="AR2676" t="s">
        <v>18482</v>
      </c>
      <c r="AS2676" t="s">
        <v>2992</v>
      </c>
      <c r="AT2676" t="s">
        <v>18564</v>
      </c>
      <c r="AU2676">
        <v>13.65</v>
      </c>
      <c r="AV2676" t="s">
        <v>247</v>
      </c>
      <c r="AW2676" t="s">
        <v>3083</v>
      </c>
    </row>
    <row r="2677" spans="1:50">
      <c r="A2677" s="1" t="s">
        <v>94</v>
      </c>
      <c r="B2677" t="s">
        <v>164</v>
      </c>
      <c r="C2677" t="s">
        <v>5887</v>
      </c>
      <c r="D2677" t="s">
        <v>167</v>
      </c>
      <c r="E2677" t="s">
        <v>317</v>
      </c>
      <c r="F2677" t="s">
        <v>7794</v>
      </c>
      <c r="G2677" t="s">
        <v>9064</v>
      </c>
      <c r="H2677" t="s">
        <v>9407</v>
      </c>
      <c r="I2677" t="s">
        <v>11129</v>
      </c>
      <c r="J2677" t="s">
        <v>1643</v>
      </c>
      <c r="K2677">
        <v>10040</v>
      </c>
      <c r="L2677" t="s">
        <v>1670</v>
      </c>
      <c r="M2677" t="s">
        <v>1670</v>
      </c>
      <c r="O2677" t="s">
        <v>1938</v>
      </c>
      <c r="P2677" t="s">
        <v>1960</v>
      </c>
      <c r="Q2677" t="s">
        <v>1969</v>
      </c>
      <c r="R2677" t="s">
        <v>50</v>
      </c>
      <c r="S2677" t="s">
        <v>1671</v>
      </c>
      <c r="U2677" t="s">
        <v>1972</v>
      </c>
      <c r="W2677" t="s">
        <v>167</v>
      </c>
      <c r="X2677">
        <v>838.13</v>
      </c>
      <c r="Y2677" t="s">
        <v>2008</v>
      </c>
      <c r="Z2677" t="s">
        <v>2020</v>
      </c>
      <c r="AA2677" t="s">
        <v>2031</v>
      </c>
      <c r="AB2677" t="s">
        <v>14911</v>
      </c>
      <c r="AD2677" t="s">
        <v>17319</v>
      </c>
      <c r="AE2677">
        <v>88</v>
      </c>
      <c r="AF2677" t="s">
        <v>2902</v>
      </c>
      <c r="AG2677" t="s">
        <v>1754</v>
      </c>
      <c r="AH2677">
        <v>4</v>
      </c>
      <c r="AI2677">
        <v>1</v>
      </c>
      <c r="AJ2677">
        <v>0</v>
      </c>
      <c r="AK2677">
        <v>171.33</v>
      </c>
      <c r="AN2677" t="s">
        <v>2926</v>
      </c>
      <c r="AO2677">
        <v>20800</v>
      </c>
      <c r="AU2677">
        <v>0.1</v>
      </c>
      <c r="AV2677" t="s">
        <v>317</v>
      </c>
      <c r="AW2677" t="s">
        <v>3042</v>
      </c>
    </row>
    <row r="2678" spans="1:50">
      <c r="A2678" s="1" t="s">
        <v>101</v>
      </c>
      <c r="B2678" t="s">
        <v>164</v>
      </c>
      <c r="C2678" t="s">
        <v>5888</v>
      </c>
      <c r="D2678" t="s">
        <v>6193</v>
      </c>
      <c r="E2678" t="s">
        <v>373</v>
      </c>
      <c r="F2678" t="s">
        <v>7012</v>
      </c>
      <c r="G2678" t="s">
        <v>7990</v>
      </c>
      <c r="H2678" t="s">
        <v>10618</v>
      </c>
      <c r="I2678" t="s">
        <v>1510</v>
      </c>
      <c r="J2678" t="s">
        <v>1643</v>
      </c>
      <c r="K2678">
        <v>10029</v>
      </c>
      <c r="L2678" t="s">
        <v>1670</v>
      </c>
      <c r="M2678" t="s">
        <v>1670</v>
      </c>
      <c r="N2678" t="s">
        <v>12653</v>
      </c>
      <c r="O2678" t="s">
        <v>1936</v>
      </c>
      <c r="P2678" t="s">
        <v>1960</v>
      </c>
      <c r="Q2678" t="s">
        <v>1969</v>
      </c>
      <c r="R2678" t="s">
        <v>50</v>
      </c>
      <c r="S2678" t="s">
        <v>1671</v>
      </c>
      <c r="U2678" t="s">
        <v>1973</v>
      </c>
      <c r="V2678" t="s">
        <v>1984</v>
      </c>
      <c r="W2678" t="s">
        <v>185</v>
      </c>
      <c r="X2678">
        <v>2692.96</v>
      </c>
      <c r="Y2678" t="s">
        <v>2008</v>
      </c>
      <c r="Z2678" t="s">
        <v>2013</v>
      </c>
      <c r="AA2678" t="s">
        <v>2032</v>
      </c>
      <c r="AB2678" t="s">
        <v>14240</v>
      </c>
      <c r="AD2678" t="s">
        <v>17320</v>
      </c>
      <c r="AE2678">
        <v>45</v>
      </c>
      <c r="AF2678" t="s">
        <v>2904</v>
      </c>
      <c r="AG2678" t="s">
        <v>2915</v>
      </c>
      <c r="AH2678">
        <v>20</v>
      </c>
      <c r="AI2678">
        <v>1</v>
      </c>
      <c r="AJ2678">
        <v>0</v>
      </c>
      <c r="AK2678">
        <v>171.33</v>
      </c>
      <c r="AN2678" t="s">
        <v>2926</v>
      </c>
      <c r="AO2678">
        <v>20800</v>
      </c>
      <c r="AQ2678" t="s">
        <v>2979</v>
      </c>
      <c r="AR2678" t="s">
        <v>18447</v>
      </c>
      <c r="AS2678" t="s">
        <v>2992</v>
      </c>
      <c r="AT2678" t="s">
        <v>18605</v>
      </c>
      <c r="AU2678">
        <v>4.55</v>
      </c>
      <c r="AV2678" t="s">
        <v>6216</v>
      </c>
      <c r="AW2678" t="s">
        <v>3068</v>
      </c>
    </row>
    <row r="2679" spans="1:50">
      <c r="A2679" s="1" t="s">
        <v>143</v>
      </c>
      <c r="B2679" t="s">
        <v>163</v>
      </c>
      <c r="C2679" t="s">
        <v>5889</v>
      </c>
      <c r="D2679" t="s">
        <v>408</v>
      </c>
      <c r="F2679" t="s">
        <v>7784</v>
      </c>
      <c r="G2679" t="s">
        <v>9048</v>
      </c>
      <c r="H2679" t="s">
        <v>1290</v>
      </c>
      <c r="I2679" t="s">
        <v>1525</v>
      </c>
      <c r="J2679" t="s">
        <v>1644</v>
      </c>
      <c r="K2679">
        <v>11221</v>
      </c>
      <c r="L2679" t="s">
        <v>1670</v>
      </c>
      <c r="M2679" t="s">
        <v>1670</v>
      </c>
      <c r="N2679" t="s">
        <v>12654</v>
      </c>
      <c r="O2679" t="s">
        <v>1939</v>
      </c>
      <c r="P2679" t="s">
        <v>1960</v>
      </c>
      <c r="R2679" t="s">
        <v>50</v>
      </c>
      <c r="S2679" t="s">
        <v>1670</v>
      </c>
      <c r="U2679" t="s">
        <v>1972</v>
      </c>
      <c r="W2679" t="s">
        <v>252</v>
      </c>
      <c r="X2679">
        <v>763</v>
      </c>
      <c r="Y2679" t="s">
        <v>2009</v>
      </c>
      <c r="Z2679" t="s">
        <v>2016</v>
      </c>
      <c r="AB2679" t="s">
        <v>14887</v>
      </c>
      <c r="AD2679" t="s">
        <v>17291</v>
      </c>
      <c r="AE2679">
        <v>12</v>
      </c>
      <c r="AF2679" t="s">
        <v>2902</v>
      </c>
      <c r="AG2679" t="s">
        <v>1754</v>
      </c>
      <c r="AH2679">
        <v>10</v>
      </c>
      <c r="AI2679">
        <v>1</v>
      </c>
      <c r="AJ2679">
        <v>0</v>
      </c>
      <c r="AK2679">
        <v>171.33</v>
      </c>
      <c r="AN2679" t="s">
        <v>2926</v>
      </c>
      <c r="AO2679">
        <v>20800</v>
      </c>
      <c r="AU2679">
        <v>18.6</v>
      </c>
      <c r="AV2679" t="s">
        <v>283</v>
      </c>
      <c r="AW2679" t="s">
        <v>3060</v>
      </c>
    </row>
    <row r="2680" spans="1:50">
      <c r="A2680" s="1" t="s">
        <v>91</v>
      </c>
      <c r="B2680" t="s">
        <v>163</v>
      </c>
      <c r="C2680" t="s">
        <v>5890</v>
      </c>
      <c r="D2680" t="s">
        <v>403</v>
      </c>
      <c r="F2680" t="s">
        <v>525</v>
      </c>
      <c r="G2680" t="s">
        <v>9065</v>
      </c>
      <c r="H2680" t="s">
        <v>10619</v>
      </c>
      <c r="I2680">
        <v>33</v>
      </c>
      <c r="J2680" t="s">
        <v>1643</v>
      </c>
      <c r="K2680">
        <v>10033</v>
      </c>
      <c r="L2680" t="s">
        <v>1670</v>
      </c>
      <c r="M2680" t="s">
        <v>1672</v>
      </c>
      <c r="P2680" t="s">
        <v>1962</v>
      </c>
      <c r="R2680" t="s">
        <v>50</v>
      </c>
      <c r="S2680" t="s">
        <v>1671</v>
      </c>
      <c r="U2680" t="s">
        <v>1972</v>
      </c>
      <c r="W2680" t="s">
        <v>403</v>
      </c>
      <c r="X2680">
        <v>1548.25</v>
      </c>
      <c r="Y2680" t="s">
        <v>2008</v>
      </c>
      <c r="Z2680" t="s">
        <v>2013</v>
      </c>
      <c r="AB2680" t="s">
        <v>14912</v>
      </c>
      <c r="AE2680">
        <v>55</v>
      </c>
      <c r="AF2680" t="s">
        <v>2902</v>
      </c>
      <c r="AG2680" t="s">
        <v>1754</v>
      </c>
      <c r="AH2680">
        <v>12</v>
      </c>
      <c r="AI2680">
        <v>2</v>
      </c>
      <c r="AJ2680">
        <v>0</v>
      </c>
      <c r="AK2680">
        <v>171.5</v>
      </c>
      <c r="AN2680" t="s">
        <v>2926</v>
      </c>
      <c r="AO2680">
        <v>29000</v>
      </c>
      <c r="AU2680">
        <v>0.4</v>
      </c>
      <c r="AV2680" t="s">
        <v>268</v>
      </c>
      <c r="AW2680" t="s">
        <v>3042</v>
      </c>
      <c r="AX2680" t="s">
        <v>18685</v>
      </c>
    </row>
    <row r="2681" spans="1:50">
      <c r="A2681" s="1" t="s">
        <v>93</v>
      </c>
      <c r="B2681" t="s">
        <v>163</v>
      </c>
      <c r="C2681" t="s">
        <v>5891</v>
      </c>
      <c r="D2681" t="s">
        <v>328</v>
      </c>
      <c r="F2681" t="s">
        <v>7795</v>
      </c>
      <c r="G2681" t="s">
        <v>849</v>
      </c>
      <c r="H2681" t="s">
        <v>10620</v>
      </c>
      <c r="I2681" t="s">
        <v>11434</v>
      </c>
      <c r="J2681" t="s">
        <v>1666</v>
      </c>
      <c r="K2681">
        <v>11368</v>
      </c>
      <c r="L2681" t="s">
        <v>1670</v>
      </c>
      <c r="M2681" t="s">
        <v>1672</v>
      </c>
      <c r="N2681" t="s">
        <v>12655</v>
      </c>
      <c r="O2681" t="s">
        <v>1936</v>
      </c>
      <c r="P2681" t="s">
        <v>1963</v>
      </c>
      <c r="R2681" t="s">
        <v>50</v>
      </c>
      <c r="S2681" t="s">
        <v>1670</v>
      </c>
      <c r="U2681" t="s">
        <v>1972</v>
      </c>
      <c r="W2681" t="s">
        <v>328</v>
      </c>
      <c r="X2681">
        <v>975</v>
      </c>
      <c r="Y2681" t="s">
        <v>2007</v>
      </c>
      <c r="Z2681" t="s">
        <v>2014</v>
      </c>
      <c r="AB2681" t="s">
        <v>14913</v>
      </c>
      <c r="AD2681" t="s">
        <v>17321</v>
      </c>
      <c r="AE2681" t="s">
        <v>13051</v>
      </c>
      <c r="AH2681">
        <v>27</v>
      </c>
      <c r="AI2681">
        <v>1</v>
      </c>
      <c r="AJ2681">
        <v>0</v>
      </c>
      <c r="AK2681">
        <v>171.98</v>
      </c>
      <c r="AN2681" t="s">
        <v>2926</v>
      </c>
      <c r="AO2681">
        <v>21480</v>
      </c>
      <c r="AU2681">
        <v>7.55</v>
      </c>
      <c r="AV2681" t="s">
        <v>396</v>
      </c>
      <c r="AW2681" t="s">
        <v>3073</v>
      </c>
    </row>
    <row r="2682" spans="1:50">
      <c r="A2682" s="1" t="s">
        <v>107</v>
      </c>
      <c r="B2682" t="s">
        <v>163</v>
      </c>
      <c r="C2682" t="s">
        <v>5892</v>
      </c>
      <c r="D2682" t="s">
        <v>200</v>
      </c>
      <c r="F2682" t="s">
        <v>7796</v>
      </c>
      <c r="G2682" t="s">
        <v>9066</v>
      </c>
      <c r="H2682" t="s">
        <v>10621</v>
      </c>
      <c r="I2682" t="s">
        <v>1486</v>
      </c>
      <c r="J2682" t="s">
        <v>1644</v>
      </c>
      <c r="K2682">
        <v>11213</v>
      </c>
      <c r="L2682" t="s">
        <v>1670</v>
      </c>
      <c r="M2682" t="s">
        <v>1670</v>
      </c>
      <c r="N2682" t="s">
        <v>12656</v>
      </c>
      <c r="O2682" t="s">
        <v>1941</v>
      </c>
      <c r="P2682" t="s">
        <v>1960</v>
      </c>
      <c r="R2682" t="s">
        <v>50</v>
      </c>
      <c r="S2682" t="s">
        <v>1670</v>
      </c>
      <c r="U2682" t="s">
        <v>1972</v>
      </c>
      <c r="V2682" t="s">
        <v>1984</v>
      </c>
      <c r="W2682" t="s">
        <v>200</v>
      </c>
      <c r="X2682">
        <v>575</v>
      </c>
      <c r="Y2682" t="s">
        <v>2009</v>
      </c>
      <c r="Z2682" t="s">
        <v>2017</v>
      </c>
      <c r="AB2682" t="s">
        <v>14914</v>
      </c>
      <c r="AE2682">
        <v>6</v>
      </c>
      <c r="AF2682" t="s">
        <v>2902</v>
      </c>
      <c r="AG2682" t="s">
        <v>1754</v>
      </c>
      <c r="AH2682">
        <v>22</v>
      </c>
      <c r="AI2682">
        <v>1</v>
      </c>
      <c r="AJ2682">
        <v>0</v>
      </c>
      <c r="AK2682">
        <v>172.59</v>
      </c>
      <c r="AN2682" t="s">
        <v>2926</v>
      </c>
      <c r="AO2682">
        <v>20952</v>
      </c>
      <c r="AU2682">
        <v>31.7</v>
      </c>
      <c r="AV2682" t="s">
        <v>1999</v>
      </c>
      <c r="AW2682" t="s">
        <v>107</v>
      </c>
    </row>
    <row r="2683" spans="1:50">
      <c r="A2683" s="1" t="s">
        <v>75</v>
      </c>
      <c r="B2683" t="s">
        <v>164</v>
      </c>
      <c r="C2683" t="s">
        <v>5893</v>
      </c>
      <c r="D2683" t="s">
        <v>185</v>
      </c>
      <c r="E2683" t="s">
        <v>266</v>
      </c>
      <c r="F2683" t="s">
        <v>746</v>
      </c>
      <c r="G2683" t="s">
        <v>1017</v>
      </c>
      <c r="H2683" t="s">
        <v>10622</v>
      </c>
      <c r="I2683" t="s">
        <v>1508</v>
      </c>
      <c r="J2683" t="s">
        <v>1643</v>
      </c>
      <c r="K2683">
        <v>10029</v>
      </c>
      <c r="L2683" t="s">
        <v>1670</v>
      </c>
      <c r="M2683" t="s">
        <v>1670</v>
      </c>
      <c r="N2683" t="s">
        <v>12657</v>
      </c>
      <c r="O2683" t="s">
        <v>1936</v>
      </c>
      <c r="P2683" t="s">
        <v>1960</v>
      </c>
      <c r="Q2683" t="s">
        <v>1967</v>
      </c>
      <c r="R2683" t="s">
        <v>50</v>
      </c>
      <c r="S2683" t="s">
        <v>1671</v>
      </c>
      <c r="U2683" t="s">
        <v>1972</v>
      </c>
      <c r="V2683" t="s">
        <v>1984</v>
      </c>
      <c r="W2683" t="s">
        <v>180</v>
      </c>
      <c r="X2683">
        <v>964.5</v>
      </c>
      <c r="Y2683" t="s">
        <v>2008</v>
      </c>
      <c r="Z2683" t="s">
        <v>2024</v>
      </c>
      <c r="AA2683" t="s">
        <v>2032</v>
      </c>
      <c r="AB2683" t="s">
        <v>14915</v>
      </c>
      <c r="AE2683">
        <v>11</v>
      </c>
      <c r="AF2683" t="s">
        <v>2902</v>
      </c>
      <c r="AG2683" t="s">
        <v>1754</v>
      </c>
      <c r="AH2683">
        <v>12</v>
      </c>
      <c r="AI2683">
        <v>1</v>
      </c>
      <c r="AJ2683">
        <v>0</v>
      </c>
      <c r="AK2683">
        <v>172.78</v>
      </c>
      <c r="AN2683" t="s">
        <v>2926</v>
      </c>
      <c r="AO2683">
        <v>20976</v>
      </c>
      <c r="AP2683" t="s">
        <v>18098</v>
      </c>
      <c r="AU2683">
        <v>5</v>
      </c>
      <c r="AV2683" t="s">
        <v>344</v>
      </c>
      <c r="AW2683" t="s">
        <v>18658</v>
      </c>
    </row>
    <row r="2684" spans="1:50">
      <c r="A2684" s="1" t="s">
        <v>73</v>
      </c>
      <c r="B2684" t="s">
        <v>163</v>
      </c>
      <c r="C2684" t="s">
        <v>5894</v>
      </c>
      <c r="D2684" t="s">
        <v>326</v>
      </c>
      <c r="F2684" t="s">
        <v>7728</v>
      </c>
      <c r="G2684" t="s">
        <v>9067</v>
      </c>
      <c r="H2684" t="s">
        <v>10623</v>
      </c>
      <c r="I2684" t="s">
        <v>11435</v>
      </c>
      <c r="J2684" t="s">
        <v>1645</v>
      </c>
      <c r="K2684">
        <v>11691</v>
      </c>
      <c r="L2684" t="s">
        <v>1670</v>
      </c>
      <c r="M2684" t="s">
        <v>1670</v>
      </c>
      <c r="O2684" t="s">
        <v>1675</v>
      </c>
      <c r="P2684" t="s">
        <v>1962</v>
      </c>
      <c r="R2684" t="s">
        <v>50</v>
      </c>
      <c r="S2684" t="s">
        <v>1671</v>
      </c>
      <c r="U2684" t="s">
        <v>1972</v>
      </c>
      <c r="W2684" t="s">
        <v>255</v>
      </c>
      <c r="X2684">
        <v>1350</v>
      </c>
      <c r="Y2684" t="s">
        <v>2007</v>
      </c>
      <c r="AB2684" t="s">
        <v>14916</v>
      </c>
      <c r="AD2684" t="s">
        <v>17322</v>
      </c>
      <c r="AE2684">
        <v>917</v>
      </c>
      <c r="AF2684" t="s">
        <v>2902</v>
      </c>
      <c r="AH2684">
        <v>3</v>
      </c>
      <c r="AI2684">
        <v>1</v>
      </c>
      <c r="AJ2684">
        <v>0</v>
      </c>
      <c r="AK2684">
        <v>172.94</v>
      </c>
      <c r="AN2684" t="s">
        <v>2926</v>
      </c>
      <c r="AO2684">
        <v>21600</v>
      </c>
      <c r="AU2684">
        <v>0.5</v>
      </c>
      <c r="AV2684" t="s">
        <v>269</v>
      </c>
      <c r="AW2684" t="s">
        <v>73</v>
      </c>
    </row>
    <row r="2685" spans="1:50">
      <c r="A2685" s="1" t="s">
        <v>132</v>
      </c>
      <c r="B2685" t="s">
        <v>163</v>
      </c>
      <c r="C2685" t="s">
        <v>5895</v>
      </c>
      <c r="D2685" t="s">
        <v>289</v>
      </c>
      <c r="F2685" t="s">
        <v>7797</v>
      </c>
      <c r="G2685" t="s">
        <v>7099</v>
      </c>
      <c r="H2685" t="s">
        <v>1248</v>
      </c>
      <c r="I2685" t="s">
        <v>1488</v>
      </c>
      <c r="J2685" t="s">
        <v>1644</v>
      </c>
      <c r="K2685">
        <v>11213</v>
      </c>
      <c r="L2685" t="s">
        <v>1670</v>
      </c>
      <c r="M2685" t="s">
        <v>1672</v>
      </c>
      <c r="N2685" t="s">
        <v>1754</v>
      </c>
      <c r="O2685" t="s">
        <v>1937</v>
      </c>
      <c r="P2685" t="s">
        <v>1962</v>
      </c>
      <c r="R2685" t="s">
        <v>50</v>
      </c>
      <c r="S2685" t="s">
        <v>1670</v>
      </c>
      <c r="U2685" t="s">
        <v>1977</v>
      </c>
      <c r="V2685" t="s">
        <v>1984</v>
      </c>
      <c r="W2685" t="s">
        <v>266</v>
      </c>
      <c r="X2685" t="s">
        <v>13051</v>
      </c>
      <c r="Y2685" t="s">
        <v>2009</v>
      </c>
      <c r="Z2685" t="s">
        <v>2017</v>
      </c>
      <c r="AB2685" t="s">
        <v>14917</v>
      </c>
      <c r="AE2685">
        <v>19</v>
      </c>
      <c r="AF2685" t="s">
        <v>2902</v>
      </c>
      <c r="AH2685" t="s">
        <v>13051</v>
      </c>
      <c r="AI2685">
        <v>1</v>
      </c>
      <c r="AJ2685">
        <v>0</v>
      </c>
      <c r="AK2685">
        <v>172.94</v>
      </c>
      <c r="AN2685" t="s">
        <v>2926</v>
      </c>
      <c r="AO2685">
        <v>21600</v>
      </c>
      <c r="AP2685" t="s">
        <v>18365</v>
      </c>
      <c r="AU2685" t="s">
        <v>13051</v>
      </c>
      <c r="AW2685" t="s">
        <v>3059</v>
      </c>
      <c r="AX2685" t="s">
        <v>18685</v>
      </c>
    </row>
    <row r="2686" spans="1:50">
      <c r="A2686" s="1" t="s">
        <v>96</v>
      </c>
      <c r="B2686" t="s">
        <v>163</v>
      </c>
      <c r="C2686" t="s">
        <v>5896</v>
      </c>
      <c r="D2686" t="s">
        <v>240</v>
      </c>
      <c r="F2686" t="s">
        <v>562</v>
      </c>
      <c r="G2686" t="s">
        <v>9068</v>
      </c>
      <c r="H2686" t="s">
        <v>10624</v>
      </c>
      <c r="I2686" t="s">
        <v>11278</v>
      </c>
      <c r="J2686" t="s">
        <v>1644</v>
      </c>
      <c r="K2686">
        <v>11217</v>
      </c>
      <c r="L2686" t="s">
        <v>1670</v>
      </c>
      <c r="M2686" t="s">
        <v>1670</v>
      </c>
      <c r="O2686" t="s">
        <v>1675</v>
      </c>
      <c r="P2686" t="s">
        <v>1959</v>
      </c>
      <c r="R2686" t="s">
        <v>50</v>
      </c>
      <c r="S2686" t="s">
        <v>1670</v>
      </c>
      <c r="U2686" t="s">
        <v>1972</v>
      </c>
      <c r="W2686" t="s">
        <v>283</v>
      </c>
      <c r="X2686">
        <v>773.53</v>
      </c>
      <c r="Y2686" t="s">
        <v>2009</v>
      </c>
      <c r="Z2686" t="s">
        <v>2016</v>
      </c>
      <c r="AB2686" t="s">
        <v>14918</v>
      </c>
      <c r="AE2686">
        <v>8</v>
      </c>
      <c r="AF2686" t="s">
        <v>2902</v>
      </c>
      <c r="AH2686">
        <v>20</v>
      </c>
      <c r="AI2686">
        <v>1</v>
      </c>
      <c r="AJ2686">
        <v>0</v>
      </c>
      <c r="AK2686">
        <v>172.94</v>
      </c>
      <c r="AN2686" t="s">
        <v>2926</v>
      </c>
      <c r="AO2686">
        <v>21600</v>
      </c>
      <c r="AU2686">
        <v>7.1</v>
      </c>
      <c r="AV2686" t="s">
        <v>206</v>
      </c>
      <c r="AW2686" t="s">
        <v>3079</v>
      </c>
      <c r="AX2686" t="s">
        <v>18685</v>
      </c>
    </row>
    <row r="2687" spans="1:50">
      <c r="A2687" s="1" t="s">
        <v>145</v>
      </c>
      <c r="B2687" t="s">
        <v>163</v>
      </c>
      <c r="C2687" t="s">
        <v>5897</v>
      </c>
      <c r="D2687" t="s">
        <v>290</v>
      </c>
      <c r="F2687" t="s">
        <v>7797</v>
      </c>
      <c r="G2687" t="s">
        <v>7099</v>
      </c>
      <c r="H2687" t="s">
        <v>1248</v>
      </c>
      <c r="I2687" t="s">
        <v>1488</v>
      </c>
      <c r="J2687" t="s">
        <v>1644</v>
      </c>
      <c r="K2687">
        <v>11213</v>
      </c>
      <c r="L2687" t="s">
        <v>1670</v>
      </c>
      <c r="M2687" t="s">
        <v>1672</v>
      </c>
      <c r="N2687" t="s">
        <v>1754</v>
      </c>
      <c r="O2687" t="s">
        <v>1946</v>
      </c>
      <c r="P2687" t="s">
        <v>1964</v>
      </c>
      <c r="R2687" t="s">
        <v>50</v>
      </c>
      <c r="S2687" t="s">
        <v>1670</v>
      </c>
      <c r="U2687" t="s">
        <v>1978</v>
      </c>
      <c r="V2687" t="s">
        <v>1984</v>
      </c>
      <c r="W2687" t="s">
        <v>275</v>
      </c>
      <c r="X2687" t="s">
        <v>13051</v>
      </c>
      <c r="Y2687" t="s">
        <v>2009</v>
      </c>
      <c r="AB2687" t="s">
        <v>14917</v>
      </c>
      <c r="AE2687" t="s">
        <v>13051</v>
      </c>
      <c r="AF2687" t="s">
        <v>2902</v>
      </c>
      <c r="AH2687">
        <v>12</v>
      </c>
      <c r="AI2687">
        <v>1</v>
      </c>
      <c r="AJ2687">
        <v>0</v>
      </c>
      <c r="AK2687">
        <v>172.94</v>
      </c>
      <c r="AN2687" t="s">
        <v>2926</v>
      </c>
      <c r="AO2687">
        <v>21600</v>
      </c>
      <c r="AP2687" t="s">
        <v>18366</v>
      </c>
      <c r="AU2687">
        <v>4</v>
      </c>
      <c r="AV2687" t="s">
        <v>222</v>
      </c>
      <c r="AW2687" t="s">
        <v>3060</v>
      </c>
      <c r="AX2687" t="s">
        <v>18685</v>
      </c>
    </row>
    <row r="2688" spans="1:50">
      <c r="A2688" s="1" t="s">
        <v>88</v>
      </c>
      <c r="B2688" t="s">
        <v>163</v>
      </c>
      <c r="C2688" t="s">
        <v>5898</v>
      </c>
      <c r="D2688" t="s">
        <v>337</v>
      </c>
      <c r="F2688" t="s">
        <v>7798</v>
      </c>
      <c r="G2688" t="s">
        <v>9069</v>
      </c>
      <c r="H2688" t="s">
        <v>10625</v>
      </c>
      <c r="I2688">
        <v>2</v>
      </c>
      <c r="J2688" t="s">
        <v>1644</v>
      </c>
      <c r="K2688">
        <v>11233</v>
      </c>
      <c r="L2688" t="s">
        <v>1670</v>
      </c>
      <c r="M2688" t="s">
        <v>1672</v>
      </c>
      <c r="N2688" t="s">
        <v>12658</v>
      </c>
      <c r="O2688" t="s">
        <v>1940</v>
      </c>
      <c r="P2688" t="s">
        <v>1960</v>
      </c>
      <c r="R2688" t="s">
        <v>50</v>
      </c>
      <c r="S2688" t="s">
        <v>1671</v>
      </c>
      <c r="U2688" t="s">
        <v>1972</v>
      </c>
      <c r="V2688" t="s">
        <v>1984</v>
      </c>
      <c r="W2688" t="s">
        <v>248</v>
      </c>
      <c r="X2688">
        <v>650</v>
      </c>
      <c r="Y2688" t="s">
        <v>2009</v>
      </c>
      <c r="Z2688" t="s">
        <v>2016</v>
      </c>
      <c r="AB2688" t="s">
        <v>14919</v>
      </c>
      <c r="AC2688" t="s">
        <v>1754</v>
      </c>
      <c r="AD2688" t="s">
        <v>17323</v>
      </c>
      <c r="AE2688">
        <v>6</v>
      </c>
      <c r="AF2688" t="s">
        <v>2902</v>
      </c>
      <c r="AG2688" t="s">
        <v>1754</v>
      </c>
      <c r="AH2688">
        <v>3</v>
      </c>
      <c r="AI2688">
        <v>1</v>
      </c>
      <c r="AJ2688">
        <v>0</v>
      </c>
      <c r="AK2688">
        <v>172.94</v>
      </c>
      <c r="AN2688" t="s">
        <v>2926</v>
      </c>
      <c r="AO2688">
        <v>21600</v>
      </c>
      <c r="AU2688" t="s">
        <v>13051</v>
      </c>
      <c r="AW2688" t="s">
        <v>3060</v>
      </c>
      <c r="AX2688" t="s">
        <v>18685</v>
      </c>
    </row>
    <row r="2689" spans="1:50">
      <c r="A2689" s="1" t="s">
        <v>145</v>
      </c>
      <c r="B2689" t="s">
        <v>163</v>
      </c>
      <c r="C2689" t="s">
        <v>5899</v>
      </c>
      <c r="D2689" t="s">
        <v>390</v>
      </c>
      <c r="F2689" t="s">
        <v>7797</v>
      </c>
      <c r="G2689" t="s">
        <v>7099</v>
      </c>
      <c r="H2689" t="s">
        <v>1248</v>
      </c>
      <c r="I2689" t="s">
        <v>1488</v>
      </c>
      <c r="J2689" t="s">
        <v>1644</v>
      </c>
      <c r="K2689">
        <v>11213</v>
      </c>
      <c r="L2689" t="s">
        <v>1670</v>
      </c>
      <c r="M2689" t="s">
        <v>1672</v>
      </c>
      <c r="N2689" t="s">
        <v>1754</v>
      </c>
      <c r="O2689" t="s">
        <v>1936</v>
      </c>
      <c r="P2689" t="s">
        <v>1960</v>
      </c>
      <c r="R2689" t="s">
        <v>50</v>
      </c>
      <c r="S2689" t="s">
        <v>1671</v>
      </c>
      <c r="U2689" t="s">
        <v>1972</v>
      </c>
      <c r="W2689" t="s">
        <v>191</v>
      </c>
      <c r="X2689" t="s">
        <v>13051</v>
      </c>
      <c r="Y2689" t="s">
        <v>2009</v>
      </c>
      <c r="Z2689" t="s">
        <v>2017</v>
      </c>
      <c r="AB2689" t="s">
        <v>14917</v>
      </c>
      <c r="AE2689">
        <v>19</v>
      </c>
      <c r="AF2689" t="s">
        <v>2902</v>
      </c>
      <c r="AH2689" t="s">
        <v>13051</v>
      </c>
      <c r="AI2689">
        <v>1</v>
      </c>
      <c r="AJ2689">
        <v>0</v>
      </c>
      <c r="AK2689">
        <v>172.94</v>
      </c>
      <c r="AN2689" t="s">
        <v>2926</v>
      </c>
      <c r="AO2689">
        <v>21600</v>
      </c>
      <c r="AP2689" t="s">
        <v>18367</v>
      </c>
      <c r="AU2689">
        <v>6.5</v>
      </c>
      <c r="AV2689" t="s">
        <v>393</v>
      </c>
      <c r="AW2689" t="s">
        <v>3060</v>
      </c>
      <c r="AX2689" t="s">
        <v>18685</v>
      </c>
    </row>
    <row r="2690" spans="1:50">
      <c r="A2690" s="1" t="s">
        <v>99</v>
      </c>
      <c r="B2690" t="s">
        <v>164</v>
      </c>
      <c r="C2690" t="s">
        <v>5900</v>
      </c>
      <c r="D2690" t="s">
        <v>373</v>
      </c>
      <c r="E2690" t="s">
        <v>306</v>
      </c>
      <c r="F2690" t="s">
        <v>7799</v>
      </c>
      <c r="G2690" t="s">
        <v>9070</v>
      </c>
      <c r="H2690" t="s">
        <v>10626</v>
      </c>
      <c r="I2690" t="s">
        <v>10945</v>
      </c>
      <c r="J2690" t="s">
        <v>1660</v>
      </c>
      <c r="K2690">
        <v>11377</v>
      </c>
      <c r="L2690" t="s">
        <v>1670</v>
      </c>
      <c r="M2690" t="s">
        <v>1670</v>
      </c>
      <c r="N2690" t="s">
        <v>12659</v>
      </c>
      <c r="O2690" t="s">
        <v>1936</v>
      </c>
      <c r="P2690" t="s">
        <v>1958</v>
      </c>
      <c r="Q2690" t="s">
        <v>1965</v>
      </c>
      <c r="R2690" t="s">
        <v>50</v>
      </c>
      <c r="S2690" t="s">
        <v>1671</v>
      </c>
      <c r="U2690" t="s">
        <v>1972</v>
      </c>
      <c r="V2690" t="s">
        <v>1984</v>
      </c>
      <c r="W2690" t="s">
        <v>373</v>
      </c>
      <c r="X2690">
        <v>1700</v>
      </c>
      <c r="Y2690" t="s">
        <v>2007</v>
      </c>
      <c r="Z2690" t="s">
        <v>2014</v>
      </c>
      <c r="AA2690" t="s">
        <v>2029</v>
      </c>
      <c r="AB2690" t="s">
        <v>14920</v>
      </c>
      <c r="AD2690" t="s">
        <v>17324</v>
      </c>
      <c r="AE2690">
        <v>113</v>
      </c>
      <c r="AF2690" t="s">
        <v>2902</v>
      </c>
      <c r="AG2690" t="s">
        <v>1754</v>
      </c>
      <c r="AH2690">
        <v>6</v>
      </c>
      <c r="AI2690">
        <v>1</v>
      </c>
      <c r="AJ2690">
        <v>0</v>
      </c>
      <c r="AK2690">
        <v>172.98</v>
      </c>
      <c r="AN2690" t="s">
        <v>2926</v>
      </c>
      <c r="AO2690">
        <v>21000</v>
      </c>
      <c r="AU2690">
        <v>0.9</v>
      </c>
      <c r="AV2690" t="s">
        <v>270</v>
      </c>
      <c r="AW2690" t="s">
        <v>85</v>
      </c>
    </row>
    <row r="2691" spans="1:50">
      <c r="A2691" s="1" t="s">
        <v>119</v>
      </c>
      <c r="B2691" t="s">
        <v>163</v>
      </c>
      <c r="C2691" t="s">
        <v>5901</v>
      </c>
      <c r="D2691" t="s">
        <v>341</v>
      </c>
      <c r="F2691" t="s">
        <v>658</v>
      </c>
      <c r="G2691" t="s">
        <v>9071</v>
      </c>
      <c r="H2691" t="s">
        <v>10627</v>
      </c>
      <c r="I2691" t="s">
        <v>1542</v>
      </c>
      <c r="J2691" t="s">
        <v>1644</v>
      </c>
      <c r="K2691">
        <v>11208</v>
      </c>
      <c r="L2691" t="s">
        <v>1670</v>
      </c>
      <c r="M2691" t="s">
        <v>1670</v>
      </c>
      <c r="N2691" t="s">
        <v>12660</v>
      </c>
      <c r="O2691" t="s">
        <v>1939</v>
      </c>
      <c r="P2691" t="s">
        <v>1958</v>
      </c>
      <c r="R2691" t="s">
        <v>50</v>
      </c>
      <c r="S2691" t="s">
        <v>1671</v>
      </c>
      <c r="U2691" t="s">
        <v>1972</v>
      </c>
      <c r="W2691" t="s">
        <v>376</v>
      </c>
      <c r="X2691">
        <v>600</v>
      </c>
      <c r="Y2691" t="s">
        <v>2009</v>
      </c>
      <c r="Z2691" t="s">
        <v>2014</v>
      </c>
      <c r="AB2691" t="s">
        <v>14921</v>
      </c>
      <c r="AD2691" t="s">
        <v>17325</v>
      </c>
      <c r="AE2691">
        <v>3</v>
      </c>
      <c r="AF2691" t="s">
        <v>2903</v>
      </c>
      <c r="AG2691" t="s">
        <v>1754</v>
      </c>
      <c r="AH2691">
        <v>1</v>
      </c>
      <c r="AI2691">
        <v>1</v>
      </c>
      <c r="AJ2691">
        <v>0</v>
      </c>
      <c r="AK2691">
        <v>172.98</v>
      </c>
      <c r="AN2691" t="s">
        <v>2926</v>
      </c>
      <c r="AO2691">
        <v>21000</v>
      </c>
      <c r="AU2691" t="s">
        <v>13051</v>
      </c>
      <c r="AW2691" t="s">
        <v>3059</v>
      </c>
    </row>
    <row r="2692" spans="1:50">
      <c r="A2692" s="1" t="s">
        <v>82</v>
      </c>
      <c r="B2692" t="s">
        <v>163</v>
      </c>
      <c r="C2692" t="s">
        <v>5902</v>
      </c>
      <c r="D2692" t="s">
        <v>330</v>
      </c>
      <c r="F2692" t="s">
        <v>6859</v>
      </c>
      <c r="G2692" t="s">
        <v>833</v>
      </c>
      <c r="H2692" t="s">
        <v>9482</v>
      </c>
      <c r="I2692" t="s">
        <v>10960</v>
      </c>
      <c r="J2692" t="s">
        <v>1644</v>
      </c>
      <c r="K2692">
        <v>11233</v>
      </c>
      <c r="L2692" t="s">
        <v>1670</v>
      </c>
      <c r="M2692" t="s">
        <v>1670</v>
      </c>
      <c r="N2692" t="s">
        <v>1675</v>
      </c>
      <c r="O2692" t="s">
        <v>1938</v>
      </c>
      <c r="P2692" t="s">
        <v>1959</v>
      </c>
      <c r="R2692" t="s">
        <v>50</v>
      </c>
      <c r="S2692" t="s">
        <v>1670</v>
      </c>
      <c r="U2692" t="s">
        <v>1972</v>
      </c>
      <c r="V2692" t="s">
        <v>1984</v>
      </c>
      <c r="W2692" t="s">
        <v>13037</v>
      </c>
      <c r="X2692">
        <v>446</v>
      </c>
      <c r="Y2692" t="s">
        <v>2009</v>
      </c>
      <c r="Z2692" t="s">
        <v>2021</v>
      </c>
      <c r="AB2692" t="s">
        <v>2223</v>
      </c>
      <c r="AD2692" t="s">
        <v>17304</v>
      </c>
      <c r="AE2692">
        <v>764</v>
      </c>
      <c r="AF2692" t="s">
        <v>2902</v>
      </c>
      <c r="AG2692" t="s">
        <v>2915</v>
      </c>
      <c r="AH2692" t="s">
        <v>13051</v>
      </c>
      <c r="AI2692">
        <v>1</v>
      </c>
      <c r="AJ2692">
        <v>0</v>
      </c>
      <c r="AK2692">
        <v>172.98</v>
      </c>
      <c r="AN2692" t="s">
        <v>2926</v>
      </c>
      <c r="AO2692">
        <v>21000</v>
      </c>
      <c r="AU2692" t="s">
        <v>13051</v>
      </c>
      <c r="AW2692" t="s">
        <v>3059</v>
      </c>
    </row>
    <row r="2693" spans="1:50">
      <c r="A2693" s="1" t="s">
        <v>3150</v>
      </c>
      <c r="B2693" t="s">
        <v>163</v>
      </c>
      <c r="C2693" t="s">
        <v>5903</v>
      </c>
      <c r="D2693" t="s">
        <v>206</v>
      </c>
      <c r="F2693" t="s">
        <v>7800</v>
      </c>
      <c r="G2693" t="s">
        <v>9072</v>
      </c>
      <c r="H2693" t="s">
        <v>10628</v>
      </c>
      <c r="I2693">
        <v>11</v>
      </c>
      <c r="J2693" t="s">
        <v>1643</v>
      </c>
      <c r="K2693">
        <v>10002</v>
      </c>
      <c r="L2693" t="s">
        <v>1670</v>
      </c>
      <c r="M2693" t="s">
        <v>1672</v>
      </c>
      <c r="N2693" t="s">
        <v>12661</v>
      </c>
      <c r="O2693" t="s">
        <v>1940</v>
      </c>
      <c r="P2693" t="s">
        <v>1963</v>
      </c>
      <c r="R2693" t="s">
        <v>50</v>
      </c>
      <c r="S2693" t="s">
        <v>1671</v>
      </c>
      <c r="U2693" t="s">
        <v>1972</v>
      </c>
      <c r="V2693" t="s">
        <v>1984</v>
      </c>
      <c r="W2693" t="s">
        <v>206</v>
      </c>
      <c r="X2693">
        <v>252</v>
      </c>
      <c r="Y2693" t="s">
        <v>2008</v>
      </c>
      <c r="Z2693" t="s">
        <v>2014</v>
      </c>
      <c r="AB2693" t="s">
        <v>14922</v>
      </c>
      <c r="AD2693" t="s">
        <v>17326</v>
      </c>
      <c r="AE2693">
        <v>20</v>
      </c>
      <c r="AF2693" t="s">
        <v>2908</v>
      </c>
      <c r="AG2693" t="s">
        <v>1754</v>
      </c>
      <c r="AH2693">
        <v>39</v>
      </c>
      <c r="AI2693">
        <v>1</v>
      </c>
      <c r="AJ2693">
        <v>0</v>
      </c>
      <c r="AK2693">
        <v>173.23</v>
      </c>
      <c r="AN2693" t="s">
        <v>2933</v>
      </c>
      <c r="AO2693">
        <v>21636</v>
      </c>
      <c r="AU2693">
        <v>1.9</v>
      </c>
      <c r="AV2693" t="s">
        <v>346</v>
      </c>
      <c r="AW2693" t="s">
        <v>3051</v>
      </c>
      <c r="AX2693" t="s">
        <v>18685</v>
      </c>
    </row>
    <row r="2694" spans="1:50">
      <c r="A2694" s="1" t="s">
        <v>53</v>
      </c>
      <c r="B2694" t="s">
        <v>164</v>
      </c>
      <c r="C2694" t="s">
        <v>5904</v>
      </c>
      <c r="D2694" t="s">
        <v>6213</v>
      </c>
      <c r="E2694" t="s">
        <v>197</v>
      </c>
      <c r="F2694" t="s">
        <v>7801</v>
      </c>
      <c r="G2694" t="s">
        <v>1092</v>
      </c>
      <c r="H2694" t="s">
        <v>10629</v>
      </c>
      <c r="I2694" t="s">
        <v>1634</v>
      </c>
      <c r="J2694" t="s">
        <v>1647</v>
      </c>
      <c r="K2694">
        <v>11435</v>
      </c>
      <c r="L2694" t="s">
        <v>1670</v>
      </c>
      <c r="M2694" t="s">
        <v>1670</v>
      </c>
      <c r="N2694" t="s">
        <v>12662</v>
      </c>
      <c r="O2694" t="s">
        <v>1940</v>
      </c>
      <c r="P2694" t="s">
        <v>1958</v>
      </c>
      <c r="Q2694" t="s">
        <v>1965</v>
      </c>
      <c r="R2694" t="s">
        <v>50</v>
      </c>
      <c r="S2694" t="s">
        <v>1671</v>
      </c>
      <c r="U2694" t="s">
        <v>1980</v>
      </c>
      <c r="V2694" t="s">
        <v>1984</v>
      </c>
      <c r="W2694" t="s">
        <v>314</v>
      </c>
      <c r="X2694">
        <v>550</v>
      </c>
      <c r="Y2694" t="s">
        <v>2007</v>
      </c>
      <c r="Z2694" t="s">
        <v>2014</v>
      </c>
      <c r="AA2694" t="s">
        <v>2029</v>
      </c>
      <c r="AB2694" t="s">
        <v>14923</v>
      </c>
      <c r="AC2694" t="s">
        <v>15300</v>
      </c>
      <c r="AD2694" t="s">
        <v>17327</v>
      </c>
      <c r="AE2694">
        <v>1</v>
      </c>
      <c r="AF2694" t="s">
        <v>2903</v>
      </c>
      <c r="AG2694" t="s">
        <v>1754</v>
      </c>
      <c r="AH2694">
        <v>10</v>
      </c>
      <c r="AI2694">
        <v>1</v>
      </c>
      <c r="AJ2694">
        <v>0</v>
      </c>
      <c r="AK2694">
        <v>173.57</v>
      </c>
      <c r="AN2694" t="s">
        <v>2926</v>
      </c>
      <c r="AO2694">
        <v>21072</v>
      </c>
      <c r="AU2694">
        <v>1.75</v>
      </c>
      <c r="AV2694" t="s">
        <v>197</v>
      </c>
      <c r="AW2694" t="s">
        <v>18680</v>
      </c>
    </row>
    <row r="2695" spans="1:50">
      <c r="A2695" s="1" t="s">
        <v>114</v>
      </c>
      <c r="B2695" t="s">
        <v>164</v>
      </c>
      <c r="C2695" t="s">
        <v>5905</v>
      </c>
      <c r="D2695" t="s">
        <v>339</v>
      </c>
      <c r="E2695" t="s">
        <v>249</v>
      </c>
      <c r="F2695" t="s">
        <v>7802</v>
      </c>
      <c r="G2695" t="s">
        <v>1034</v>
      </c>
      <c r="H2695" t="s">
        <v>1312</v>
      </c>
      <c r="I2695" t="s">
        <v>1504</v>
      </c>
      <c r="J2695" t="s">
        <v>1641</v>
      </c>
      <c r="K2695">
        <v>10459</v>
      </c>
      <c r="L2695" t="s">
        <v>1670</v>
      </c>
      <c r="M2695" t="s">
        <v>1670</v>
      </c>
      <c r="O2695" t="s">
        <v>1675</v>
      </c>
      <c r="P2695" t="s">
        <v>1962</v>
      </c>
      <c r="Q2695" t="s">
        <v>1968</v>
      </c>
      <c r="R2695" t="s">
        <v>50</v>
      </c>
      <c r="S2695" t="s">
        <v>1671</v>
      </c>
      <c r="U2695" t="s">
        <v>1972</v>
      </c>
      <c r="W2695" t="s">
        <v>249</v>
      </c>
      <c r="X2695">
        <v>865</v>
      </c>
      <c r="Y2695" t="s">
        <v>2006</v>
      </c>
      <c r="AA2695" t="s">
        <v>2030</v>
      </c>
      <c r="AB2695" t="s">
        <v>14924</v>
      </c>
      <c r="AD2695" t="s">
        <v>17328</v>
      </c>
      <c r="AE2695" t="s">
        <v>13051</v>
      </c>
      <c r="AH2695">
        <v>12</v>
      </c>
      <c r="AI2695">
        <v>1</v>
      </c>
      <c r="AJ2695">
        <v>0</v>
      </c>
      <c r="AK2695">
        <v>173.9</v>
      </c>
      <c r="AN2695" t="s">
        <v>2926</v>
      </c>
      <c r="AO2695">
        <v>21720</v>
      </c>
      <c r="AU2695">
        <v>0.6</v>
      </c>
      <c r="AV2695" t="s">
        <v>339</v>
      </c>
      <c r="AW2695" t="s">
        <v>114</v>
      </c>
      <c r="AX2695" t="s">
        <v>18685</v>
      </c>
    </row>
    <row r="2696" spans="1:50">
      <c r="A2696" s="1" t="s">
        <v>82</v>
      </c>
      <c r="B2696" t="s">
        <v>163</v>
      </c>
      <c r="C2696" t="s">
        <v>5906</v>
      </c>
      <c r="D2696" t="s">
        <v>202</v>
      </c>
      <c r="F2696" t="s">
        <v>7791</v>
      </c>
      <c r="G2696" t="s">
        <v>9056</v>
      </c>
      <c r="H2696" t="s">
        <v>1144</v>
      </c>
      <c r="I2696" t="s">
        <v>11431</v>
      </c>
      <c r="J2696" t="s">
        <v>1644</v>
      </c>
      <c r="K2696">
        <v>11233</v>
      </c>
      <c r="L2696" t="s">
        <v>1670</v>
      </c>
      <c r="M2696" t="s">
        <v>1670</v>
      </c>
      <c r="N2696" t="s">
        <v>1691</v>
      </c>
      <c r="O2696" t="s">
        <v>1938</v>
      </c>
      <c r="P2696" t="s">
        <v>1959</v>
      </c>
      <c r="R2696" t="s">
        <v>50</v>
      </c>
      <c r="S2696" t="s">
        <v>1670</v>
      </c>
      <c r="U2696" t="s">
        <v>1972</v>
      </c>
      <c r="V2696" t="s">
        <v>1984</v>
      </c>
      <c r="W2696" t="s">
        <v>231</v>
      </c>
      <c r="X2696">
        <v>1353.11</v>
      </c>
      <c r="Y2696" t="s">
        <v>2009</v>
      </c>
      <c r="Z2696" t="s">
        <v>2016</v>
      </c>
      <c r="AB2696" t="s">
        <v>14903</v>
      </c>
      <c r="AC2696" t="s">
        <v>1754</v>
      </c>
      <c r="AD2696" t="s">
        <v>17309</v>
      </c>
      <c r="AE2696">
        <v>764</v>
      </c>
      <c r="AF2696" t="s">
        <v>2902</v>
      </c>
      <c r="AG2696" t="s">
        <v>1754</v>
      </c>
      <c r="AH2696">
        <v>24</v>
      </c>
      <c r="AI2696">
        <v>5</v>
      </c>
      <c r="AJ2696">
        <v>0</v>
      </c>
      <c r="AK2696">
        <v>174.03</v>
      </c>
      <c r="AN2696" t="s">
        <v>2926</v>
      </c>
      <c r="AO2696">
        <v>51200</v>
      </c>
      <c r="AU2696" t="s">
        <v>13051</v>
      </c>
      <c r="AW2696" t="s">
        <v>3060</v>
      </c>
    </row>
    <row r="2697" spans="1:50">
      <c r="A2697" s="1" t="s">
        <v>133</v>
      </c>
      <c r="B2697" t="s">
        <v>163</v>
      </c>
      <c r="C2697" t="s">
        <v>5907</v>
      </c>
      <c r="D2697" t="s">
        <v>272</v>
      </c>
      <c r="F2697" t="s">
        <v>759</v>
      </c>
      <c r="G2697" t="s">
        <v>9073</v>
      </c>
      <c r="H2697" t="s">
        <v>9401</v>
      </c>
      <c r="J2697" t="s">
        <v>1644</v>
      </c>
      <c r="K2697">
        <v>11213</v>
      </c>
      <c r="L2697" t="s">
        <v>1670</v>
      </c>
      <c r="M2697" t="s">
        <v>1672</v>
      </c>
      <c r="N2697" t="s">
        <v>1754</v>
      </c>
      <c r="O2697" t="s">
        <v>1675</v>
      </c>
      <c r="P2697" t="s">
        <v>1959</v>
      </c>
      <c r="R2697" t="s">
        <v>50</v>
      </c>
      <c r="S2697" t="s">
        <v>1670</v>
      </c>
      <c r="U2697" t="s">
        <v>1972</v>
      </c>
      <c r="V2697" t="s">
        <v>1984</v>
      </c>
      <c r="W2697" t="s">
        <v>213</v>
      </c>
      <c r="X2697">
        <v>881.67</v>
      </c>
      <c r="Y2697" t="s">
        <v>2009</v>
      </c>
      <c r="Z2697" t="s">
        <v>2015</v>
      </c>
      <c r="AB2697" t="s">
        <v>14925</v>
      </c>
      <c r="AC2697" t="s">
        <v>1754</v>
      </c>
      <c r="AD2697" t="s">
        <v>17329</v>
      </c>
      <c r="AE2697" t="s">
        <v>13051</v>
      </c>
      <c r="AF2697" t="s">
        <v>2902</v>
      </c>
      <c r="AG2697" t="s">
        <v>1754</v>
      </c>
      <c r="AH2697">
        <v>17</v>
      </c>
      <c r="AI2697">
        <v>2</v>
      </c>
      <c r="AJ2697">
        <v>0</v>
      </c>
      <c r="AK2697">
        <v>174.45</v>
      </c>
      <c r="AN2697" t="s">
        <v>2926</v>
      </c>
      <c r="AO2697">
        <v>29500</v>
      </c>
      <c r="AU2697" t="s">
        <v>13051</v>
      </c>
      <c r="AW2697" t="s">
        <v>3060</v>
      </c>
      <c r="AX2697" t="s">
        <v>18685</v>
      </c>
    </row>
    <row r="2698" spans="1:50">
      <c r="A2698" s="1" t="s">
        <v>58</v>
      </c>
      <c r="B2698" t="s">
        <v>164</v>
      </c>
      <c r="C2698" t="s">
        <v>5908</v>
      </c>
      <c r="D2698" t="s">
        <v>315</v>
      </c>
      <c r="E2698" t="s">
        <v>345</v>
      </c>
      <c r="F2698" t="s">
        <v>438</v>
      </c>
      <c r="G2698" t="s">
        <v>835</v>
      </c>
      <c r="H2698" t="s">
        <v>10630</v>
      </c>
      <c r="I2698">
        <v>8</v>
      </c>
      <c r="J2698" t="s">
        <v>1641</v>
      </c>
      <c r="K2698">
        <v>10467</v>
      </c>
      <c r="L2698" t="s">
        <v>1670</v>
      </c>
      <c r="M2698" t="s">
        <v>1670</v>
      </c>
      <c r="O2698" t="s">
        <v>1941</v>
      </c>
      <c r="P2698" t="s">
        <v>1958</v>
      </c>
      <c r="Q2698" t="s">
        <v>1965</v>
      </c>
      <c r="R2698" t="s">
        <v>50</v>
      </c>
      <c r="S2698" t="s">
        <v>1671</v>
      </c>
      <c r="U2698" t="s">
        <v>1972</v>
      </c>
      <c r="W2698" t="s">
        <v>345</v>
      </c>
      <c r="X2698">
        <v>541</v>
      </c>
      <c r="Y2698" t="s">
        <v>2006</v>
      </c>
      <c r="Z2698" t="s">
        <v>2015</v>
      </c>
      <c r="AA2698" t="s">
        <v>2029</v>
      </c>
      <c r="AB2698" t="s">
        <v>14926</v>
      </c>
      <c r="AD2698" t="s">
        <v>17330</v>
      </c>
      <c r="AE2698" t="s">
        <v>13051</v>
      </c>
      <c r="AF2698" t="s">
        <v>2913</v>
      </c>
      <c r="AG2698" t="s">
        <v>1754</v>
      </c>
      <c r="AH2698">
        <v>8</v>
      </c>
      <c r="AI2698">
        <v>1</v>
      </c>
      <c r="AJ2698">
        <v>0</v>
      </c>
      <c r="AK2698">
        <v>175.06</v>
      </c>
      <c r="AN2698" t="s">
        <v>2926</v>
      </c>
      <c r="AO2698">
        <v>21252</v>
      </c>
      <c r="AU2698">
        <v>1</v>
      </c>
      <c r="AV2698" t="s">
        <v>315</v>
      </c>
      <c r="AW2698" t="s">
        <v>3046</v>
      </c>
    </row>
    <row r="2699" spans="1:50">
      <c r="A2699" s="1" t="s">
        <v>64</v>
      </c>
      <c r="B2699" t="s">
        <v>163</v>
      </c>
      <c r="C2699" t="s">
        <v>5909</v>
      </c>
      <c r="D2699" t="s">
        <v>169</v>
      </c>
      <c r="F2699" t="s">
        <v>7803</v>
      </c>
      <c r="G2699" t="s">
        <v>813</v>
      </c>
      <c r="H2699" t="s">
        <v>1243</v>
      </c>
      <c r="I2699" t="s">
        <v>11436</v>
      </c>
      <c r="J2699" t="s">
        <v>1643</v>
      </c>
      <c r="K2699">
        <v>10033</v>
      </c>
      <c r="L2699" t="s">
        <v>1670</v>
      </c>
      <c r="M2699" t="s">
        <v>1670</v>
      </c>
      <c r="O2699" t="s">
        <v>1939</v>
      </c>
      <c r="P2699" t="s">
        <v>1962</v>
      </c>
      <c r="R2699" t="s">
        <v>50</v>
      </c>
      <c r="S2699" t="s">
        <v>1670</v>
      </c>
      <c r="U2699" t="s">
        <v>1972</v>
      </c>
      <c r="W2699" t="s">
        <v>169</v>
      </c>
      <c r="X2699">
        <v>1495</v>
      </c>
      <c r="Y2699" t="s">
        <v>2008</v>
      </c>
      <c r="Z2699" t="s">
        <v>2016</v>
      </c>
      <c r="AB2699" t="s">
        <v>14927</v>
      </c>
      <c r="AD2699" t="s">
        <v>17331</v>
      </c>
      <c r="AE2699">
        <v>232</v>
      </c>
      <c r="AF2699" t="s">
        <v>2902</v>
      </c>
      <c r="AG2699" t="s">
        <v>1754</v>
      </c>
      <c r="AH2699">
        <v>15</v>
      </c>
      <c r="AI2699">
        <v>3</v>
      </c>
      <c r="AJ2699">
        <v>0</v>
      </c>
      <c r="AK2699">
        <v>175.17</v>
      </c>
      <c r="AN2699" t="s">
        <v>2927</v>
      </c>
      <c r="AO2699">
        <v>36400</v>
      </c>
      <c r="AU2699">
        <v>1</v>
      </c>
      <c r="AV2699" t="s">
        <v>1994</v>
      </c>
      <c r="AW2699" t="s">
        <v>3042</v>
      </c>
    </row>
    <row r="2700" spans="1:50">
      <c r="A2700" s="1" t="s">
        <v>53</v>
      </c>
      <c r="B2700" t="s">
        <v>164</v>
      </c>
      <c r="C2700" t="s">
        <v>5910</v>
      </c>
      <c r="D2700" t="s">
        <v>175</v>
      </c>
      <c r="E2700" t="s">
        <v>323</v>
      </c>
      <c r="F2700" t="s">
        <v>7804</v>
      </c>
      <c r="G2700" t="s">
        <v>9074</v>
      </c>
      <c r="H2700" t="s">
        <v>10631</v>
      </c>
      <c r="I2700" t="s">
        <v>1542</v>
      </c>
      <c r="J2700" t="s">
        <v>1647</v>
      </c>
      <c r="K2700">
        <v>11436</v>
      </c>
      <c r="L2700" t="s">
        <v>1670</v>
      </c>
      <c r="M2700" t="s">
        <v>1670</v>
      </c>
      <c r="N2700" t="s">
        <v>12663</v>
      </c>
      <c r="O2700" t="s">
        <v>1940</v>
      </c>
      <c r="P2700" t="s">
        <v>1958</v>
      </c>
      <c r="Q2700" t="s">
        <v>1965</v>
      </c>
      <c r="R2700" t="s">
        <v>50</v>
      </c>
      <c r="S2700" t="s">
        <v>1671</v>
      </c>
      <c r="U2700" t="s">
        <v>1972</v>
      </c>
      <c r="V2700" t="s">
        <v>1984</v>
      </c>
      <c r="W2700" t="s">
        <v>175</v>
      </c>
      <c r="X2700">
        <v>1600</v>
      </c>
      <c r="Y2700" t="s">
        <v>2007</v>
      </c>
      <c r="Z2700" t="s">
        <v>2014</v>
      </c>
      <c r="AA2700" t="s">
        <v>2029</v>
      </c>
      <c r="AB2700" t="s">
        <v>14928</v>
      </c>
      <c r="AC2700" t="s">
        <v>1754</v>
      </c>
      <c r="AD2700" t="s">
        <v>17332</v>
      </c>
      <c r="AE2700">
        <v>2</v>
      </c>
      <c r="AF2700" t="s">
        <v>2903</v>
      </c>
      <c r="AG2700" t="s">
        <v>1754</v>
      </c>
      <c r="AH2700">
        <v>5</v>
      </c>
      <c r="AI2700">
        <v>4</v>
      </c>
      <c r="AJ2700">
        <v>0</v>
      </c>
      <c r="AK2700">
        <v>175.3</v>
      </c>
      <c r="AN2700" t="s">
        <v>2926</v>
      </c>
      <c r="AO2700">
        <v>44000</v>
      </c>
      <c r="AU2700">
        <v>1.2</v>
      </c>
      <c r="AV2700" t="s">
        <v>323</v>
      </c>
      <c r="AW2700" t="s">
        <v>85</v>
      </c>
    </row>
    <row r="2701" spans="1:50">
      <c r="A2701" s="1" t="s">
        <v>74</v>
      </c>
      <c r="B2701" t="s">
        <v>163</v>
      </c>
      <c r="C2701" t="s">
        <v>5911</v>
      </c>
      <c r="D2701" t="s">
        <v>191</v>
      </c>
      <c r="F2701" t="s">
        <v>520</v>
      </c>
      <c r="G2701" t="s">
        <v>2929</v>
      </c>
      <c r="H2701" t="s">
        <v>1131</v>
      </c>
      <c r="I2701" t="s">
        <v>1488</v>
      </c>
      <c r="J2701" t="s">
        <v>1641</v>
      </c>
      <c r="K2701">
        <v>10460</v>
      </c>
      <c r="L2701" t="s">
        <v>1670</v>
      </c>
      <c r="M2701" t="s">
        <v>1672</v>
      </c>
      <c r="N2701" t="s">
        <v>1691</v>
      </c>
      <c r="O2701" t="s">
        <v>1675</v>
      </c>
      <c r="P2701" t="s">
        <v>1959</v>
      </c>
      <c r="R2701" t="s">
        <v>50</v>
      </c>
      <c r="S2701" t="s">
        <v>1670</v>
      </c>
      <c r="U2701" t="s">
        <v>1972</v>
      </c>
      <c r="W2701" t="s">
        <v>13050</v>
      </c>
      <c r="X2701">
        <v>1100</v>
      </c>
      <c r="Y2701" t="s">
        <v>2006</v>
      </c>
      <c r="Z2701" t="s">
        <v>2015</v>
      </c>
      <c r="AB2701" t="s">
        <v>14929</v>
      </c>
      <c r="AD2701" t="s">
        <v>17333</v>
      </c>
      <c r="AE2701">
        <v>168</v>
      </c>
      <c r="AF2701" t="s">
        <v>2902</v>
      </c>
      <c r="AG2701" t="s">
        <v>2915</v>
      </c>
      <c r="AH2701">
        <v>3</v>
      </c>
      <c r="AI2701">
        <v>2</v>
      </c>
      <c r="AJ2701">
        <v>0</v>
      </c>
      <c r="AK2701">
        <v>175.35</v>
      </c>
      <c r="AN2701" t="s">
        <v>2926</v>
      </c>
      <c r="AO2701">
        <v>29652</v>
      </c>
      <c r="AU2701" t="s">
        <v>13051</v>
      </c>
      <c r="AW2701" t="s">
        <v>3047</v>
      </c>
      <c r="AX2701" t="s">
        <v>18685</v>
      </c>
    </row>
    <row r="2702" spans="1:50">
      <c r="A2702" s="1" t="s">
        <v>66</v>
      </c>
      <c r="B2702" t="s">
        <v>164</v>
      </c>
      <c r="C2702" t="s">
        <v>5912</v>
      </c>
      <c r="D2702" t="s">
        <v>365</v>
      </c>
      <c r="E2702" t="s">
        <v>369</v>
      </c>
      <c r="F2702" t="s">
        <v>7111</v>
      </c>
      <c r="G2702" t="s">
        <v>9075</v>
      </c>
      <c r="H2702" t="s">
        <v>10632</v>
      </c>
      <c r="I2702" t="s">
        <v>1554</v>
      </c>
      <c r="J2702" t="s">
        <v>1644</v>
      </c>
      <c r="K2702">
        <v>11233</v>
      </c>
      <c r="L2702" t="s">
        <v>1670</v>
      </c>
      <c r="M2702" t="s">
        <v>1671</v>
      </c>
      <c r="N2702" t="s">
        <v>12664</v>
      </c>
      <c r="O2702" t="s">
        <v>1936</v>
      </c>
      <c r="P2702" t="s">
        <v>1958</v>
      </c>
      <c r="Q2702" t="s">
        <v>1968</v>
      </c>
      <c r="R2702" t="s">
        <v>50</v>
      </c>
      <c r="S2702" t="s">
        <v>1671</v>
      </c>
      <c r="U2702" t="s">
        <v>1972</v>
      </c>
      <c r="V2702" t="s">
        <v>1984</v>
      </c>
      <c r="W2702" t="s">
        <v>213</v>
      </c>
      <c r="X2702">
        <v>2925</v>
      </c>
      <c r="Y2702" t="s">
        <v>2009</v>
      </c>
      <c r="Z2702" t="s">
        <v>2014</v>
      </c>
      <c r="AA2702" t="s">
        <v>2029</v>
      </c>
      <c r="AB2702" t="s">
        <v>14930</v>
      </c>
      <c r="AC2702" t="s">
        <v>1754</v>
      </c>
      <c r="AD2702" t="s">
        <v>17334</v>
      </c>
      <c r="AE2702">
        <v>118</v>
      </c>
      <c r="AF2702" t="s">
        <v>2902</v>
      </c>
      <c r="AG2702" t="s">
        <v>1754</v>
      </c>
      <c r="AH2702">
        <v>1</v>
      </c>
      <c r="AI2702">
        <v>1</v>
      </c>
      <c r="AJ2702">
        <v>0</v>
      </c>
      <c r="AK2702">
        <v>175.63</v>
      </c>
      <c r="AN2702" t="s">
        <v>2926</v>
      </c>
      <c r="AO2702">
        <v>21936</v>
      </c>
      <c r="AU2702">
        <v>2.1</v>
      </c>
      <c r="AV2702" t="s">
        <v>226</v>
      </c>
      <c r="AW2702" t="s">
        <v>3060</v>
      </c>
      <c r="AX2702" t="s">
        <v>18685</v>
      </c>
    </row>
    <row r="2703" spans="1:50">
      <c r="A2703" s="1" t="s">
        <v>95</v>
      </c>
      <c r="B2703" t="s">
        <v>163</v>
      </c>
      <c r="C2703" t="s">
        <v>5913</v>
      </c>
      <c r="D2703" t="s">
        <v>357</v>
      </c>
      <c r="F2703" t="s">
        <v>7805</v>
      </c>
      <c r="G2703" t="s">
        <v>9076</v>
      </c>
      <c r="H2703" t="s">
        <v>10633</v>
      </c>
      <c r="I2703" t="s">
        <v>1517</v>
      </c>
      <c r="J2703" t="s">
        <v>1641</v>
      </c>
      <c r="K2703">
        <v>10457</v>
      </c>
      <c r="L2703" t="s">
        <v>1670</v>
      </c>
      <c r="M2703" t="s">
        <v>1672</v>
      </c>
      <c r="O2703" t="s">
        <v>1675</v>
      </c>
      <c r="P2703" t="s">
        <v>1958</v>
      </c>
      <c r="R2703" t="s">
        <v>50</v>
      </c>
      <c r="S2703" t="s">
        <v>1671</v>
      </c>
      <c r="U2703" t="s">
        <v>1972</v>
      </c>
      <c r="W2703" t="s">
        <v>1991</v>
      </c>
      <c r="X2703">
        <v>1360</v>
      </c>
      <c r="Y2703" t="s">
        <v>2006</v>
      </c>
      <c r="Z2703" t="s">
        <v>2015</v>
      </c>
      <c r="AB2703" t="s">
        <v>14931</v>
      </c>
      <c r="AD2703" t="s">
        <v>17335</v>
      </c>
      <c r="AE2703">
        <v>70</v>
      </c>
      <c r="AF2703" t="s">
        <v>2902</v>
      </c>
      <c r="AG2703" t="s">
        <v>1754</v>
      </c>
      <c r="AH2703">
        <v>22</v>
      </c>
      <c r="AI2703">
        <v>1</v>
      </c>
      <c r="AJ2703">
        <v>0</v>
      </c>
      <c r="AK2703">
        <v>175.63</v>
      </c>
      <c r="AN2703" t="s">
        <v>2927</v>
      </c>
      <c r="AO2703">
        <v>21936</v>
      </c>
      <c r="AU2703">
        <v>1.5</v>
      </c>
      <c r="AV2703" t="s">
        <v>249</v>
      </c>
      <c r="AW2703" t="s">
        <v>3068</v>
      </c>
      <c r="AX2703" t="s">
        <v>18685</v>
      </c>
    </row>
    <row r="2704" spans="1:50">
      <c r="A2704" s="1" t="s">
        <v>97</v>
      </c>
      <c r="B2704" t="s">
        <v>164</v>
      </c>
      <c r="C2704" t="s">
        <v>5914</v>
      </c>
      <c r="D2704" t="s">
        <v>175</v>
      </c>
      <c r="E2704" t="s">
        <v>6762</v>
      </c>
      <c r="F2704" t="s">
        <v>7357</v>
      </c>
      <c r="G2704" t="s">
        <v>9077</v>
      </c>
      <c r="H2704" t="s">
        <v>10634</v>
      </c>
      <c r="I2704">
        <v>46</v>
      </c>
      <c r="J2704" t="s">
        <v>1643</v>
      </c>
      <c r="K2704">
        <v>10040</v>
      </c>
      <c r="L2704" t="s">
        <v>1670</v>
      </c>
      <c r="M2704" t="s">
        <v>1670</v>
      </c>
      <c r="O2704" t="s">
        <v>1937</v>
      </c>
      <c r="P2704" t="s">
        <v>1959</v>
      </c>
      <c r="Q2704" t="s">
        <v>1967</v>
      </c>
      <c r="R2704" t="s">
        <v>50</v>
      </c>
      <c r="S2704" t="s">
        <v>1671</v>
      </c>
      <c r="U2704" t="s">
        <v>1972</v>
      </c>
      <c r="W2704" t="s">
        <v>175</v>
      </c>
      <c r="X2704">
        <v>824.09</v>
      </c>
      <c r="Y2704" t="s">
        <v>2008</v>
      </c>
      <c r="Z2704" t="s">
        <v>2020</v>
      </c>
      <c r="AA2704" t="s">
        <v>2034</v>
      </c>
      <c r="AB2704" t="s">
        <v>14932</v>
      </c>
      <c r="AD2704" t="s">
        <v>17336</v>
      </c>
      <c r="AE2704">
        <v>80</v>
      </c>
      <c r="AF2704" t="s">
        <v>2902</v>
      </c>
      <c r="AG2704" t="s">
        <v>1754</v>
      </c>
      <c r="AH2704">
        <v>37</v>
      </c>
      <c r="AI2704">
        <v>2</v>
      </c>
      <c r="AJ2704">
        <v>0</v>
      </c>
      <c r="AK2704">
        <v>175.65</v>
      </c>
      <c r="AN2704" t="s">
        <v>2927</v>
      </c>
      <c r="AO2704">
        <v>28911.6</v>
      </c>
      <c r="AU2704">
        <v>0.6</v>
      </c>
      <c r="AV2704" t="s">
        <v>6762</v>
      </c>
      <c r="AW2704" t="s">
        <v>3042</v>
      </c>
      <c r="AX2704" t="s">
        <v>18685</v>
      </c>
    </row>
    <row r="2705" spans="1:50">
      <c r="A2705" s="1" t="s">
        <v>97</v>
      </c>
      <c r="B2705" t="s">
        <v>163</v>
      </c>
      <c r="C2705" t="s">
        <v>5915</v>
      </c>
      <c r="D2705" t="s">
        <v>175</v>
      </c>
      <c r="F2705" t="s">
        <v>7357</v>
      </c>
      <c r="G2705" t="s">
        <v>9077</v>
      </c>
      <c r="H2705" t="s">
        <v>10634</v>
      </c>
      <c r="I2705">
        <v>46</v>
      </c>
      <c r="J2705" t="s">
        <v>1643</v>
      </c>
      <c r="K2705">
        <v>10040</v>
      </c>
      <c r="L2705" t="s">
        <v>1670</v>
      </c>
      <c r="M2705" t="s">
        <v>1670</v>
      </c>
      <c r="O2705" t="s">
        <v>1941</v>
      </c>
      <c r="P2705" t="s">
        <v>1959</v>
      </c>
      <c r="R2705" t="s">
        <v>50</v>
      </c>
      <c r="S2705" t="s">
        <v>1671</v>
      </c>
      <c r="U2705" t="s">
        <v>1972</v>
      </c>
      <c r="W2705" t="s">
        <v>175</v>
      </c>
      <c r="X2705">
        <v>824.09</v>
      </c>
      <c r="Y2705" t="s">
        <v>2008</v>
      </c>
      <c r="Z2705" t="s">
        <v>2020</v>
      </c>
      <c r="AB2705" t="s">
        <v>14932</v>
      </c>
      <c r="AD2705" t="s">
        <v>17336</v>
      </c>
      <c r="AE2705">
        <v>80</v>
      </c>
      <c r="AF2705" t="s">
        <v>2902</v>
      </c>
      <c r="AG2705" t="s">
        <v>1754</v>
      </c>
      <c r="AH2705">
        <v>37</v>
      </c>
      <c r="AI2705">
        <v>2</v>
      </c>
      <c r="AJ2705">
        <v>0</v>
      </c>
      <c r="AK2705">
        <v>175.65</v>
      </c>
      <c r="AN2705" t="s">
        <v>2927</v>
      </c>
      <c r="AO2705">
        <v>28911.6</v>
      </c>
      <c r="AU2705">
        <v>5.7</v>
      </c>
      <c r="AV2705" t="s">
        <v>192</v>
      </c>
      <c r="AW2705" t="s">
        <v>3042</v>
      </c>
      <c r="AX2705" t="s">
        <v>18685</v>
      </c>
    </row>
    <row r="2706" spans="1:50">
      <c r="A2706" s="1" t="s">
        <v>55</v>
      </c>
      <c r="B2706" t="s">
        <v>164</v>
      </c>
      <c r="C2706" t="s">
        <v>5916</v>
      </c>
      <c r="D2706" t="s">
        <v>321</v>
      </c>
      <c r="E2706" t="s">
        <v>343</v>
      </c>
      <c r="F2706" t="s">
        <v>7519</v>
      </c>
      <c r="G2706" t="s">
        <v>9078</v>
      </c>
      <c r="H2706" t="s">
        <v>10635</v>
      </c>
      <c r="I2706">
        <v>7</v>
      </c>
      <c r="J2706" t="s">
        <v>1644</v>
      </c>
      <c r="K2706">
        <v>11219</v>
      </c>
      <c r="L2706" t="s">
        <v>1670</v>
      </c>
      <c r="M2706" t="s">
        <v>1672</v>
      </c>
      <c r="O2706" t="s">
        <v>1945</v>
      </c>
      <c r="P2706" t="s">
        <v>1962</v>
      </c>
      <c r="Q2706" t="s">
        <v>1968</v>
      </c>
      <c r="R2706" t="s">
        <v>50</v>
      </c>
      <c r="S2706" t="s">
        <v>1671</v>
      </c>
      <c r="U2706" t="s">
        <v>1972</v>
      </c>
      <c r="W2706" t="s">
        <v>321</v>
      </c>
      <c r="X2706">
        <v>857.3</v>
      </c>
      <c r="Y2706" t="s">
        <v>2009</v>
      </c>
      <c r="Z2706" t="s">
        <v>2016</v>
      </c>
      <c r="AA2706" t="s">
        <v>2029</v>
      </c>
      <c r="AB2706" t="s">
        <v>14933</v>
      </c>
      <c r="AD2706" t="s">
        <v>17337</v>
      </c>
      <c r="AE2706">
        <v>14</v>
      </c>
      <c r="AF2706" t="s">
        <v>2902</v>
      </c>
      <c r="AH2706" t="s">
        <v>13051</v>
      </c>
      <c r="AI2706">
        <v>2</v>
      </c>
      <c r="AJ2706">
        <v>0</v>
      </c>
      <c r="AK2706">
        <v>175.99</v>
      </c>
      <c r="AN2706" t="s">
        <v>2927</v>
      </c>
      <c r="AO2706">
        <v>28968</v>
      </c>
      <c r="AU2706">
        <v>1.75</v>
      </c>
      <c r="AV2706" t="s">
        <v>343</v>
      </c>
      <c r="AW2706" t="s">
        <v>55</v>
      </c>
    </row>
    <row r="2707" spans="1:50">
      <c r="A2707" s="1" t="s">
        <v>120</v>
      </c>
      <c r="B2707" t="s">
        <v>163</v>
      </c>
      <c r="C2707" t="s">
        <v>5917</v>
      </c>
      <c r="D2707" t="s">
        <v>195</v>
      </c>
      <c r="F2707" t="s">
        <v>7806</v>
      </c>
      <c r="G2707" t="s">
        <v>9079</v>
      </c>
      <c r="H2707" t="s">
        <v>9538</v>
      </c>
      <c r="I2707" t="s">
        <v>11437</v>
      </c>
      <c r="J2707" t="s">
        <v>1644</v>
      </c>
      <c r="K2707">
        <v>11208</v>
      </c>
      <c r="L2707" t="s">
        <v>1670</v>
      </c>
      <c r="M2707" t="s">
        <v>1671</v>
      </c>
      <c r="O2707" t="s">
        <v>1944</v>
      </c>
      <c r="P2707" t="s">
        <v>1959</v>
      </c>
      <c r="R2707" t="s">
        <v>50</v>
      </c>
      <c r="S2707" t="s">
        <v>1671</v>
      </c>
      <c r="U2707" t="s">
        <v>1972</v>
      </c>
      <c r="V2707" t="s">
        <v>1984</v>
      </c>
      <c r="W2707" t="s">
        <v>258</v>
      </c>
      <c r="X2707">
        <v>859</v>
      </c>
      <c r="Y2707" t="s">
        <v>2009</v>
      </c>
      <c r="Z2707" t="s">
        <v>2019</v>
      </c>
      <c r="AB2707" t="s">
        <v>2334</v>
      </c>
      <c r="AC2707" t="s">
        <v>1691</v>
      </c>
      <c r="AD2707" t="s">
        <v>17338</v>
      </c>
      <c r="AE2707">
        <v>1276</v>
      </c>
      <c r="AF2707" t="s">
        <v>2902</v>
      </c>
      <c r="AG2707" t="s">
        <v>2915</v>
      </c>
      <c r="AH2707">
        <v>2</v>
      </c>
      <c r="AI2707">
        <v>1</v>
      </c>
      <c r="AJ2707">
        <v>0</v>
      </c>
      <c r="AK2707">
        <v>176.11</v>
      </c>
      <c r="AN2707" t="s">
        <v>2926</v>
      </c>
      <c r="AO2707">
        <v>21996</v>
      </c>
      <c r="AU2707">
        <v>2.25</v>
      </c>
      <c r="AV2707" t="s">
        <v>179</v>
      </c>
      <c r="AW2707" t="s">
        <v>3060</v>
      </c>
      <c r="AX2707" t="s">
        <v>18685</v>
      </c>
    </row>
    <row r="2708" spans="1:50">
      <c r="A2708" s="1" t="s">
        <v>107</v>
      </c>
      <c r="B2708" t="s">
        <v>163</v>
      </c>
      <c r="C2708" t="s">
        <v>5918</v>
      </c>
      <c r="D2708" t="s">
        <v>303</v>
      </c>
      <c r="F2708" t="s">
        <v>7806</v>
      </c>
      <c r="G2708" t="s">
        <v>9079</v>
      </c>
      <c r="H2708" t="s">
        <v>9538</v>
      </c>
      <c r="I2708" t="s">
        <v>11437</v>
      </c>
      <c r="J2708" t="s">
        <v>1644</v>
      </c>
      <c r="K2708">
        <v>11208</v>
      </c>
      <c r="L2708" t="s">
        <v>1670</v>
      </c>
      <c r="M2708" t="s">
        <v>1671</v>
      </c>
      <c r="N2708" t="s">
        <v>12665</v>
      </c>
      <c r="O2708" t="s">
        <v>1936</v>
      </c>
      <c r="P2708" t="s">
        <v>1960</v>
      </c>
      <c r="R2708" t="s">
        <v>50</v>
      </c>
      <c r="S2708" t="s">
        <v>1671</v>
      </c>
      <c r="U2708" t="s">
        <v>1972</v>
      </c>
      <c r="V2708" t="s">
        <v>1984</v>
      </c>
      <c r="W2708" t="s">
        <v>249</v>
      </c>
      <c r="X2708">
        <v>859</v>
      </c>
      <c r="Y2708" t="s">
        <v>2009</v>
      </c>
      <c r="Z2708" t="s">
        <v>2019</v>
      </c>
      <c r="AB2708" t="s">
        <v>2334</v>
      </c>
      <c r="AD2708" t="s">
        <v>17338</v>
      </c>
      <c r="AE2708">
        <v>1276</v>
      </c>
      <c r="AF2708" t="s">
        <v>2902</v>
      </c>
      <c r="AG2708" t="s">
        <v>2915</v>
      </c>
      <c r="AH2708">
        <v>2</v>
      </c>
      <c r="AI2708">
        <v>1</v>
      </c>
      <c r="AJ2708">
        <v>0</v>
      </c>
      <c r="AK2708">
        <v>176.11</v>
      </c>
      <c r="AN2708" t="s">
        <v>2926</v>
      </c>
      <c r="AO2708">
        <v>21996</v>
      </c>
      <c r="AU2708">
        <v>5.65</v>
      </c>
      <c r="AV2708" t="s">
        <v>272</v>
      </c>
      <c r="AW2708" t="s">
        <v>3059</v>
      </c>
      <c r="AX2708" t="s">
        <v>18685</v>
      </c>
    </row>
    <row r="2709" spans="1:50">
      <c r="A2709" s="1" t="s">
        <v>63</v>
      </c>
      <c r="B2709" t="s">
        <v>164</v>
      </c>
      <c r="C2709" t="s">
        <v>5919</v>
      </c>
      <c r="D2709" t="s">
        <v>260</v>
      </c>
      <c r="E2709" t="s">
        <v>6769</v>
      </c>
      <c r="F2709" t="s">
        <v>6845</v>
      </c>
      <c r="G2709" t="s">
        <v>965</v>
      </c>
      <c r="H2709" t="s">
        <v>10636</v>
      </c>
      <c r="I2709" t="s">
        <v>11321</v>
      </c>
      <c r="J2709" t="s">
        <v>1641</v>
      </c>
      <c r="K2709">
        <v>10452</v>
      </c>
      <c r="L2709" t="s">
        <v>1670</v>
      </c>
      <c r="M2709" t="s">
        <v>1670</v>
      </c>
      <c r="O2709" t="s">
        <v>1941</v>
      </c>
      <c r="P2709" t="s">
        <v>1958</v>
      </c>
      <c r="Q2709" t="s">
        <v>1965</v>
      </c>
      <c r="R2709" t="s">
        <v>50</v>
      </c>
      <c r="S2709" t="s">
        <v>1671</v>
      </c>
      <c r="U2709" t="s">
        <v>1972</v>
      </c>
      <c r="W2709" t="s">
        <v>342</v>
      </c>
      <c r="X2709">
        <v>1050</v>
      </c>
      <c r="Y2709" t="s">
        <v>2006</v>
      </c>
      <c r="Z2709" t="s">
        <v>2015</v>
      </c>
      <c r="AA2709" t="s">
        <v>2029</v>
      </c>
      <c r="AB2709" t="s">
        <v>14802</v>
      </c>
      <c r="AD2709" t="s">
        <v>17339</v>
      </c>
      <c r="AE2709">
        <v>49</v>
      </c>
      <c r="AF2709" t="s">
        <v>2902</v>
      </c>
      <c r="AG2709" t="s">
        <v>2919</v>
      </c>
      <c r="AH2709">
        <v>44</v>
      </c>
      <c r="AI2709">
        <v>2</v>
      </c>
      <c r="AJ2709">
        <v>0</v>
      </c>
      <c r="AK2709">
        <v>176.18</v>
      </c>
      <c r="AN2709" t="s">
        <v>2926</v>
      </c>
      <c r="AO2709">
        <v>29000</v>
      </c>
      <c r="AU2709">
        <v>0.5</v>
      </c>
      <c r="AV2709" t="s">
        <v>260</v>
      </c>
      <c r="AW2709" t="s">
        <v>3046</v>
      </c>
    </row>
    <row r="2710" spans="1:50">
      <c r="A2710" s="1" t="s">
        <v>54</v>
      </c>
      <c r="B2710" t="s">
        <v>164</v>
      </c>
      <c r="C2710" t="s">
        <v>5920</v>
      </c>
      <c r="D2710" t="s">
        <v>305</v>
      </c>
      <c r="E2710" t="s">
        <v>245</v>
      </c>
      <c r="F2710" t="s">
        <v>7807</v>
      </c>
      <c r="G2710" t="s">
        <v>9080</v>
      </c>
      <c r="H2710" t="s">
        <v>9889</v>
      </c>
      <c r="I2710" t="s">
        <v>10995</v>
      </c>
      <c r="J2710" t="s">
        <v>1643</v>
      </c>
      <c r="K2710">
        <v>10033</v>
      </c>
      <c r="L2710" t="s">
        <v>1670</v>
      </c>
      <c r="M2710" t="s">
        <v>1670</v>
      </c>
      <c r="O2710" t="s">
        <v>1938</v>
      </c>
      <c r="P2710" t="s">
        <v>1962</v>
      </c>
      <c r="Q2710" t="s">
        <v>1968</v>
      </c>
      <c r="R2710" t="s">
        <v>50</v>
      </c>
      <c r="S2710" t="s">
        <v>1671</v>
      </c>
      <c r="U2710" t="s">
        <v>1972</v>
      </c>
      <c r="W2710" t="s">
        <v>305</v>
      </c>
      <c r="X2710">
        <v>857.13</v>
      </c>
      <c r="Y2710" t="s">
        <v>2008</v>
      </c>
      <c r="Z2710" t="s">
        <v>2013</v>
      </c>
      <c r="AA2710" t="s">
        <v>2030</v>
      </c>
      <c r="AB2710" t="s">
        <v>14934</v>
      </c>
      <c r="AD2710" t="s">
        <v>17340</v>
      </c>
      <c r="AE2710">
        <v>78</v>
      </c>
      <c r="AF2710" t="s">
        <v>2902</v>
      </c>
      <c r="AG2710" t="s">
        <v>1754</v>
      </c>
      <c r="AH2710">
        <v>39</v>
      </c>
      <c r="AI2710">
        <v>2</v>
      </c>
      <c r="AJ2710">
        <v>0</v>
      </c>
      <c r="AK2710">
        <v>176.18</v>
      </c>
      <c r="AN2710" t="s">
        <v>2926</v>
      </c>
      <c r="AO2710">
        <v>29000</v>
      </c>
      <c r="AU2710">
        <v>2</v>
      </c>
      <c r="AV2710" t="s">
        <v>245</v>
      </c>
      <c r="AW2710" t="s">
        <v>3042</v>
      </c>
    </row>
    <row r="2711" spans="1:50">
      <c r="A2711" s="1" t="s">
        <v>88</v>
      </c>
      <c r="B2711" t="s">
        <v>163</v>
      </c>
      <c r="C2711" t="s">
        <v>5921</v>
      </c>
      <c r="D2711" t="s">
        <v>267</v>
      </c>
      <c r="F2711" t="s">
        <v>7808</v>
      </c>
      <c r="G2711" t="s">
        <v>6782</v>
      </c>
      <c r="H2711" t="s">
        <v>10637</v>
      </c>
      <c r="I2711" t="s">
        <v>1538</v>
      </c>
      <c r="J2711" t="s">
        <v>1644</v>
      </c>
      <c r="K2711">
        <v>11208</v>
      </c>
      <c r="L2711" t="s">
        <v>1670</v>
      </c>
      <c r="M2711" t="s">
        <v>1670</v>
      </c>
      <c r="N2711" t="s">
        <v>12666</v>
      </c>
      <c r="O2711" t="s">
        <v>1936</v>
      </c>
      <c r="P2711" t="s">
        <v>1960</v>
      </c>
      <c r="R2711" t="s">
        <v>50</v>
      </c>
      <c r="S2711" t="s">
        <v>1671</v>
      </c>
      <c r="U2711" t="s">
        <v>1972</v>
      </c>
      <c r="V2711" t="s">
        <v>1984</v>
      </c>
      <c r="W2711" t="s">
        <v>266</v>
      </c>
      <c r="X2711">
        <v>913</v>
      </c>
      <c r="Y2711" t="s">
        <v>2009</v>
      </c>
      <c r="Z2711" t="s">
        <v>2013</v>
      </c>
      <c r="AB2711" t="s">
        <v>14935</v>
      </c>
      <c r="AC2711" t="s">
        <v>1691</v>
      </c>
      <c r="AD2711" t="s">
        <v>17341</v>
      </c>
      <c r="AE2711">
        <v>64</v>
      </c>
      <c r="AF2711" t="s">
        <v>2902</v>
      </c>
      <c r="AG2711" t="s">
        <v>1754</v>
      </c>
      <c r="AH2711">
        <v>5</v>
      </c>
      <c r="AI2711">
        <v>1</v>
      </c>
      <c r="AJ2711">
        <v>0</v>
      </c>
      <c r="AK2711">
        <v>176.47</v>
      </c>
      <c r="AN2711" t="s">
        <v>2926</v>
      </c>
      <c r="AO2711">
        <v>21424</v>
      </c>
      <c r="AU2711">
        <v>30.4</v>
      </c>
      <c r="AV2711" t="s">
        <v>399</v>
      </c>
      <c r="AW2711" t="s">
        <v>3060</v>
      </c>
    </row>
    <row r="2712" spans="1:50">
      <c r="A2712" s="1" t="s">
        <v>133</v>
      </c>
      <c r="B2712" t="s">
        <v>163</v>
      </c>
      <c r="C2712" t="s">
        <v>5922</v>
      </c>
      <c r="D2712" t="s">
        <v>272</v>
      </c>
      <c r="F2712" t="s">
        <v>7809</v>
      </c>
      <c r="G2712" t="s">
        <v>9081</v>
      </c>
      <c r="H2712" t="s">
        <v>1380</v>
      </c>
      <c r="J2712" t="s">
        <v>1644</v>
      </c>
      <c r="K2712">
        <v>11213</v>
      </c>
      <c r="L2712" t="s">
        <v>1670</v>
      </c>
      <c r="M2712" t="s">
        <v>1672</v>
      </c>
      <c r="O2712" t="s">
        <v>1675</v>
      </c>
      <c r="P2712" t="s">
        <v>1959</v>
      </c>
      <c r="R2712" t="s">
        <v>50</v>
      </c>
      <c r="S2712" t="s">
        <v>1670</v>
      </c>
      <c r="U2712" t="s">
        <v>1972</v>
      </c>
      <c r="V2712" t="s">
        <v>1984</v>
      </c>
      <c r="W2712" t="s">
        <v>213</v>
      </c>
      <c r="X2712">
        <v>678.92</v>
      </c>
      <c r="Y2712" t="s">
        <v>2009</v>
      </c>
      <c r="Z2712" t="s">
        <v>2015</v>
      </c>
      <c r="AB2712" t="s">
        <v>14936</v>
      </c>
      <c r="AC2712" t="s">
        <v>1754</v>
      </c>
      <c r="AD2712" t="s">
        <v>17342</v>
      </c>
      <c r="AE2712">
        <v>35</v>
      </c>
      <c r="AF2712" t="s">
        <v>2902</v>
      </c>
      <c r="AG2712" t="s">
        <v>1754</v>
      </c>
      <c r="AH2712">
        <v>22</v>
      </c>
      <c r="AI2712">
        <v>1</v>
      </c>
      <c r="AJ2712">
        <v>0</v>
      </c>
      <c r="AK2712">
        <v>176.55</v>
      </c>
      <c r="AN2712" t="s">
        <v>2926</v>
      </c>
      <c r="AO2712">
        <v>22051</v>
      </c>
      <c r="AP2712" t="s">
        <v>18368</v>
      </c>
      <c r="AU2712" t="s">
        <v>13051</v>
      </c>
      <c r="AW2712" t="s">
        <v>3060</v>
      </c>
      <c r="AX2712" t="s">
        <v>18685</v>
      </c>
    </row>
    <row r="2713" spans="1:50">
      <c r="A2713" s="1" t="s">
        <v>82</v>
      </c>
      <c r="B2713" t="s">
        <v>163</v>
      </c>
      <c r="C2713" t="s">
        <v>5923</v>
      </c>
      <c r="D2713" t="s">
        <v>324</v>
      </c>
      <c r="F2713" t="s">
        <v>563</v>
      </c>
      <c r="G2713" t="s">
        <v>7991</v>
      </c>
      <c r="H2713" t="s">
        <v>1144</v>
      </c>
      <c r="I2713" t="s">
        <v>11087</v>
      </c>
      <c r="J2713" t="s">
        <v>1644</v>
      </c>
      <c r="K2713">
        <v>11233</v>
      </c>
      <c r="L2713" t="s">
        <v>1670</v>
      </c>
      <c r="M2713" t="s">
        <v>1671</v>
      </c>
      <c r="N2713" t="s">
        <v>1754</v>
      </c>
      <c r="O2713" t="s">
        <v>1937</v>
      </c>
      <c r="P2713" t="s">
        <v>1962</v>
      </c>
      <c r="R2713" t="s">
        <v>50</v>
      </c>
      <c r="S2713" t="s">
        <v>1670</v>
      </c>
      <c r="U2713" t="s">
        <v>1972</v>
      </c>
      <c r="V2713" t="s">
        <v>1984</v>
      </c>
      <c r="W2713" t="s">
        <v>221</v>
      </c>
      <c r="X2713">
        <v>875</v>
      </c>
      <c r="Y2713" t="s">
        <v>2009</v>
      </c>
      <c r="AB2713" t="s">
        <v>14937</v>
      </c>
      <c r="AC2713" t="s">
        <v>1754</v>
      </c>
      <c r="AE2713">
        <v>359</v>
      </c>
      <c r="AF2713" t="s">
        <v>2902</v>
      </c>
      <c r="AG2713" t="s">
        <v>1754</v>
      </c>
      <c r="AH2713">
        <v>40</v>
      </c>
      <c r="AI2713">
        <v>1</v>
      </c>
      <c r="AJ2713">
        <v>0</v>
      </c>
      <c r="AK2713">
        <v>176.86</v>
      </c>
      <c r="AN2713" t="s">
        <v>2926</v>
      </c>
      <c r="AO2713">
        <v>22090</v>
      </c>
      <c r="AP2713" t="s">
        <v>18369</v>
      </c>
      <c r="AU2713" t="s">
        <v>13051</v>
      </c>
      <c r="AW2713" t="s">
        <v>3060</v>
      </c>
      <c r="AX2713" t="s">
        <v>1754</v>
      </c>
    </row>
    <row r="2714" spans="1:50">
      <c r="A2714" s="1" t="s">
        <v>82</v>
      </c>
      <c r="B2714" t="s">
        <v>163</v>
      </c>
      <c r="C2714" t="s">
        <v>5924</v>
      </c>
      <c r="D2714" t="s">
        <v>210</v>
      </c>
      <c r="F2714" t="s">
        <v>563</v>
      </c>
      <c r="G2714" t="s">
        <v>7991</v>
      </c>
      <c r="H2714" t="s">
        <v>1144</v>
      </c>
      <c r="I2714" t="s">
        <v>11087</v>
      </c>
      <c r="J2714" t="s">
        <v>1644</v>
      </c>
      <c r="K2714">
        <v>11233</v>
      </c>
      <c r="L2714" t="s">
        <v>1670</v>
      </c>
      <c r="M2714" t="s">
        <v>1671</v>
      </c>
      <c r="N2714" t="s">
        <v>1754</v>
      </c>
      <c r="O2714" t="s">
        <v>1938</v>
      </c>
      <c r="P2714" t="s">
        <v>1961</v>
      </c>
      <c r="R2714" t="s">
        <v>50</v>
      </c>
      <c r="S2714" t="s">
        <v>1670</v>
      </c>
      <c r="U2714" t="s">
        <v>1972</v>
      </c>
      <c r="V2714" t="s">
        <v>1984</v>
      </c>
      <c r="W2714" t="s">
        <v>386</v>
      </c>
      <c r="X2714">
        <v>875</v>
      </c>
      <c r="Y2714" t="s">
        <v>2009</v>
      </c>
      <c r="Z2714" t="s">
        <v>2025</v>
      </c>
      <c r="AB2714" t="s">
        <v>14937</v>
      </c>
      <c r="AC2714" t="s">
        <v>1754</v>
      </c>
      <c r="AE2714">
        <v>359</v>
      </c>
      <c r="AF2714" t="s">
        <v>2902</v>
      </c>
      <c r="AG2714" t="s">
        <v>1754</v>
      </c>
      <c r="AH2714">
        <v>40</v>
      </c>
      <c r="AI2714">
        <v>1</v>
      </c>
      <c r="AJ2714">
        <v>0</v>
      </c>
      <c r="AK2714">
        <v>176.86</v>
      </c>
      <c r="AN2714" t="s">
        <v>2926</v>
      </c>
      <c r="AO2714">
        <v>22090</v>
      </c>
      <c r="AP2714" t="s">
        <v>18192</v>
      </c>
      <c r="AU2714" t="s">
        <v>13051</v>
      </c>
      <c r="AW2714" t="s">
        <v>3060</v>
      </c>
      <c r="AX2714" t="s">
        <v>1754</v>
      </c>
    </row>
    <row r="2715" spans="1:50">
      <c r="A2715" s="1" t="s">
        <v>97</v>
      </c>
      <c r="B2715" t="s">
        <v>163</v>
      </c>
      <c r="C2715" t="s">
        <v>5925</v>
      </c>
      <c r="D2715" t="s">
        <v>226</v>
      </c>
      <c r="F2715" t="s">
        <v>7467</v>
      </c>
      <c r="G2715" t="s">
        <v>9082</v>
      </c>
      <c r="H2715" t="s">
        <v>10638</v>
      </c>
      <c r="I2715" t="s">
        <v>1520</v>
      </c>
      <c r="J2715" t="s">
        <v>1643</v>
      </c>
      <c r="K2715">
        <v>10034</v>
      </c>
      <c r="L2715" t="s">
        <v>1670</v>
      </c>
      <c r="M2715" t="s">
        <v>1670</v>
      </c>
      <c r="P2715" t="s">
        <v>1963</v>
      </c>
      <c r="R2715" t="s">
        <v>50</v>
      </c>
      <c r="S2715" t="s">
        <v>1671</v>
      </c>
      <c r="U2715" t="s">
        <v>1972</v>
      </c>
      <c r="W2715" t="s">
        <v>226</v>
      </c>
      <c r="X2715">
        <v>1565</v>
      </c>
      <c r="Y2715" t="s">
        <v>2008</v>
      </c>
      <c r="Z2715" t="s">
        <v>2013</v>
      </c>
      <c r="AB2715" t="s">
        <v>14938</v>
      </c>
      <c r="AD2715" t="s">
        <v>17343</v>
      </c>
      <c r="AE2715">
        <v>48</v>
      </c>
      <c r="AF2715" t="s">
        <v>2902</v>
      </c>
      <c r="AG2715" t="s">
        <v>2919</v>
      </c>
      <c r="AH2715">
        <v>2</v>
      </c>
      <c r="AI2715">
        <v>1</v>
      </c>
      <c r="AJ2715">
        <v>0</v>
      </c>
      <c r="AK2715">
        <v>176.88</v>
      </c>
      <c r="AN2715" t="s">
        <v>2926</v>
      </c>
      <c r="AO2715">
        <v>22092</v>
      </c>
      <c r="AU2715">
        <v>1.2</v>
      </c>
      <c r="AV2715" t="s">
        <v>322</v>
      </c>
      <c r="AW2715" t="s">
        <v>3042</v>
      </c>
      <c r="AX2715" t="s">
        <v>18685</v>
      </c>
    </row>
    <row r="2716" spans="1:50">
      <c r="A2716" s="1" t="s">
        <v>109</v>
      </c>
      <c r="B2716" t="s">
        <v>164</v>
      </c>
      <c r="C2716" t="s">
        <v>5926</v>
      </c>
      <c r="D2716" t="s">
        <v>245</v>
      </c>
      <c r="E2716" t="s">
        <v>243</v>
      </c>
      <c r="F2716" t="s">
        <v>591</v>
      </c>
      <c r="G2716" t="s">
        <v>9083</v>
      </c>
      <c r="H2716" t="s">
        <v>10639</v>
      </c>
      <c r="J2716" t="s">
        <v>1646</v>
      </c>
      <c r="K2716">
        <v>10308</v>
      </c>
      <c r="L2716" t="s">
        <v>1670</v>
      </c>
      <c r="M2716" t="s">
        <v>1670</v>
      </c>
      <c r="N2716" t="s">
        <v>12667</v>
      </c>
      <c r="O2716" t="s">
        <v>1940</v>
      </c>
      <c r="P2716" t="s">
        <v>1960</v>
      </c>
      <c r="Q2716" t="s">
        <v>1969</v>
      </c>
      <c r="R2716" t="s">
        <v>51</v>
      </c>
      <c r="S2716" t="s">
        <v>1671</v>
      </c>
      <c r="U2716" t="s">
        <v>1972</v>
      </c>
      <c r="V2716" t="s">
        <v>1984</v>
      </c>
      <c r="W2716" t="s">
        <v>318</v>
      </c>
      <c r="X2716" t="s">
        <v>13051</v>
      </c>
      <c r="Y2716" t="s">
        <v>2010</v>
      </c>
      <c r="Z2716" t="s">
        <v>2012</v>
      </c>
      <c r="AA2716" t="s">
        <v>2032</v>
      </c>
      <c r="AB2716" t="s">
        <v>14939</v>
      </c>
      <c r="AD2716" t="s">
        <v>17344</v>
      </c>
      <c r="AE2716">
        <v>1</v>
      </c>
      <c r="AF2716" t="s">
        <v>2903</v>
      </c>
      <c r="AG2716" t="s">
        <v>1754</v>
      </c>
      <c r="AH2716">
        <v>7</v>
      </c>
      <c r="AI2716">
        <v>1</v>
      </c>
      <c r="AJ2716">
        <v>0</v>
      </c>
      <c r="AK2716">
        <v>177.13</v>
      </c>
      <c r="AL2716" t="s">
        <v>2923</v>
      </c>
      <c r="AM2716" t="s">
        <v>2924</v>
      </c>
      <c r="AN2716" t="s">
        <v>2926</v>
      </c>
      <c r="AO2716">
        <v>21504</v>
      </c>
      <c r="AQ2716" t="s">
        <v>2979</v>
      </c>
      <c r="AR2716" t="s">
        <v>2982</v>
      </c>
      <c r="AS2716" t="s">
        <v>2992</v>
      </c>
      <c r="AT2716" t="s">
        <v>18606</v>
      </c>
      <c r="AU2716">
        <v>15.8</v>
      </c>
      <c r="AV2716" t="s">
        <v>223</v>
      </c>
      <c r="AW2716" t="s">
        <v>3062</v>
      </c>
    </row>
    <row r="2717" spans="1:50">
      <c r="A2717" s="1" t="s">
        <v>91</v>
      </c>
      <c r="B2717" t="s">
        <v>163</v>
      </c>
      <c r="C2717" t="s">
        <v>5927</v>
      </c>
      <c r="D2717" t="s">
        <v>403</v>
      </c>
      <c r="F2717" t="s">
        <v>7276</v>
      </c>
      <c r="G2717" t="s">
        <v>9084</v>
      </c>
      <c r="H2717" t="s">
        <v>10640</v>
      </c>
      <c r="I2717">
        <v>55</v>
      </c>
      <c r="J2717" t="s">
        <v>1643</v>
      </c>
      <c r="K2717">
        <v>10033</v>
      </c>
      <c r="L2717" t="s">
        <v>1670</v>
      </c>
      <c r="M2717" t="s">
        <v>1672</v>
      </c>
      <c r="P2717" t="s">
        <v>1962</v>
      </c>
      <c r="R2717" t="s">
        <v>50</v>
      </c>
      <c r="S2717" t="s">
        <v>1671</v>
      </c>
      <c r="U2717" t="s">
        <v>1972</v>
      </c>
      <c r="W2717" t="s">
        <v>403</v>
      </c>
      <c r="X2717">
        <v>2275</v>
      </c>
      <c r="Y2717" t="s">
        <v>2008</v>
      </c>
      <c r="Z2717" t="s">
        <v>2013</v>
      </c>
      <c r="AB2717" t="s">
        <v>2425</v>
      </c>
      <c r="AE2717">
        <v>32</v>
      </c>
      <c r="AF2717" t="s">
        <v>2902</v>
      </c>
      <c r="AG2717" t="s">
        <v>1754</v>
      </c>
      <c r="AH2717">
        <v>5</v>
      </c>
      <c r="AI2717">
        <v>2</v>
      </c>
      <c r="AJ2717">
        <v>0</v>
      </c>
      <c r="AK2717">
        <v>177.41</v>
      </c>
      <c r="AN2717" t="s">
        <v>2926</v>
      </c>
      <c r="AO2717">
        <v>30000</v>
      </c>
      <c r="AU2717">
        <v>0.4</v>
      </c>
      <c r="AV2717" t="s">
        <v>354</v>
      </c>
      <c r="AW2717" t="s">
        <v>3042</v>
      </c>
      <c r="AX2717" t="s">
        <v>18685</v>
      </c>
    </row>
    <row r="2718" spans="1:50">
      <c r="A2718" s="1" t="s">
        <v>3172</v>
      </c>
      <c r="B2718" t="s">
        <v>163</v>
      </c>
      <c r="C2718" t="s">
        <v>5928</v>
      </c>
      <c r="D2718" t="s">
        <v>333</v>
      </c>
      <c r="F2718" t="s">
        <v>7459</v>
      </c>
      <c r="G2718" t="s">
        <v>9085</v>
      </c>
      <c r="H2718" t="s">
        <v>9612</v>
      </c>
      <c r="I2718" t="s">
        <v>11261</v>
      </c>
      <c r="J2718" t="s">
        <v>1668</v>
      </c>
      <c r="K2718">
        <v>11354</v>
      </c>
      <c r="L2718" t="s">
        <v>1670</v>
      </c>
      <c r="M2718" t="s">
        <v>1672</v>
      </c>
      <c r="N2718" t="s">
        <v>11976</v>
      </c>
      <c r="O2718" t="s">
        <v>1938</v>
      </c>
      <c r="P2718" t="s">
        <v>1961</v>
      </c>
      <c r="R2718" t="s">
        <v>50</v>
      </c>
      <c r="S2718" t="s">
        <v>1670</v>
      </c>
      <c r="U2718" t="s">
        <v>1972</v>
      </c>
      <c r="V2718" t="s">
        <v>1984</v>
      </c>
      <c r="W2718" t="s">
        <v>333</v>
      </c>
      <c r="X2718">
        <v>1666.84</v>
      </c>
      <c r="Y2718" t="s">
        <v>2007</v>
      </c>
      <c r="Z2718" t="s">
        <v>2026</v>
      </c>
      <c r="AB2718" t="s">
        <v>14940</v>
      </c>
      <c r="AC2718" t="s">
        <v>15077</v>
      </c>
      <c r="AD2718" t="s">
        <v>15077</v>
      </c>
      <c r="AE2718">
        <v>91</v>
      </c>
      <c r="AF2718" t="s">
        <v>2902</v>
      </c>
      <c r="AG2718" t="s">
        <v>1754</v>
      </c>
      <c r="AH2718">
        <v>7</v>
      </c>
      <c r="AI2718">
        <v>2</v>
      </c>
      <c r="AJ2718">
        <v>0</v>
      </c>
      <c r="AK2718">
        <v>177.41</v>
      </c>
      <c r="AN2718" t="s">
        <v>2927</v>
      </c>
      <c r="AO2718">
        <v>30000</v>
      </c>
      <c r="AU2718">
        <v>0.15</v>
      </c>
      <c r="AV2718" t="s">
        <v>333</v>
      </c>
      <c r="AW2718" t="s">
        <v>3172</v>
      </c>
      <c r="AX2718" t="s">
        <v>18685</v>
      </c>
    </row>
    <row r="2719" spans="1:50">
      <c r="A2719" s="1" t="s">
        <v>57</v>
      </c>
      <c r="B2719" t="s">
        <v>163</v>
      </c>
      <c r="C2719" t="s">
        <v>5929</v>
      </c>
      <c r="D2719" t="s">
        <v>330</v>
      </c>
      <c r="F2719" t="s">
        <v>6950</v>
      </c>
      <c r="G2719" t="s">
        <v>772</v>
      </c>
      <c r="H2719" t="s">
        <v>1112</v>
      </c>
      <c r="I2719" t="s">
        <v>11015</v>
      </c>
      <c r="J2719" t="s">
        <v>1641</v>
      </c>
      <c r="K2719">
        <v>10453</v>
      </c>
      <c r="L2719" t="s">
        <v>1670</v>
      </c>
      <c r="M2719" t="s">
        <v>1670</v>
      </c>
      <c r="O2719" t="s">
        <v>1941</v>
      </c>
      <c r="P2719" t="s">
        <v>1962</v>
      </c>
      <c r="R2719" t="s">
        <v>50</v>
      </c>
      <c r="S2719" t="s">
        <v>1670</v>
      </c>
      <c r="U2719" t="s">
        <v>13033</v>
      </c>
      <c r="W2719" t="s">
        <v>293</v>
      </c>
      <c r="X2719" t="s">
        <v>13051</v>
      </c>
      <c r="Y2719" t="s">
        <v>2006</v>
      </c>
      <c r="Z2719" t="s">
        <v>2020</v>
      </c>
      <c r="AB2719" t="s">
        <v>13303</v>
      </c>
      <c r="AD2719" t="s">
        <v>15884</v>
      </c>
      <c r="AE2719">
        <v>170</v>
      </c>
      <c r="AF2719" t="s">
        <v>2902</v>
      </c>
      <c r="AH2719" t="s">
        <v>13051</v>
      </c>
      <c r="AI2719">
        <v>1</v>
      </c>
      <c r="AJ2719">
        <v>0</v>
      </c>
      <c r="AK2719">
        <v>177.53</v>
      </c>
      <c r="AN2719" t="s">
        <v>2926</v>
      </c>
      <c r="AO2719">
        <v>21552</v>
      </c>
      <c r="AU2719">
        <v>46</v>
      </c>
      <c r="AV2719" t="s">
        <v>301</v>
      </c>
      <c r="AW2719" t="s">
        <v>57</v>
      </c>
      <c r="AX2719" t="s">
        <v>18685</v>
      </c>
    </row>
    <row r="2720" spans="1:50">
      <c r="A2720" s="1" t="s">
        <v>119</v>
      </c>
      <c r="B2720" t="s">
        <v>164</v>
      </c>
      <c r="C2720" t="s">
        <v>5930</v>
      </c>
      <c r="D2720" t="s">
        <v>182</v>
      </c>
      <c r="E2720" t="s">
        <v>369</v>
      </c>
      <c r="F2720" t="s">
        <v>6930</v>
      </c>
      <c r="G2720" t="s">
        <v>9086</v>
      </c>
      <c r="H2720" t="s">
        <v>10641</v>
      </c>
      <c r="I2720" t="s">
        <v>1525</v>
      </c>
      <c r="J2720" t="s">
        <v>1644</v>
      </c>
      <c r="K2720">
        <v>11239</v>
      </c>
      <c r="L2720" t="s">
        <v>1671</v>
      </c>
      <c r="M2720" t="s">
        <v>1670</v>
      </c>
      <c r="N2720" t="s">
        <v>12668</v>
      </c>
      <c r="O2720" t="s">
        <v>1936</v>
      </c>
      <c r="P2720" t="s">
        <v>1960</v>
      </c>
      <c r="Q2720" t="s">
        <v>1967</v>
      </c>
      <c r="R2720" t="s">
        <v>50</v>
      </c>
      <c r="S2720" t="s">
        <v>1671</v>
      </c>
      <c r="U2720" t="s">
        <v>1972</v>
      </c>
      <c r="V2720" t="s">
        <v>1987</v>
      </c>
      <c r="W2720" t="s">
        <v>293</v>
      </c>
      <c r="X2720">
        <v>808.13</v>
      </c>
      <c r="Y2720" t="s">
        <v>2009</v>
      </c>
      <c r="Z2720" t="s">
        <v>2020</v>
      </c>
      <c r="AA2720" t="s">
        <v>2032</v>
      </c>
      <c r="AB2720" t="s">
        <v>14941</v>
      </c>
      <c r="AC2720" t="s">
        <v>1754</v>
      </c>
      <c r="AD2720" t="s">
        <v>17345</v>
      </c>
      <c r="AE2720">
        <v>51</v>
      </c>
      <c r="AF2720" t="s">
        <v>2902</v>
      </c>
      <c r="AG2720" t="s">
        <v>2915</v>
      </c>
      <c r="AH2720">
        <v>6</v>
      </c>
      <c r="AI2720">
        <v>1</v>
      </c>
      <c r="AJ2720">
        <v>0</v>
      </c>
      <c r="AK2720">
        <v>177.74</v>
      </c>
      <c r="AN2720" t="s">
        <v>2926</v>
      </c>
      <c r="AO2720">
        <v>22200</v>
      </c>
      <c r="AP2720" t="s">
        <v>18370</v>
      </c>
      <c r="AU2720">
        <v>9.199999999999999</v>
      </c>
      <c r="AV2720" t="s">
        <v>369</v>
      </c>
      <c r="AW2720" t="s">
        <v>3060</v>
      </c>
      <c r="AX2720" t="s">
        <v>18685</v>
      </c>
    </row>
    <row r="2721" spans="1:50">
      <c r="A2721" s="1" t="s">
        <v>3147</v>
      </c>
      <c r="B2721" t="s">
        <v>164</v>
      </c>
      <c r="C2721" t="s">
        <v>5931</v>
      </c>
      <c r="D2721" t="s">
        <v>344</v>
      </c>
      <c r="E2721" t="s">
        <v>304</v>
      </c>
      <c r="F2721" t="s">
        <v>650</v>
      </c>
      <c r="G2721" t="s">
        <v>9087</v>
      </c>
      <c r="H2721" t="s">
        <v>10642</v>
      </c>
      <c r="I2721" t="s">
        <v>1542</v>
      </c>
      <c r="J2721" t="s">
        <v>1655</v>
      </c>
      <c r="K2721">
        <v>11369</v>
      </c>
      <c r="L2721" t="s">
        <v>1670</v>
      </c>
      <c r="M2721" t="s">
        <v>1670</v>
      </c>
      <c r="N2721" t="s">
        <v>12669</v>
      </c>
      <c r="O2721" t="s">
        <v>1940</v>
      </c>
      <c r="P2721" t="s">
        <v>1958</v>
      </c>
      <c r="Q2721" t="s">
        <v>1965</v>
      </c>
      <c r="R2721" t="s">
        <v>50</v>
      </c>
      <c r="S2721" t="s">
        <v>1671</v>
      </c>
      <c r="U2721" t="s">
        <v>13034</v>
      </c>
      <c r="V2721" t="s">
        <v>1984</v>
      </c>
      <c r="W2721" t="s">
        <v>292</v>
      </c>
      <c r="X2721">
        <v>600</v>
      </c>
      <c r="Y2721" t="s">
        <v>2007</v>
      </c>
      <c r="Z2721" t="s">
        <v>2014</v>
      </c>
      <c r="AA2721" t="s">
        <v>2035</v>
      </c>
      <c r="AB2721" t="s">
        <v>13783</v>
      </c>
      <c r="AC2721" t="s">
        <v>15150</v>
      </c>
      <c r="AD2721" t="s">
        <v>17346</v>
      </c>
      <c r="AE2721">
        <v>2</v>
      </c>
      <c r="AF2721" t="s">
        <v>2903</v>
      </c>
      <c r="AG2721" t="s">
        <v>1754</v>
      </c>
      <c r="AH2721">
        <v>1</v>
      </c>
      <c r="AI2721">
        <v>1</v>
      </c>
      <c r="AJ2721">
        <v>0</v>
      </c>
      <c r="AK2721">
        <v>177.92</v>
      </c>
      <c r="AN2721" t="s">
        <v>2926</v>
      </c>
      <c r="AO2721">
        <v>21600</v>
      </c>
      <c r="AU2721">
        <v>0.4</v>
      </c>
      <c r="AV2721" t="s">
        <v>330</v>
      </c>
      <c r="AW2721" t="s">
        <v>85</v>
      </c>
    </row>
    <row r="2722" spans="1:50">
      <c r="A2722" s="1" t="s">
        <v>59</v>
      </c>
      <c r="B2722" t="s">
        <v>163</v>
      </c>
      <c r="C2722" t="s">
        <v>5932</v>
      </c>
      <c r="D2722" t="s">
        <v>330</v>
      </c>
      <c r="F2722" t="s">
        <v>7696</v>
      </c>
      <c r="G2722" t="s">
        <v>8517</v>
      </c>
      <c r="H2722" t="s">
        <v>10643</v>
      </c>
      <c r="I2722" t="s">
        <v>1570</v>
      </c>
      <c r="J2722" t="s">
        <v>1641</v>
      </c>
      <c r="K2722">
        <v>10457</v>
      </c>
      <c r="L2722" t="s">
        <v>1670</v>
      </c>
      <c r="M2722" t="s">
        <v>1670</v>
      </c>
      <c r="O2722" t="s">
        <v>1941</v>
      </c>
      <c r="P2722" t="s">
        <v>1958</v>
      </c>
      <c r="R2722" t="s">
        <v>50</v>
      </c>
      <c r="S2722" t="s">
        <v>1671</v>
      </c>
      <c r="U2722" t="s">
        <v>1973</v>
      </c>
      <c r="W2722" t="s">
        <v>267</v>
      </c>
      <c r="X2722">
        <v>1579</v>
      </c>
      <c r="Y2722" t="s">
        <v>2006</v>
      </c>
      <c r="Z2722" t="s">
        <v>2021</v>
      </c>
      <c r="AB2722" t="s">
        <v>14942</v>
      </c>
      <c r="AD2722" t="s">
        <v>17347</v>
      </c>
      <c r="AE2722">
        <v>110</v>
      </c>
      <c r="AF2722" t="s">
        <v>2902</v>
      </c>
      <c r="AG2722" t="s">
        <v>2915</v>
      </c>
      <c r="AH2722">
        <v>4</v>
      </c>
      <c r="AI2722">
        <v>2</v>
      </c>
      <c r="AJ2722">
        <v>0</v>
      </c>
      <c r="AK2722">
        <v>177.98</v>
      </c>
      <c r="AN2722" t="s">
        <v>2926</v>
      </c>
      <c r="AO2722">
        <v>29296</v>
      </c>
      <c r="AP2722" t="s">
        <v>18371</v>
      </c>
      <c r="AU2722">
        <v>2</v>
      </c>
      <c r="AV2722" t="s">
        <v>267</v>
      </c>
      <c r="AW2722" t="s">
        <v>3078</v>
      </c>
    </row>
    <row r="2723" spans="1:50">
      <c r="A2723" s="1" t="s">
        <v>63</v>
      </c>
      <c r="B2723" t="s">
        <v>164</v>
      </c>
      <c r="C2723" t="s">
        <v>5933</v>
      </c>
      <c r="D2723" t="s">
        <v>260</v>
      </c>
      <c r="E2723" t="s">
        <v>6769</v>
      </c>
      <c r="F2723" t="s">
        <v>651</v>
      </c>
      <c r="G2723" t="s">
        <v>9026</v>
      </c>
      <c r="H2723" t="s">
        <v>1143</v>
      </c>
      <c r="I2723" t="s">
        <v>1520</v>
      </c>
      <c r="J2723" t="s">
        <v>1641</v>
      </c>
      <c r="K2723">
        <v>10452</v>
      </c>
      <c r="L2723" t="s">
        <v>1670</v>
      </c>
      <c r="M2723" t="s">
        <v>1670</v>
      </c>
      <c r="O2723" t="s">
        <v>1945</v>
      </c>
      <c r="P2723" t="s">
        <v>1958</v>
      </c>
      <c r="Q2723" t="s">
        <v>1965</v>
      </c>
      <c r="R2723" t="s">
        <v>50</v>
      </c>
      <c r="S2723" t="s">
        <v>1671</v>
      </c>
      <c r="U2723" t="s">
        <v>1972</v>
      </c>
      <c r="W2723" t="s">
        <v>342</v>
      </c>
      <c r="X2723">
        <v>1013.89</v>
      </c>
      <c r="Y2723" t="s">
        <v>2006</v>
      </c>
      <c r="AA2723" t="s">
        <v>2029</v>
      </c>
      <c r="AB2723" t="s">
        <v>14850</v>
      </c>
      <c r="AD2723" t="s">
        <v>17254</v>
      </c>
      <c r="AE2723">
        <v>58</v>
      </c>
      <c r="AF2723" t="s">
        <v>2902</v>
      </c>
      <c r="AG2723" t="s">
        <v>2919</v>
      </c>
      <c r="AH2723">
        <v>28</v>
      </c>
      <c r="AI2723">
        <v>1</v>
      </c>
      <c r="AJ2723">
        <v>0</v>
      </c>
      <c r="AK2723">
        <v>178.22</v>
      </c>
      <c r="AN2723" t="s">
        <v>2926</v>
      </c>
      <c r="AO2723">
        <v>21636</v>
      </c>
      <c r="AU2723">
        <v>0.5</v>
      </c>
      <c r="AV2723" t="s">
        <v>260</v>
      </c>
      <c r="AW2723" t="s">
        <v>3046</v>
      </c>
    </row>
    <row r="2724" spans="1:50">
      <c r="A2724" s="1" t="s">
        <v>54</v>
      </c>
      <c r="B2724" t="s">
        <v>163</v>
      </c>
      <c r="C2724" t="s">
        <v>5934</v>
      </c>
      <c r="D2724" t="s">
        <v>314</v>
      </c>
      <c r="F2724" t="s">
        <v>7810</v>
      </c>
      <c r="G2724" t="s">
        <v>9088</v>
      </c>
      <c r="H2724" t="s">
        <v>9578</v>
      </c>
      <c r="I2724" t="s">
        <v>1490</v>
      </c>
      <c r="J2724" t="s">
        <v>1643</v>
      </c>
      <c r="K2724">
        <v>10032</v>
      </c>
      <c r="L2724" t="s">
        <v>1670</v>
      </c>
      <c r="M2724" t="s">
        <v>1670</v>
      </c>
      <c r="O2724" t="s">
        <v>1940</v>
      </c>
      <c r="P2724" t="s">
        <v>1960</v>
      </c>
      <c r="R2724" t="s">
        <v>50</v>
      </c>
      <c r="S2724" t="s">
        <v>1671</v>
      </c>
      <c r="U2724" t="s">
        <v>1972</v>
      </c>
      <c r="W2724" t="s">
        <v>314</v>
      </c>
      <c r="X2724">
        <v>2116.65</v>
      </c>
      <c r="Y2724" t="s">
        <v>2008</v>
      </c>
      <c r="Z2724" t="s">
        <v>2013</v>
      </c>
      <c r="AB2724" t="s">
        <v>14943</v>
      </c>
      <c r="AD2724" t="s">
        <v>17348</v>
      </c>
      <c r="AE2724">
        <v>115</v>
      </c>
      <c r="AF2724" t="s">
        <v>2902</v>
      </c>
      <c r="AG2724" t="s">
        <v>1754</v>
      </c>
      <c r="AH2724">
        <v>7</v>
      </c>
      <c r="AI2724">
        <v>2</v>
      </c>
      <c r="AJ2724">
        <v>0</v>
      </c>
      <c r="AK2724">
        <v>178.54</v>
      </c>
      <c r="AN2724" t="s">
        <v>2927</v>
      </c>
      <c r="AO2724">
        <v>29388</v>
      </c>
      <c r="AU2724">
        <v>13.71</v>
      </c>
      <c r="AV2724" t="s">
        <v>379</v>
      </c>
      <c r="AW2724" t="s">
        <v>3042</v>
      </c>
    </row>
    <row r="2725" spans="1:50">
      <c r="A2725" s="1" t="s">
        <v>100</v>
      </c>
      <c r="B2725" t="s">
        <v>163</v>
      </c>
      <c r="C2725" t="s">
        <v>5935</v>
      </c>
      <c r="D2725" t="s">
        <v>290</v>
      </c>
      <c r="F2725" t="s">
        <v>7811</v>
      </c>
      <c r="G2725" t="s">
        <v>1048</v>
      </c>
      <c r="H2725" t="s">
        <v>10479</v>
      </c>
      <c r="I2725" t="s">
        <v>1558</v>
      </c>
      <c r="J2725" t="s">
        <v>1643</v>
      </c>
      <c r="K2725">
        <v>10034</v>
      </c>
      <c r="L2725" t="s">
        <v>1670</v>
      </c>
      <c r="M2725" t="s">
        <v>1672</v>
      </c>
      <c r="P2725" t="s">
        <v>1959</v>
      </c>
      <c r="R2725" t="s">
        <v>50</v>
      </c>
      <c r="S2725" t="s">
        <v>1671</v>
      </c>
      <c r="U2725" t="s">
        <v>1972</v>
      </c>
      <c r="W2725" t="s">
        <v>290</v>
      </c>
      <c r="X2725">
        <v>1695</v>
      </c>
      <c r="Y2725" t="s">
        <v>2008</v>
      </c>
      <c r="Z2725" t="s">
        <v>2020</v>
      </c>
      <c r="AB2725" t="s">
        <v>14944</v>
      </c>
      <c r="AE2725">
        <v>44</v>
      </c>
      <c r="AF2725" t="s">
        <v>2902</v>
      </c>
      <c r="AG2725" t="s">
        <v>1754</v>
      </c>
      <c r="AH2725">
        <v>7</v>
      </c>
      <c r="AI2725">
        <v>1</v>
      </c>
      <c r="AJ2725">
        <v>0</v>
      </c>
      <c r="AK2725">
        <v>179.18</v>
      </c>
      <c r="AN2725" t="s">
        <v>2927</v>
      </c>
      <c r="AO2725">
        <v>22380</v>
      </c>
      <c r="AU2725">
        <v>22</v>
      </c>
      <c r="AV2725" t="s">
        <v>222</v>
      </c>
      <c r="AW2725" t="s">
        <v>3042</v>
      </c>
      <c r="AX2725" t="s">
        <v>18685</v>
      </c>
    </row>
    <row r="2726" spans="1:50">
      <c r="A2726" s="1" t="s">
        <v>133</v>
      </c>
      <c r="B2726" t="s">
        <v>163</v>
      </c>
      <c r="C2726" t="s">
        <v>5936</v>
      </c>
      <c r="D2726" t="s">
        <v>252</v>
      </c>
      <c r="F2726" t="s">
        <v>759</v>
      </c>
      <c r="G2726" t="s">
        <v>9073</v>
      </c>
      <c r="H2726" t="s">
        <v>9401</v>
      </c>
      <c r="J2726" t="s">
        <v>1644</v>
      </c>
      <c r="K2726">
        <v>11213</v>
      </c>
      <c r="L2726" t="s">
        <v>1670</v>
      </c>
      <c r="M2726" t="s">
        <v>1670</v>
      </c>
      <c r="N2726" t="s">
        <v>1865</v>
      </c>
      <c r="O2726" t="s">
        <v>1939</v>
      </c>
      <c r="P2726" t="s">
        <v>1960</v>
      </c>
      <c r="R2726" t="s">
        <v>50</v>
      </c>
      <c r="S2726" t="s">
        <v>1670</v>
      </c>
      <c r="U2726" t="s">
        <v>1972</v>
      </c>
      <c r="V2726" t="s">
        <v>1984</v>
      </c>
      <c r="W2726" t="s">
        <v>13041</v>
      </c>
      <c r="X2726">
        <v>881.67</v>
      </c>
      <c r="Y2726" t="s">
        <v>2009</v>
      </c>
      <c r="Z2726" t="s">
        <v>2015</v>
      </c>
      <c r="AB2726" t="s">
        <v>14925</v>
      </c>
      <c r="AC2726" t="s">
        <v>1754</v>
      </c>
      <c r="AD2726" t="s">
        <v>17329</v>
      </c>
      <c r="AE2726">
        <v>31</v>
      </c>
      <c r="AF2726" t="s">
        <v>2902</v>
      </c>
      <c r="AG2726" t="s">
        <v>1754</v>
      </c>
      <c r="AH2726">
        <v>17</v>
      </c>
      <c r="AI2726">
        <v>2</v>
      </c>
      <c r="AJ2726">
        <v>0</v>
      </c>
      <c r="AK2726">
        <v>179.22</v>
      </c>
      <c r="AN2726" t="s">
        <v>2926</v>
      </c>
      <c r="AO2726">
        <v>29500</v>
      </c>
      <c r="AU2726">
        <v>0.1</v>
      </c>
      <c r="AV2726" t="s">
        <v>328</v>
      </c>
      <c r="AW2726" t="s">
        <v>3060</v>
      </c>
    </row>
    <row r="2727" spans="1:50">
      <c r="A2727" s="1" t="s">
        <v>62</v>
      </c>
      <c r="B2727" t="s">
        <v>163</v>
      </c>
      <c r="C2727" t="s">
        <v>5937</v>
      </c>
      <c r="D2727" t="s">
        <v>6132</v>
      </c>
      <c r="F2727" t="s">
        <v>7135</v>
      </c>
      <c r="G2727" t="s">
        <v>9089</v>
      </c>
      <c r="H2727" t="s">
        <v>9451</v>
      </c>
      <c r="I2727" t="s">
        <v>11438</v>
      </c>
      <c r="J2727" t="s">
        <v>1644</v>
      </c>
      <c r="K2727">
        <v>11225</v>
      </c>
      <c r="L2727" t="s">
        <v>1670</v>
      </c>
      <c r="M2727" t="s">
        <v>1670</v>
      </c>
      <c r="O2727" t="s">
        <v>1939</v>
      </c>
      <c r="P2727" t="s">
        <v>1960</v>
      </c>
      <c r="R2727" t="s">
        <v>50</v>
      </c>
      <c r="S2727" t="s">
        <v>1670</v>
      </c>
      <c r="U2727" t="s">
        <v>1972</v>
      </c>
      <c r="W2727" t="s">
        <v>1992</v>
      </c>
      <c r="X2727">
        <v>1139.21</v>
      </c>
      <c r="Y2727" t="s">
        <v>2009</v>
      </c>
      <c r="Z2727" t="s">
        <v>2015</v>
      </c>
      <c r="AB2727" t="s">
        <v>14945</v>
      </c>
      <c r="AD2727" t="s">
        <v>17349</v>
      </c>
      <c r="AE2727">
        <v>47</v>
      </c>
      <c r="AF2727" t="s">
        <v>2902</v>
      </c>
      <c r="AG2727" t="s">
        <v>1754</v>
      </c>
      <c r="AH2727">
        <v>12</v>
      </c>
      <c r="AI2727">
        <v>4</v>
      </c>
      <c r="AJ2727">
        <v>0</v>
      </c>
      <c r="AK2727">
        <v>179.28</v>
      </c>
      <c r="AN2727" t="s">
        <v>2926</v>
      </c>
      <c r="AO2727">
        <v>45000</v>
      </c>
      <c r="AU2727">
        <v>1</v>
      </c>
      <c r="AV2727" t="s">
        <v>259</v>
      </c>
      <c r="AW2727" t="s">
        <v>3079</v>
      </c>
    </row>
    <row r="2728" spans="1:50">
      <c r="A2728" s="1" t="s">
        <v>119</v>
      </c>
      <c r="B2728" t="s">
        <v>163</v>
      </c>
      <c r="C2728" t="s">
        <v>5938</v>
      </c>
      <c r="D2728" t="s">
        <v>3040</v>
      </c>
      <c r="F2728" t="s">
        <v>6924</v>
      </c>
      <c r="G2728" t="s">
        <v>770</v>
      </c>
      <c r="H2728" t="s">
        <v>10644</v>
      </c>
      <c r="I2728" t="s">
        <v>1488</v>
      </c>
      <c r="J2728" t="s">
        <v>1644</v>
      </c>
      <c r="K2728">
        <v>11208</v>
      </c>
      <c r="L2728" t="s">
        <v>1670</v>
      </c>
      <c r="M2728" t="s">
        <v>1670</v>
      </c>
      <c r="P2728" t="s">
        <v>1958</v>
      </c>
      <c r="R2728" t="s">
        <v>50</v>
      </c>
      <c r="S2728" t="s">
        <v>1671</v>
      </c>
      <c r="U2728" t="s">
        <v>1972</v>
      </c>
      <c r="W2728" t="s">
        <v>330</v>
      </c>
      <c r="X2728">
        <v>717</v>
      </c>
      <c r="Y2728" t="s">
        <v>2009</v>
      </c>
      <c r="Z2728" t="s">
        <v>2020</v>
      </c>
      <c r="AB2728" t="s">
        <v>14946</v>
      </c>
      <c r="AD2728" t="s">
        <v>17350</v>
      </c>
      <c r="AE2728">
        <v>6</v>
      </c>
      <c r="AG2728" t="s">
        <v>1754</v>
      </c>
      <c r="AH2728">
        <v>30</v>
      </c>
      <c r="AI2728">
        <v>2</v>
      </c>
      <c r="AJ2728">
        <v>0</v>
      </c>
      <c r="AK2728">
        <v>179.56</v>
      </c>
      <c r="AN2728" t="s">
        <v>2927</v>
      </c>
      <c r="AO2728">
        <v>29556</v>
      </c>
      <c r="AU2728">
        <v>1</v>
      </c>
      <c r="AV2728" t="s">
        <v>6186</v>
      </c>
      <c r="AW2728" t="s">
        <v>3059</v>
      </c>
    </row>
    <row r="2729" spans="1:50">
      <c r="A2729" s="1" t="s">
        <v>97</v>
      </c>
      <c r="B2729" t="s">
        <v>163</v>
      </c>
      <c r="C2729" t="s">
        <v>5939</v>
      </c>
      <c r="D2729" t="s">
        <v>311</v>
      </c>
      <c r="F2729" t="s">
        <v>6796</v>
      </c>
      <c r="G2729" t="s">
        <v>9090</v>
      </c>
      <c r="H2729" t="s">
        <v>9977</v>
      </c>
      <c r="I2729" t="s">
        <v>1534</v>
      </c>
      <c r="J2729" t="s">
        <v>1643</v>
      </c>
      <c r="K2729">
        <v>10034</v>
      </c>
      <c r="L2729" t="s">
        <v>1670</v>
      </c>
      <c r="M2729" t="s">
        <v>1670</v>
      </c>
      <c r="N2729" t="s">
        <v>12670</v>
      </c>
      <c r="O2729" t="s">
        <v>1936</v>
      </c>
      <c r="P2729" t="s">
        <v>1960</v>
      </c>
      <c r="R2729" t="s">
        <v>50</v>
      </c>
      <c r="S2729" t="s">
        <v>1671</v>
      </c>
      <c r="U2729" t="s">
        <v>1972</v>
      </c>
      <c r="W2729" t="s">
        <v>335</v>
      </c>
      <c r="X2729">
        <v>642.37</v>
      </c>
      <c r="Y2729" t="s">
        <v>2008</v>
      </c>
      <c r="Z2729" t="s">
        <v>2020</v>
      </c>
      <c r="AB2729" t="s">
        <v>14947</v>
      </c>
      <c r="AD2729" t="s">
        <v>17351</v>
      </c>
      <c r="AE2729">
        <v>21</v>
      </c>
      <c r="AF2729" t="s">
        <v>2902</v>
      </c>
      <c r="AG2729" t="s">
        <v>2919</v>
      </c>
      <c r="AH2729">
        <v>45</v>
      </c>
      <c r="AI2729">
        <v>1</v>
      </c>
      <c r="AJ2729">
        <v>0</v>
      </c>
      <c r="AK2729">
        <v>179.7</v>
      </c>
      <c r="AN2729" t="s">
        <v>2926</v>
      </c>
      <c r="AO2729">
        <v>21816</v>
      </c>
      <c r="AU2729">
        <v>13.2</v>
      </c>
      <c r="AV2729" t="s">
        <v>223</v>
      </c>
      <c r="AW2729" t="s">
        <v>3084</v>
      </c>
      <c r="AX2729" t="s">
        <v>18685</v>
      </c>
    </row>
    <row r="2730" spans="1:50">
      <c r="A2730" s="1" t="s">
        <v>97</v>
      </c>
      <c r="B2730" t="s">
        <v>164</v>
      </c>
      <c r="C2730" t="s">
        <v>5940</v>
      </c>
      <c r="D2730" t="s">
        <v>229</v>
      </c>
      <c r="E2730" t="s">
        <v>6762</v>
      </c>
      <c r="F2730" t="s">
        <v>6824</v>
      </c>
      <c r="G2730" t="s">
        <v>907</v>
      </c>
      <c r="H2730" t="s">
        <v>10645</v>
      </c>
      <c r="I2730" t="s">
        <v>11397</v>
      </c>
      <c r="J2730" t="s">
        <v>1643</v>
      </c>
      <c r="K2730">
        <v>10034</v>
      </c>
      <c r="L2730" t="s">
        <v>1670</v>
      </c>
      <c r="M2730" t="s">
        <v>1670</v>
      </c>
      <c r="O2730" t="s">
        <v>1675</v>
      </c>
      <c r="P2730" t="s">
        <v>1962</v>
      </c>
      <c r="Q2730" t="s">
        <v>1968</v>
      </c>
      <c r="R2730" t="s">
        <v>50</v>
      </c>
      <c r="S2730" t="s">
        <v>1671</v>
      </c>
      <c r="U2730" t="s">
        <v>1972</v>
      </c>
      <c r="W2730" t="s">
        <v>229</v>
      </c>
      <c r="X2730">
        <v>1135</v>
      </c>
      <c r="Y2730" t="s">
        <v>2008</v>
      </c>
      <c r="Z2730" t="s">
        <v>2013</v>
      </c>
      <c r="AA2730" t="s">
        <v>2029</v>
      </c>
      <c r="AB2730" t="s">
        <v>14948</v>
      </c>
      <c r="AD2730" t="s">
        <v>17352</v>
      </c>
      <c r="AE2730">
        <v>66</v>
      </c>
      <c r="AF2730" t="s">
        <v>2902</v>
      </c>
      <c r="AG2730" t="s">
        <v>2915</v>
      </c>
      <c r="AH2730">
        <v>41</v>
      </c>
      <c r="AI2730">
        <v>2</v>
      </c>
      <c r="AJ2730">
        <v>0</v>
      </c>
      <c r="AK2730">
        <v>179.99</v>
      </c>
      <c r="AN2730" t="s">
        <v>2927</v>
      </c>
      <c r="AO2730">
        <v>29626.8</v>
      </c>
      <c r="AU2730">
        <v>2.2</v>
      </c>
      <c r="AV2730" t="s">
        <v>6762</v>
      </c>
      <c r="AW2730" t="s">
        <v>3042</v>
      </c>
      <c r="AX2730" t="s">
        <v>18685</v>
      </c>
    </row>
    <row r="2731" spans="1:50">
      <c r="A2731" s="1" t="s">
        <v>74</v>
      </c>
      <c r="B2731" t="s">
        <v>163</v>
      </c>
      <c r="C2731" t="s">
        <v>5941</v>
      </c>
      <c r="D2731" t="s">
        <v>270</v>
      </c>
      <c r="F2731" t="s">
        <v>520</v>
      </c>
      <c r="G2731" t="s">
        <v>2929</v>
      </c>
      <c r="H2731" t="s">
        <v>1131</v>
      </c>
      <c r="I2731" t="s">
        <v>1488</v>
      </c>
      <c r="J2731" t="s">
        <v>1641</v>
      </c>
      <c r="K2731">
        <v>10460</v>
      </c>
      <c r="L2731" t="s">
        <v>1670</v>
      </c>
      <c r="M2731" t="s">
        <v>1670</v>
      </c>
      <c r="N2731" t="s">
        <v>1692</v>
      </c>
      <c r="O2731" t="s">
        <v>1939</v>
      </c>
      <c r="P2731" t="s">
        <v>1960</v>
      </c>
      <c r="R2731" t="s">
        <v>50</v>
      </c>
      <c r="S2731" t="s">
        <v>1670</v>
      </c>
      <c r="U2731" t="s">
        <v>1972</v>
      </c>
      <c r="W2731" t="s">
        <v>283</v>
      </c>
      <c r="X2731">
        <v>1100</v>
      </c>
      <c r="Y2731" t="s">
        <v>2006</v>
      </c>
      <c r="Z2731" t="s">
        <v>2015</v>
      </c>
      <c r="AB2731" t="s">
        <v>14929</v>
      </c>
      <c r="AD2731" t="s">
        <v>17333</v>
      </c>
      <c r="AE2731">
        <v>168</v>
      </c>
      <c r="AF2731" t="s">
        <v>2902</v>
      </c>
      <c r="AG2731" t="s">
        <v>2915</v>
      </c>
      <c r="AH2731">
        <v>3</v>
      </c>
      <c r="AI2731">
        <v>2</v>
      </c>
      <c r="AJ2731">
        <v>0</v>
      </c>
      <c r="AK2731">
        <v>180.15</v>
      </c>
      <c r="AN2731" t="s">
        <v>2926</v>
      </c>
      <c r="AO2731">
        <v>29652</v>
      </c>
      <c r="AU2731" t="s">
        <v>13051</v>
      </c>
      <c r="AW2731" t="s">
        <v>3047</v>
      </c>
      <c r="AX2731" t="s">
        <v>18685</v>
      </c>
    </row>
    <row r="2732" spans="1:50">
      <c r="A2732" s="1" t="s">
        <v>57</v>
      </c>
      <c r="B2732" t="s">
        <v>163</v>
      </c>
      <c r="C2732" t="s">
        <v>5942</v>
      </c>
      <c r="D2732" t="s">
        <v>181</v>
      </c>
      <c r="F2732" t="s">
        <v>474</v>
      </c>
      <c r="G2732" t="s">
        <v>873</v>
      </c>
      <c r="H2732" t="s">
        <v>1112</v>
      </c>
      <c r="I2732" t="s">
        <v>10960</v>
      </c>
      <c r="J2732" t="s">
        <v>1641</v>
      </c>
      <c r="K2732">
        <v>10453</v>
      </c>
      <c r="L2732" t="s">
        <v>1670</v>
      </c>
      <c r="M2732" t="s">
        <v>1670</v>
      </c>
      <c r="O2732" t="s">
        <v>1938</v>
      </c>
      <c r="P2732" t="s">
        <v>1961</v>
      </c>
      <c r="R2732" t="s">
        <v>50</v>
      </c>
      <c r="S2732" t="s">
        <v>1670</v>
      </c>
      <c r="U2732" t="s">
        <v>1972</v>
      </c>
      <c r="W2732" t="s">
        <v>283</v>
      </c>
      <c r="X2732">
        <v>1233</v>
      </c>
      <c r="Y2732" t="s">
        <v>2006</v>
      </c>
      <c r="Z2732" t="s">
        <v>2016</v>
      </c>
      <c r="AB2732" t="s">
        <v>13250</v>
      </c>
      <c r="AD2732" t="s">
        <v>15841</v>
      </c>
      <c r="AE2732">
        <v>170</v>
      </c>
      <c r="AF2732" t="s">
        <v>2902</v>
      </c>
      <c r="AG2732" t="s">
        <v>1754</v>
      </c>
      <c r="AH2732">
        <v>4</v>
      </c>
      <c r="AI2732">
        <v>4</v>
      </c>
      <c r="AJ2732">
        <v>0</v>
      </c>
      <c r="AK2732">
        <v>180.19</v>
      </c>
      <c r="AN2732" t="s">
        <v>2927</v>
      </c>
      <c r="AO2732">
        <v>46400</v>
      </c>
      <c r="AU2732" t="s">
        <v>13051</v>
      </c>
      <c r="AW2732" t="s">
        <v>3045</v>
      </c>
    </row>
    <row r="2733" spans="1:50">
      <c r="A2733" s="1" t="s">
        <v>94</v>
      </c>
      <c r="B2733" t="s">
        <v>164</v>
      </c>
      <c r="C2733" t="s">
        <v>5943</v>
      </c>
      <c r="D2733" t="s">
        <v>190</v>
      </c>
      <c r="E2733" t="s">
        <v>286</v>
      </c>
      <c r="F2733" t="s">
        <v>7812</v>
      </c>
      <c r="G2733" t="s">
        <v>9091</v>
      </c>
      <c r="H2733" t="s">
        <v>10646</v>
      </c>
      <c r="I2733" t="s">
        <v>1519</v>
      </c>
      <c r="J2733" t="s">
        <v>1643</v>
      </c>
      <c r="K2733">
        <v>10032</v>
      </c>
      <c r="L2733" t="s">
        <v>1670</v>
      </c>
      <c r="M2733" t="s">
        <v>1670</v>
      </c>
      <c r="O2733" t="s">
        <v>1941</v>
      </c>
      <c r="P2733" t="s">
        <v>1958</v>
      </c>
      <c r="Q2733" t="s">
        <v>1965</v>
      </c>
      <c r="R2733" t="s">
        <v>50</v>
      </c>
      <c r="S2733" t="s">
        <v>1671</v>
      </c>
      <c r="U2733" t="s">
        <v>1972</v>
      </c>
      <c r="W2733" t="s">
        <v>190</v>
      </c>
      <c r="X2733">
        <v>1239.65</v>
      </c>
      <c r="Y2733" t="s">
        <v>2008</v>
      </c>
      <c r="Z2733" t="s">
        <v>2013</v>
      </c>
      <c r="AA2733" t="s">
        <v>2029</v>
      </c>
      <c r="AB2733" t="s">
        <v>14949</v>
      </c>
      <c r="AD2733" t="s">
        <v>17353</v>
      </c>
      <c r="AE2733" t="s">
        <v>13051</v>
      </c>
      <c r="AF2733" t="s">
        <v>2902</v>
      </c>
      <c r="AG2733" t="s">
        <v>1754</v>
      </c>
      <c r="AH2733">
        <v>21</v>
      </c>
      <c r="AI2733">
        <v>2</v>
      </c>
      <c r="AJ2733">
        <v>0</v>
      </c>
      <c r="AK2733">
        <v>180.2</v>
      </c>
      <c r="AN2733" t="s">
        <v>2927</v>
      </c>
      <c r="AO2733">
        <v>30472</v>
      </c>
      <c r="AU2733">
        <v>1.1</v>
      </c>
      <c r="AV2733" t="s">
        <v>286</v>
      </c>
      <c r="AW2733" t="s">
        <v>3042</v>
      </c>
      <c r="AX2733" t="s">
        <v>18685</v>
      </c>
    </row>
    <row r="2734" spans="1:50">
      <c r="A2734" s="1" t="s">
        <v>105</v>
      </c>
      <c r="B2734" t="s">
        <v>163</v>
      </c>
      <c r="C2734" t="s">
        <v>5944</v>
      </c>
      <c r="D2734" t="s">
        <v>2005</v>
      </c>
      <c r="F2734" t="s">
        <v>7813</v>
      </c>
      <c r="G2734" t="s">
        <v>870</v>
      </c>
      <c r="H2734" t="s">
        <v>10647</v>
      </c>
      <c r="I2734" t="s">
        <v>11315</v>
      </c>
      <c r="J2734" t="s">
        <v>1641</v>
      </c>
      <c r="K2734">
        <v>10452</v>
      </c>
      <c r="L2734" t="s">
        <v>1670</v>
      </c>
      <c r="M2734" t="s">
        <v>1670</v>
      </c>
      <c r="O2734" t="s">
        <v>1940</v>
      </c>
      <c r="P2734" t="s">
        <v>1958</v>
      </c>
      <c r="R2734" t="s">
        <v>50</v>
      </c>
      <c r="U2734" t="s">
        <v>1972</v>
      </c>
      <c r="W2734" t="s">
        <v>2005</v>
      </c>
      <c r="X2734">
        <v>854</v>
      </c>
      <c r="Y2734" t="s">
        <v>2006</v>
      </c>
      <c r="Z2734" t="s">
        <v>2015</v>
      </c>
      <c r="AB2734" t="s">
        <v>14950</v>
      </c>
      <c r="AD2734" t="s">
        <v>17354</v>
      </c>
      <c r="AE2734">
        <v>44</v>
      </c>
      <c r="AF2734" t="s">
        <v>2904</v>
      </c>
      <c r="AG2734" t="s">
        <v>2919</v>
      </c>
      <c r="AH2734">
        <v>42</v>
      </c>
      <c r="AI2734">
        <v>2</v>
      </c>
      <c r="AJ2734">
        <v>0</v>
      </c>
      <c r="AK2734">
        <v>180.29</v>
      </c>
      <c r="AN2734" t="s">
        <v>2927</v>
      </c>
      <c r="AO2734">
        <v>29676</v>
      </c>
      <c r="AU2734">
        <v>97.40000000000001</v>
      </c>
      <c r="AV2734" t="s">
        <v>397</v>
      </c>
      <c r="AW2734" t="s">
        <v>3047</v>
      </c>
    </row>
    <row r="2735" spans="1:50">
      <c r="A2735" s="1" t="s">
        <v>3170</v>
      </c>
      <c r="B2735" t="s">
        <v>164</v>
      </c>
      <c r="C2735" t="s">
        <v>5945</v>
      </c>
      <c r="D2735" t="s">
        <v>206</v>
      </c>
      <c r="E2735" t="s">
        <v>354</v>
      </c>
      <c r="F2735" t="s">
        <v>438</v>
      </c>
      <c r="G2735" t="s">
        <v>8906</v>
      </c>
      <c r="H2735" t="s">
        <v>10648</v>
      </c>
      <c r="I2735" t="s">
        <v>1540</v>
      </c>
      <c r="J2735" t="s">
        <v>1643</v>
      </c>
      <c r="K2735">
        <v>10033</v>
      </c>
      <c r="L2735" t="s">
        <v>1670</v>
      </c>
      <c r="M2735" t="s">
        <v>1672</v>
      </c>
      <c r="N2735" t="s">
        <v>12671</v>
      </c>
      <c r="O2735" t="s">
        <v>1940</v>
      </c>
      <c r="P2735" t="s">
        <v>1958</v>
      </c>
      <c r="Q2735" t="s">
        <v>1965</v>
      </c>
      <c r="R2735" t="s">
        <v>50</v>
      </c>
      <c r="S2735" t="s">
        <v>1671</v>
      </c>
      <c r="U2735" t="s">
        <v>1972</v>
      </c>
      <c r="V2735" t="s">
        <v>1984</v>
      </c>
      <c r="W2735" t="s">
        <v>206</v>
      </c>
      <c r="X2735">
        <v>825</v>
      </c>
      <c r="Y2735" t="s">
        <v>2008</v>
      </c>
      <c r="Z2735" t="s">
        <v>2014</v>
      </c>
      <c r="AA2735" t="s">
        <v>2029</v>
      </c>
      <c r="AB2735" t="s">
        <v>14951</v>
      </c>
      <c r="AC2735" t="s">
        <v>15301</v>
      </c>
      <c r="AD2735" t="s">
        <v>17355</v>
      </c>
      <c r="AE2735">
        <v>50</v>
      </c>
      <c r="AF2735" t="s">
        <v>2908</v>
      </c>
      <c r="AG2735" t="s">
        <v>1754</v>
      </c>
      <c r="AH2735">
        <v>15</v>
      </c>
      <c r="AI2735">
        <v>2</v>
      </c>
      <c r="AJ2735">
        <v>0</v>
      </c>
      <c r="AK2735">
        <v>180.7</v>
      </c>
      <c r="AN2735" t="s">
        <v>2927</v>
      </c>
      <c r="AO2735">
        <v>30556</v>
      </c>
      <c r="AU2735">
        <v>2.7</v>
      </c>
      <c r="AV2735" t="s">
        <v>334</v>
      </c>
      <c r="AW2735" t="s">
        <v>3051</v>
      </c>
      <c r="AX2735" t="s">
        <v>18685</v>
      </c>
    </row>
    <row r="2736" spans="1:50">
      <c r="A2736" s="1" t="s">
        <v>54</v>
      </c>
      <c r="B2736" t="s">
        <v>164</v>
      </c>
      <c r="C2736" t="s">
        <v>5946</v>
      </c>
      <c r="D2736" t="s">
        <v>226</v>
      </c>
      <c r="E2736" t="s">
        <v>392</v>
      </c>
      <c r="F2736" t="s">
        <v>758</v>
      </c>
      <c r="G2736" t="s">
        <v>893</v>
      </c>
      <c r="H2736" t="s">
        <v>10292</v>
      </c>
      <c r="I2736" t="s">
        <v>1539</v>
      </c>
      <c r="J2736" t="s">
        <v>1643</v>
      </c>
      <c r="K2736">
        <v>10034</v>
      </c>
      <c r="L2736" t="s">
        <v>1670</v>
      </c>
      <c r="M2736" t="s">
        <v>1670</v>
      </c>
      <c r="N2736" t="s">
        <v>12672</v>
      </c>
      <c r="O2736" t="s">
        <v>1936</v>
      </c>
      <c r="P2736" t="s">
        <v>1958</v>
      </c>
      <c r="Q2736" t="s">
        <v>1965</v>
      </c>
      <c r="R2736" t="s">
        <v>50</v>
      </c>
      <c r="S2736" t="s">
        <v>1671</v>
      </c>
      <c r="U2736" t="s">
        <v>1972</v>
      </c>
      <c r="W2736" t="s">
        <v>226</v>
      </c>
      <c r="X2736">
        <v>1241</v>
      </c>
      <c r="Y2736" t="s">
        <v>2008</v>
      </c>
      <c r="Z2736" t="s">
        <v>2014</v>
      </c>
      <c r="AA2736" t="s">
        <v>2029</v>
      </c>
      <c r="AB2736" t="s">
        <v>14952</v>
      </c>
      <c r="AC2736" t="s">
        <v>15302</v>
      </c>
      <c r="AD2736" t="s">
        <v>17356</v>
      </c>
      <c r="AE2736">
        <v>73</v>
      </c>
      <c r="AF2736" t="s">
        <v>2902</v>
      </c>
      <c r="AG2736" t="s">
        <v>2919</v>
      </c>
      <c r="AH2736">
        <v>14</v>
      </c>
      <c r="AI2736">
        <v>3</v>
      </c>
      <c r="AJ2736">
        <v>0</v>
      </c>
      <c r="AK2736">
        <v>180.84</v>
      </c>
      <c r="AN2736" t="s">
        <v>2927</v>
      </c>
      <c r="AO2736">
        <v>38573.08</v>
      </c>
      <c r="AU2736">
        <v>2.8</v>
      </c>
      <c r="AV2736" t="s">
        <v>3036</v>
      </c>
      <c r="AW2736" t="s">
        <v>3061</v>
      </c>
      <c r="AX2736" t="s">
        <v>18685</v>
      </c>
    </row>
    <row r="2737" spans="1:50">
      <c r="A2737" s="1" t="s">
        <v>73</v>
      </c>
      <c r="B2737" t="s">
        <v>164</v>
      </c>
      <c r="C2737" t="s">
        <v>5947</v>
      </c>
      <c r="D2737" t="s">
        <v>252</v>
      </c>
      <c r="E2737" t="s">
        <v>377</v>
      </c>
      <c r="F2737" t="s">
        <v>7814</v>
      </c>
      <c r="G2737" t="s">
        <v>9092</v>
      </c>
      <c r="H2737" t="s">
        <v>10649</v>
      </c>
      <c r="I2737" t="s">
        <v>1534</v>
      </c>
      <c r="J2737" t="s">
        <v>1658</v>
      </c>
      <c r="K2737">
        <v>11415</v>
      </c>
      <c r="L2737" t="s">
        <v>1670</v>
      </c>
      <c r="M2737" t="s">
        <v>1670</v>
      </c>
      <c r="N2737" t="s">
        <v>12673</v>
      </c>
      <c r="O2737" t="s">
        <v>1936</v>
      </c>
      <c r="P2737" t="s">
        <v>1958</v>
      </c>
      <c r="Q2737" t="s">
        <v>1965</v>
      </c>
      <c r="R2737" t="s">
        <v>50</v>
      </c>
      <c r="S2737" t="s">
        <v>1671</v>
      </c>
      <c r="U2737" t="s">
        <v>1972</v>
      </c>
      <c r="V2737" t="s">
        <v>1984</v>
      </c>
      <c r="W2737" t="s">
        <v>252</v>
      </c>
      <c r="X2737">
        <v>1670</v>
      </c>
      <c r="Y2737" t="s">
        <v>2007</v>
      </c>
      <c r="Z2737" t="s">
        <v>2014</v>
      </c>
      <c r="AA2737" t="s">
        <v>2029</v>
      </c>
      <c r="AB2737" t="s">
        <v>14953</v>
      </c>
      <c r="AD2737" t="s">
        <v>17357</v>
      </c>
      <c r="AE2737">
        <v>66</v>
      </c>
      <c r="AF2737" t="s">
        <v>2903</v>
      </c>
      <c r="AG2737" t="s">
        <v>1754</v>
      </c>
      <c r="AH2737">
        <v>2</v>
      </c>
      <c r="AI2737">
        <v>1</v>
      </c>
      <c r="AJ2737">
        <v>0</v>
      </c>
      <c r="AK2737">
        <v>181.19</v>
      </c>
      <c r="AN2737" t="s">
        <v>2926</v>
      </c>
      <c r="AO2737">
        <v>21996</v>
      </c>
      <c r="AU2737">
        <v>0.6</v>
      </c>
      <c r="AV2737" t="s">
        <v>377</v>
      </c>
      <c r="AW2737" t="s">
        <v>85</v>
      </c>
    </row>
    <row r="2738" spans="1:50">
      <c r="A2738" s="1" t="s">
        <v>136</v>
      </c>
      <c r="B2738" t="s">
        <v>163</v>
      </c>
      <c r="C2738" t="s">
        <v>5948</v>
      </c>
      <c r="D2738" t="s">
        <v>311</v>
      </c>
      <c r="F2738" t="s">
        <v>7815</v>
      </c>
      <c r="G2738" t="s">
        <v>8111</v>
      </c>
      <c r="H2738" t="s">
        <v>1117</v>
      </c>
      <c r="I2738">
        <v>1</v>
      </c>
      <c r="J2738" t="s">
        <v>1644</v>
      </c>
      <c r="K2738">
        <v>11221</v>
      </c>
      <c r="L2738" t="s">
        <v>1670</v>
      </c>
      <c r="M2738" t="s">
        <v>1670</v>
      </c>
      <c r="N2738" t="s">
        <v>12240</v>
      </c>
      <c r="O2738" t="s">
        <v>1939</v>
      </c>
      <c r="P2738" t="s">
        <v>1960</v>
      </c>
      <c r="R2738" t="s">
        <v>50</v>
      </c>
      <c r="U2738" t="s">
        <v>1972</v>
      </c>
      <c r="W2738" t="s">
        <v>311</v>
      </c>
      <c r="X2738">
        <v>1000</v>
      </c>
      <c r="Y2738" t="s">
        <v>2009</v>
      </c>
      <c r="Z2738" t="s">
        <v>2020</v>
      </c>
      <c r="AB2738" t="s">
        <v>14954</v>
      </c>
      <c r="AD2738" t="s">
        <v>17358</v>
      </c>
      <c r="AE2738">
        <v>7</v>
      </c>
      <c r="AG2738" t="s">
        <v>1754</v>
      </c>
      <c r="AH2738">
        <v>1</v>
      </c>
      <c r="AI2738">
        <v>1</v>
      </c>
      <c r="AJ2738">
        <v>0</v>
      </c>
      <c r="AK2738">
        <v>181.22</v>
      </c>
      <c r="AN2738" t="s">
        <v>2926</v>
      </c>
      <c r="AO2738">
        <v>22000</v>
      </c>
      <c r="AU2738">
        <v>43.2</v>
      </c>
      <c r="AV2738" t="s">
        <v>353</v>
      </c>
      <c r="AW2738" t="s">
        <v>3063</v>
      </c>
    </row>
    <row r="2739" spans="1:50">
      <c r="A2739" s="1" t="s">
        <v>130</v>
      </c>
      <c r="B2739" t="s">
        <v>164</v>
      </c>
      <c r="C2739" t="s">
        <v>5949</v>
      </c>
      <c r="D2739" t="s">
        <v>328</v>
      </c>
      <c r="E2739" t="s">
        <v>249</v>
      </c>
      <c r="F2739" t="s">
        <v>7816</v>
      </c>
      <c r="G2739" t="s">
        <v>8057</v>
      </c>
      <c r="H2739" t="s">
        <v>9974</v>
      </c>
      <c r="I2739" t="s">
        <v>1562</v>
      </c>
      <c r="J2739" t="s">
        <v>1644</v>
      </c>
      <c r="K2739">
        <v>11212</v>
      </c>
      <c r="L2739" t="s">
        <v>1670</v>
      </c>
      <c r="M2739" t="s">
        <v>1672</v>
      </c>
      <c r="N2739" t="s">
        <v>1691</v>
      </c>
      <c r="O2739" t="s">
        <v>1675</v>
      </c>
      <c r="P2739" t="s">
        <v>1962</v>
      </c>
      <c r="Q2739" t="s">
        <v>1968</v>
      </c>
      <c r="R2739" t="s">
        <v>50</v>
      </c>
      <c r="U2739" t="s">
        <v>1972</v>
      </c>
      <c r="V2739" t="s">
        <v>1984</v>
      </c>
      <c r="W2739" t="s">
        <v>269</v>
      </c>
      <c r="X2739">
        <v>1400</v>
      </c>
      <c r="Y2739" t="s">
        <v>2009</v>
      </c>
      <c r="Z2739" t="s">
        <v>2026</v>
      </c>
      <c r="AA2739" t="s">
        <v>2031</v>
      </c>
      <c r="AB2739" t="s">
        <v>14955</v>
      </c>
      <c r="AD2739" t="s">
        <v>17359</v>
      </c>
      <c r="AE2739">
        <v>4</v>
      </c>
      <c r="AF2739" t="s">
        <v>2902</v>
      </c>
      <c r="AG2739" t="s">
        <v>1754</v>
      </c>
      <c r="AH2739">
        <v>3</v>
      </c>
      <c r="AI2739">
        <v>1</v>
      </c>
      <c r="AJ2739">
        <v>0</v>
      </c>
      <c r="AK2739">
        <v>181.49</v>
      </c>
      <c r="AN2739" t="s">
        <v>2926</v>
      </c>
      <c r="AO2739">
        <v>22668</v>
      </c>
      <c r="AU2739">
        <v>0.1</v>
      </c>
      <c r="AV2739" t="s">
        <v>249</v>
      </c>
      <c r="AW2739" t="s">
        <v>3060</v>
      </c>
      <c r="AX2739" t="s">
        <v>18685</v>
      </c>
    </row>
    <row r="2740" spans="1:50">
      <c r="A2740" s="1" t="s">
        <v>133</v>
      </c>
      <c r="B2740" t="s">
        <v>163</v>
      </c>
      <c r="C2740" t="s">
        <v>5950</v>
      </c>
      <c r="D2740" t="s">
        <v>252</v>
      </c>
      <c r="F2740" t="s">
        <v>7809</v>
      </c>
      <c r="G2740" t="s">
        <v>9081</v>
      </c>
      <c r="H2740" t="s">
        <v>1380</v>
      </c>
      <c r="J2740" t="s">
        <v>1644</v>
      </c>
      <c r="K2740">
        <v>11213</v>
      </c>
      <c r="L2740" t="s">
        <v>1670</v>
      </c>
      <c r="M2740" t="s">
        <v>1670</v>
      </c>
      <c r="N2740" t="s">
        <v>12642</v>
      </c>
      <c r="O2740" t="s">
        <v>1939</v>
      </c>
      <c r="P2740" t="s">
        <v>1960</v>
      </c>
      <c r="R2740" t="s">
        <v>50</v>
      </c>
      <c r="S2740" t="s">
        <v>1670</v>
      </c>
      <c r="U2740" t="s">
        <v>1972</v>
      </c>
      <c r="V2740" t="s">
        <v>1984</v>
      </c>
      <c r="W2740" t="s">
        <v>13041</v>
      </c>
      <c r="X2740">
        <v>678.92</v>
      </c>
      <c r="Y2740" t="s">
        <v>2009</v>
      </c>
      <c r="Z2740" t="s">
        <v>2015</v>
      </c>
      <c r="AB2740" t="s">
        <v>14936</v>
      </c>
      <c r="AC2740" t="s">
        <v>1754</v>
      </c>
      <c r="AD2740" t="s">
        <v>17342</v>
      </c>
      <c r="AE2740">
        <v>35</v>
      </c>
      <c r="AF2740" t="s">
        <v>2902</v>
      </c>
      <c r="AG2740" t="s">
        <v>1754</v>
      </c>
      <c r="AH2740">
        <v>22</v>
      </c>
      <c r="AI2740">
        <v>1</v>
      </c>
      <c r="AJ2740">
        <v>0</v>
      </c>
      <c r="AK2740">
        <v>181.64</v>
      </c>
      <c r="AM2740" t="s">
        <v>18032</v>
      </c>
      <c r="AN2740" t="s">
        <v>2926</v>
      </c>
      <c r="AO2740">
        <v>22051</v>
      </c>
      <c r="AU2740">
        <v>0.1</v>
      </c>
      <c r="AV2740" t="s">
        <v>303</v>
      </c>
      <c r="AW2740" t="s">
        <v>3060</v>
      </c>
      <c r="AX2740" t="s">
        <v>18685</v>
      </c>
    </row>
    <row r="2741" spans="1:50">
      <c r="A2741" s="1" t="s">
        <v>52</v>
      </c>
      <c r="B2741" t="s">
        <v>163</v>
      </c>
      <c r="C2741" t="s">
        <v>5951</v>
      </c>
      <c r="D2741" t="s">
        <v>174</v>
      </c>
      <c r="F2741" t="s">
        <v>7299</v>
      </c>
      <c r="G2741" t="s">
        <v>8823</v>
      </c>
      <c r="H2741" t="s">
        <v>1136</v>
      </c>
      <c r="I2741" t="s">
        <v>1539</v>
      </c>
      <c r="J2741" t="s">
        <v>1641</v>
      </c>
      <c r="K2741">
        <v>10457</v>
      </c>
      <c r="L2741" t="s">
        <v>1670</v>
      </c>
      <c r="M2741" t="s">
        <v>1670</v>
      </c>
      <c r="N2741" t="s">
        <v>1696</v>
      </c>
      <c r="O2741" t="s">
        <v>1939</v>
      </c>
      <c r="P2741" t="s">
        <v>1960</v>
      </c>
      <c r="R2741" t="s">
        <v>50</v>
      </c>
      <c r="S2741" t="s">
        <v>1670</v>
      </c>
      <c r="U2741" t="s">
        <v>1972</v>
      </c>
      <c r="W2741" t="s">
        <v>359</v>
      </c>
      <c r="X2741">
        <v>1022.34</v>
      </c>
      <c r="Y2741" t="s">
        <v>2006</v>
      </c>
      <c r="Z2741" t="s">
        <v>2015</v>
      </c>
      <c r="AB2741" t="s">
        <v>14956</v>
      </c>
      <c r="AD2741" t="s">
        <v>17360</v>
      </c>
      <c r="AE2741">
        <v>48</v>
      </c>
      <c r="AF2741" t="s">
        <v>2902</v>
      </c>
      <c r="AG2741" t="s">
        <v>2915</v>
      </c>
      <c r="AH2741">
        <v>15</v>
      </c>
      <c r="AI2741">
        <v>1</v>
      </c>
      <c r="AJ2741">
        <v>0</v>
      </c>
      <c r="AK2741">
        <v>182.04</v>
      </c>
      <c r="AN2741" t="s">
        <v>2927</v>
      </c>
      <c r="AO2741">
        <v>22100</v>
      </c>
      <c r="AU2741">
        <v>2.1</v>
      </c>
      <c r="AV2741" t="s">
        <v>171</v>
      </c>
      <c r="AW2741" t="s">
        <v>98</v>
      </c>
    </row>
    <row r="2742" spans="1:50">
      <c r="A2742" s="1" t="s">
        <v>94</v>
      </c>
      <c r="B2742" t="s">
        <v>164</v>
      </c>
      <c r="C2742" t="s">
        <v>5952</v>
      </c>
      <c r="D2742" t="s">
        <v>264</v>
      </c>
      <c r="E2742" t="s">
        <v>173</v>
      </c>
      <c r="F2742" t="s">
        <v>438</v>
      </c>
      <c r="G2742" t="s">
        <v>9093</v>
      </c>
      <c r="H2742" t="s">
        <v>10650</v>
      </c>
      <c r="I2742" t="s">
        <v>1522</v>
      </c>
      <c r="J2742" t="s">
        <v>1643</v>
      </c>
      <c r="K2742">
        <v>10032</v>
      </c>
      <c r="L2742" t="s">
        <v>1670</v>
      </c>
      <c r="M2742" t="s">
        <v>1670</v>
      </c>
      <c r="O2742" t="s">
        <v>1675</v>
      </c>
      <c r="P2742" t="s">
        <v>1962</v>
      </c>
      <c r="Q2742" t="s">
        <v>1965</v>
      </c>
      <c r="R2742" t="s">
        <v>50</v>
      </c>
      <c r="S2742" t="s">
        <v>1671</v>
      </c>
      <c r="U2742" t="s">
        <v>1972</v>
      </c>
      <c r="W2742" t="s">
        <v>264</v>
      </c>
      <c r="X2742">
        <v>1537.34</v>
      </c>
      <c r="Y2742" t="s">
        <v>2008</v>
      </c>
      <c r="Z2742" t="s">
        <v>2013</v>
      </c>
      <c r="AA2742" t="s">
        <v>2029</v>
      </c>
      <c r="AB2742" t="s">
        <v>14957</v>
      </c>
      <c r="AD2742" t="s">
        <v>17361</v>
      </c>
      <c r="AE2742">
        <v>74</v>
      </c>
      <c r="AF2742" t="s">
        <v>2902</v>
      </c>
      <c r="AG2742" t="s">
        <v>1754</v>
      </c>
      <c r="AH2742">
        <v>14</v>
      </c>
      <c r="AI2742">
        <v>2</v>
      </c>
      <c r="AJ2742">
        <v>0</v>
      </c>
      <c r="AK2742">
        <v>182.26</v>
      </c>
      <c r="AN2742" t="s">
        <v>2927</v>
      </c>
      <c r="AO2742">
        <v>30000</v>
      </c>
      <c r="AU2742">
        <v>0.3</v>
      </c>
      <c r="AV2742" t="s">
        <v>173</v>
      </c>
      <c r="AW2742" t="s">
        <v>3042</v>
      </c>
    </row>
    <row r="2743" spans="1:50">
      <c r="A2743" s="1" t="s">
        <v>111</v>
      </c>
      <c r="B2743" t="s">
        <v>163</v>
      </c>
      <c r="C2743" t="s">
        <v>5953</v>
      </c>
      <c r="D2743" t="s">
        <v>6159</v>
      </c>
      <c r="F2743" t="s">
        <v>427</v>
      </c>
      <c r="G2743" t="s">
        <v>855</v>
      </c>
      <c r="H2743" t="s">
        <v>1260</v>
      </c>
      <c r="I2743" t="s">
        <v>1569</v>
      </c>
      <c r="J2743" t="s">
        <v>1641</v>
      </c>
      <c r="K2743">
        <v>10453</v>
      </c>
      <c r="L2743" t="s">
        <v>1670</v>
      </c>
      <c r="M2743" t="s">
        <v>1670</v>
      </c>
      <c r="O2743" t="s">
        <v>1675</v>
      </c>
      <c r="P2743" t="s">
        <v>1959</v>
      </c>
      <c r="R2743" t="s">
        <v>50</v>
      </c>
      <c r="S2743" t="s">
        <v>1670</v>
      </c>
      <c r="U2743" t="s">
        <v>1972</v>
      </c>
      <c r="W2743" t="s">
        <v>222</v>
      </c>
      <c r="X2743">
        <v>692.88</v>
      </c>
      <c r="Y2743" t="s">
        <v>2006</v>
      </c>
      <c r="Z2743" t="s">
        <v>2015</v>
      </c>
      <c r="AB2743" t="s">
        <v>14958</v>
      </c>
      <c r="AD2743" t="s">
        <v>17362</v>
      </c>
      <c r="AE2743">
        <v>44</v>
      </c>
      <c r="AF2743" t="s">
        <v>2902</v>
      </c>
      <c r="AG2743" t="s">
        <v>1754</v>
      </c>
      <c r="AH2743">
        <v>27</v>
      </c>
      <c r="AI2743">
        <v>2</v>
      </c>
      <c r="AJ2743">
        <v>0</v>
      </c>
      <c r="AK2743">
        <v>182.26</v>
      </c>
      <c r="AN2743" t="s">
        <v>2926</v>
      </c>
      <c r="AO2743">
        <v>30000</v>
      </c>
      <c r="AU2743" t="s">
        <v>13051</v>
      </c>
      <c r="AW2743" t="s">
        <v>3047</v>
      </c>
      <c r="AX2743" t="s">
        <v>18685</v>
      </c>
    </row>
    <row r="2744" spans="1:50">
      <c r="A2744" s="1" t="s">
        <v>111</v>
      </c>
      <c r="B2744" t="s">
        <v>163</v>
      </c>
      <c r="C2744" t="s">
        <v>5954</v>
      </c>
      <c r="D2744" t="s">
        <v>174</v>
      </c>
      <c r="F2744" t="s">
        <v>427</v>
      </c>
      <c r="G2744" t="s">
        <v>855</v>
      </c>
      <c r="H2744" t="s">
        <v>1260</v>
      </c>
      <c r="I2744" t="s">
        <v>1569</v>
      </c>
      <c r="J2744" t="s">
        <v>1641</v>
      </c>
      <c r="K2744">
        <v>10453</v>
      </c>
      <c r="L2744" t="s">
        <v>1670</v>
      </c>
      <c r="M2744" t="s">
        <v>1670</v>
      </c>
      <c r="O2744" t="s">
        <v>1938</v>
      </c>
      <c r="P2744" t="s">
        <v>1961</v>
      </c>
      <c r="R2744" t="s">
        <v>50</v>
      </c>
      <c r="S2744" t="s">
        <v>1670</v>
      </c>
      <c r="U2744" t="s">
        <v>1972</v>
      </c>
      <c r="W2744" t="s">
        <v>283</v>
      </c>
      <c r="X2744">
        <v>692.88</v>
      </c>
      <c r="Y2744" t="s">
        <v>2006</v>
      </c>
      <c r="Z2744" t="s">
        <v>2015</v>
      </c>
      <c r="AB2744" t="s">
        <v>14958</v>
      </c>
      <c r="AD2744" t="s">
        <v>17362</v>
      </c>
      <c r="AE2744" t="s">
        <v>13051</v>
      </c>
      <c r="AF2744" t="s">
        <v>2902</v>
      </c>
      <c r="AG2744" t="s">
        <v>1754</v>
      </c>
      <c r="AH2744">
        <v>27</v>
      </c>
      <c r="AI2744">
        <v>2</v>
      </c>
      <c r="AJ2744">
        <v>0</v>
      </c>
      <c r="AK2744">
        <v>182.26</v>
      </c>
      <c r="AN2744" t="s">
        <v>2926</v>
      </c>
      <c r="AO2744">
        <v>30000</v>
      </c>
      <c r="AU2744" t="s">
        <v>13051</v>
      </c>
      <c r="AW2744" t="s">
        <v>3047</v>
      </c>
    </row>
    <row r="2745" spans="1:50">
      <c r="A2745" s="1" t="s">
        <v>111</v>
      </c>
      <c r="B2745" t="s">
        <v>163</v>
      </c>
      <c r="C2745" t="s">
        <v>5955</v>
      </c>
      <c r="D2745" t="s">
        <v>174</v>
      </c>
      <c r="F2745" t="s">
        <v>427</v>
      </c>
      <c r="G2745" t="s">
        <v>855</v>
      </c>
      <c r="H2745" t="s">
        <v>1260</v>
      </c>
      <c r="I2745" t="s">
        <v>1569</v>
      </c>
      <c r="J2745" t="s">
        <v>1641</v>
      </c>
      <c r="K2745">
        <v>10453</v>
      </c>
      <c r="L2745" t="s">
        <v>1670</v>
      </c>
      <c r="M2745" t="s">
        <v>1670</v>
      </c>
      <c r="O2745" t="s">
        <v>1939</v>
      </c>
      <c r="P2745" t="s">
        <v>1960</v>
      </c>
      <c r="R2745" t="s">
        <v>50</v>
      </c>
      <c r="U2745" t="s">
        <v>1972</v>
      </c>
      <c r="W2745" t="s">
        <v>248</v>
      </c>
      <c r="X2745">
        <v>692.88</v>
      </c>
      <c r="Y2745" t="s">
        <v>2006</v>
      </c>
      <c r="Z2745" t="s">
        <v>2015</v>
      </c>
      <c r="AB2745" t="s">
        <v>14958</v>
      </c>
      <c r="AD2745" t="s">
        <v>17362</v>
      </c>
      <c r="AE2745">
        <v>44</v>
      </c>
      <c r="AF2745" t="s">
        <v>2902</v>
      </c>
      <c r="AG2745" t="s">
        <v>1754</v>
      </c>
      <c r="AH2745">
        <v>27</v>
      </c>
      <c r="AI2745">
        <v>2</v>
      </c>
      <c r="AJ2745">
        <v>0</v>
      </c>
      <c r="AK2745">
        <v>182.26</v>
      </c>
      <c r="AN2745" t="s">
        <v>2926</v>
      </c>
      <c r="AO2745">
        <v>30000</v>
      </c>
      <c r="AU2745" t="s">
        <v>13051</v>
      </c>
      <c r="AW2745" t="s">
        <v>3047</v>
      </c>
    </row>
    <row r="2746" spans="1:50">
      <c r="A2746" s="1" t="s">
        <v>101</v>
      </c>
      <c r="B2746" t="s">
        <v>163</v>
      </c>
      <c r="C2746" t="s">
        <v>5956</v>
      </c>
      <c r="D2746" t="s">
        <v>356</v>
      </c>
      <c r="F2746" t="s">
        <v>530</v>
      </c>
      <c r="G2746" t="s">
        <v>7934</v>
      </c>
      <c r="H2746" t="s">
        <v>9440</v>
      </c>
      <c r="I2746">
        <v>34</v>
      </c>
      <c r="J2746" t="s">
        <v>1643</v>
      </c>
      <c r="K2746">
        <v>10039</v>
      </c>
      <c r="L2746" t="s">
        <v>1670</v>
      </c>
      <c r="M2746" t="s">
        <v>1670</v>
      </c>
      <c r="N2746" t="s">
        <v>11886</v>
      </c>
      <c r="O2746" t="s">
        <v>1939</v>
      </c>
      <c r="P2746" t="s">
        <v>1960</v>
      </c>
      <c r="R2746" t="s">
        <v>50</v>
      </c>
      <c r="S2746" t="s">
        <v>1670</v>
      </c>
      <c r="U2746" t="s">
        <v>1972</v>
      </c>
      <c r="V2746" t="s">
        <v>1984</v>
      </c>
      <c r="W2746" t="s">
        <v>238</v>
      </c>
      <c r="X2746">
        <v>1600</v>
      </c>
      <c r="Y2746" t="s">
        <v>2008</v>
      </c>
      <c r="Z2746" t="s">
        <v>2013</v>
      </c>
      <c r="AB2746" t="s">
        <v>13158</v>
      </c>
      <c r="AD2746" t="s">
        <v>15770</v>
      </c>
      <c r="AE2746">
        <v>24</v>
      </c>
      <c r="AF2746" t="s">
        <v>2913</v>
      </c>
      <c r="AG2746" t="s">
        <v>1754</v>
      </c>
      <c r="AH2746">
        <v>4</v>
      </c>
      <c r="AI2746">
        <v>1</v>
      </c>
      <c r="AJ2746">
        <v>0</v>
      </c>
      <c r="AK2746">
        <v>182.37</v>
      </c>
      <c r="AN2746" t="s">
        <v>2926</v>
      </c>
      <c r="AO2746">
        <v>22140</v>
      </c>
      <c r="AU2746">
        <v>44.9</v>
      </c>
      <c r="AV2746" t="s">
        <v>400</v>
      </c>
      <c r="AW2746" t="s">
        <v>3051</v>
      </c>
      <c r="AX2746" t="s">
        <v>18685</v>
      </c>
    </row>
    <row r="2747" spans="1:50">
      <c r="A2747" s="1" t="s">
        <v>94</v>
      </c>
      <c r="B2747" t="s">
        <v>163</v>
      </c>
      <c r="C2747" t="s">
        <v>5957</v>
      </c>
      <c r="D2747" t="s">
        <v>212</v>
      </c>
      <c r="F2747" t="s">
        <v>7817</v>
      </c>
      <c r="G2747" t="s">
        <v>806</v>
      </c>
      <c r="H2747" t="s">
        <v>9541</v>
      </c>
      <c r="I2747">
        <v>1</v>
      </c>
      <c r="J2747" t="s">
        <v>1643</v>
      </c>
      <c r="K2747">
        <v>10034</v>
      </c>
      <c r="L2747" t="s">
        <v>1670</v>
      </c>
      <c r="M2747" t="s">
        <v>1670</v>
      </c>
      <c r="O2747" t="s">
        <v>1939</v>
      </c>
      <c r="P2747" t="s">
        <v>1959</v>
      </c>
      <c r="R2747" t="s">
        <v>50</v>
      </c>
      <c r="S2747" t="s">
        <v>1670</v>
      </c>
      <c r="U2747" t="s">
        <v>1972</v>
      </c>
      <c r="W2747" t="s">
        <v>212</v>
      </c>
      <c r="X2747">
        <v>1400</v>
      </c>
      <c r="Y2747" t="s">
        <v>2008</v>
      </c>
      <c r="Z2747" t="s">
        <v>2013</v>
      </c>
      <c r="AB2747" t="s">
        <v>14959</v>
      </c>
      <c r="AD2747" t="s">
        <v>17363</v>
      </c>
      <c r="AE2747">
        <v>20</v>
      </c>
      <c r="AF2747" t="s">
        <v>2902</v>
      </c>
      <c r="AG2747" t="s">
        <v>2017</v>
      </c>
      <c r="AH2747">
        <v>10</v>
      </c>
      <c r="AI2747">
        <v>1</v>
      </c>
      <c r="AJ2747">
        <v>0</v>
      </c>
      <c r="AK2747">
        <v>182.55</v>
      </c>
      <c r="AN2747" t="s">
        <v>2927</v>
      </c>
      <c r="AO2747">
        <v>22800</v>
      </c>
      <c r="AU2747">
        <v>11.9</v>
      </c>
      <c r="AV2747" t="s">
        <v>397</v>
      </c>
      <c r="AW2747" t="s">
        <v>3042</v>
      </c>
    </row>
    <row r="2748" spans="1:50">
      <c r="A2748" s="1" t="s">
        <v>54</v>
      </c>
      <c r="B2748" t="s">
        <v>164</v>
      </c>
      <c r="C2748" t="s">
        <v>5958</v>
      </c>
      <c r="D2748" t="s">
        <v>6214</v>
      </c>
      <c r="E2748" t="s">
        <v>408</v>
      </c>
      <c r="F2748" t="s">
        <v>7489</v>
      </c>
      <c r="G2748" t="s">
        <v>8556</v>
      </c>
      <c r="H2748" t="s">
        <v>10522</v>
      </c>
      <c r="I2748" t="s">
        <v>1589</v>
      </c>
      <c r="J2748" t="s">
        <v>1643</v>
      </c>
      <c r="K2748">
        <v>10034</v>
      </c>
      <c r="L2748" t="s">
        <v>1670</v>
      </c>
      <c r="M2748" t="s">
        <v>1670</v>
      </c>
      <c r="O2748" t="s">
        <v>2017</v>
      </c>
      <c r="P2748" t="s">
        <v>1960</v>
      </c>
      <c r="Q2748" t="s">
        <v>1969</v>
      </c>
      <c r="R2748" t="s">
        <v>50</v>
      </c>
      <c r="S2748" t="s">
        <v>1671</v>
      </c>
      <c r="U2748" t="s">
        <v>1972</v>
      </c>
      <c r="W2748" t="s">
        <v>1989</v>
      </c>
      <c r="X2748">
        <v>1100</v>
      </c>
      <c r="Y2748" t="s">
        <v>2008</v>
      </c>
      <c r="Z2748" t="s">
        <v>2013</v>
      </c>
      <c r="AA2748" t="s">
        <v>2032</v>
      </c>
      <c r="AB2748" t="s">
        <v>14960</v>
      </c>
      <c r="AD2748" t="s">
        <v>17364</v>
      </c>
      <c r="AE2748">
        <v>66</v>
      </c>
      <c r="AF2748" t="s">
        <v>2902</v>
      </c>
      <c r="AG2748" t="s">
        <v>1754</v>
      </c>
      <c r="AH2748">
        <v>31</v>
      </c>
      <c r="AI2748">
        <v>1</v>
      </c>
      <c r="AJ2748">
        <v>0</v>
      </c>
      <c r="AK2748">
        <v>183.25</v>
      </c>
      <c r="AN2748" t="s">
        <v>2927</v>
      </c>
      <c r="AO2748">
        <v>22100</v>
      </c>
      <c r="AU2748">
        <v>18.4</v>
      </c>
      <c r="AV2748" t="s">
        <v>323</v>
      </c>
      <c r="AW2748" t="s">
        <v>3042</v>
      </c>
    </row>
    <row r="2749" spans="1:50">
      <c r="A2749" s="1" t="s">
        <v>97</v>
      </c>
      <c r="B2749" t="s">
        <v>163</v>
      </c>
      <c r="C2749" t="s">
        <v>5959</v>
      </c>
      <c r="D2749" t="s">
        <v>285</v>
      </c>
      <c r="F2749" t="s">
        <v>438</v>
      </c>
      <c r="G2749" t="s">
        <v>963</v>
      </c>
      <c r="H2749" t="s">
        <v>1244</v>
      </c>
      <c r="I2749">
        <v>55</v>
      </c>
      <c r="J2749" t="s">
        <v>1643</v>
      </c>
      <c r="K2749">
        <v>10034</v>
      </c>
      <c r="L2749" t="s">
        <v>1670</v>
      </c>
      <c r="M2749" t="s">
        <v>1670</v>
      </c>
      <c r="N2749" t="s">
        <v>1771</v>
      </c>
      <c r="O2749" t="s">
        <v>1939</v>
      </c>
      <c r="P2749" t="s">
        <v>1960</v>
      </c>
      <c r="R2749" t="s">
        <v>50</v>
      </c>
      <c r="S2749" t="s">
        <v>1670</v>
      </c>
      <c r="U2749" t="s">
        <v>1972</v>
      </c>
      <c r="W2749" t="s">
        <v>285</v>
      </c>
      <c r="X2749">
        <v>925.0700000000001</v>
      </c>
      <c r="Y2749" t="s">
        <v>2008</v>
      </c>
      <c r="Z2749" t="s">
        <v>2013</v>
      </c>
      <c r="AB2749" t="s">
        <v>14961</v>
      </c>
      <c r="AD2749" t="s">
        <v>17365</v>
      </c>
      <c r="AE2749">
        <v>25</v>
      </c>
      <c r="AF2749" t="s">
        <v>2902</v>
      </c>
      <c r="AG2749" t="s">
        <v>2915</v>
      </c>
      <c r="AH2749">
        <v>27</v>
      </c>
      <c r="AI2749">
        <v>2</v>
      </c>
      <c r="AJ2749">
        <v>0</v>
      </c>
      <c r="AK2749">
        <v>183.32</v>
      </c>
      <c r="AN2749" t="s">
        <v>2927</v>
      </c>
      <c r="AO2749">
        <v>31000</v>
      </c>
      <c r="AU2749">
        <v>1.72</v>
      </c>
      <c r="AV2749" t="s">
        <v>397</v>
      </c>
      <c r="AW2749" t="s">
        <v>3042</v>
      </c>
      <c r="AX2749" t="s">
        <v>18685</v>
      </c>
    </row>
    <row r="2750" spans="1:50">
      <c r="A2750" s="1" t="s">
        <v>135</v>
      </c>
      <c r="B2750" t="s">
        <v>164</v>
      </c>
      <c r="C2750" t="s">
        <v>5960</v>
      </c>
      <c r="D2750" t="s">
        <v>384</v>
      </c>
      <c r="E2750" t="s">
        <v>361</v>
      </c>
      <c r="F2750" t="s">
        <v>7818</v>
      </c>
      <c r="G2750" t="s">
        <v>9094</v>
      </c>
      <c r="H2750" t="s">
        <v>9632</v>
      </c>
      <c r="I2750" t="s">
        <v>1523</v>
      </c>
      <c r="J2750" t="s">
        <v>1644</v>
      </c>
      <c r="K2750">
        <v>11212</v>
      </c>
      <c r="L2750" t="s">
        <v>1670</v>
      </c>
      <c r="M2750" t="s">
        <v>1670</v>
      </c>
      <c r="N2750" t="s">
        <v>1693</v>
      </c>
      <c r="O2750" t="s">
        <v>1938</v>
      </c>
      <c r="P2750" t="s">
        <v>1958</v>
      </c>
      <c r="Q2750" t="s">
        <v>1965</v>
      </c>
      <c r="R2750" t="s">
        <v>50</v>
      </c>
      <c r="S2750" t="s">
        <v>1670</v>
      </c>
      <c r="U2750" t="s">
        <v>1972</v>
      </c>
      <c r="V2750" t="s">
        <v>1984</v>
      </c>
      <c r="W2750" t="s">
        <v>384</v>
      </c>
      <c r="X2750">
        <v>980</v>
      </c>
      <c r="Y2750" t="s">
        <v>2009</v>
      </c>
      <c r="Z2750" t="s">
        <v>2015</v>
      </c>
      <c r="AA2750" t="s">
        <v>2029</v>
      </c>
      <c r="AB2750" t="s">
        <v>14962</v>
      </c>
      <c r="AC2750" t="s">
        <v>15303</v>
      </c>
      <c r="AE2750">
        <v>82</v>
      </c>
      <c r="AF2750" t="s">
        <v>2902</v>
      </c>
      <c r="AG2750" t="s">
        <v>2919</v>
      </c>
      <c r="AH2750">
        <v>28</v>
      </c>
      <c r="AI2750">
        <v>1</v>
      </c>
      <c r="AJ2750">
        <v>0</v>
      </c>
      <c r="AK2750">
        <v>183.51</v>
      </c>
      <c r="AN2750" t="s">
        <v>2926</v>
      </c>
      <c r="AO2750">
        <v>22920</v>
      </c>
      <c r="AP2750" t="s">
        <v>18372</v>
      </c>
      <c r="AU2750">
        <v>3.1</v>
      </c>
      <c r="AV2750" t="s">
        <v>361</v>
      </c>
      <c r="AW2750" t="s">
        <v>3060</v>
      </c>
      <c r="AX2750" t="s">
        <v>18685</v>
      </c>
    </row>
    <row r="2751" spans="1:50">
      <c r="A2751" s="1" t="s">
        <v>135</v>
      </c>
      <c r="B2751" t="s">
        <v>164</v>
      </c>
      <c r="C2751" t="s">
        <v>5961</v>
      </c>
      <c r="D2751" t="s">
        <v>384</v>
      </c>
      <c r="E2751" t="s">
        <v>361</v>
      </c>
      <c r="F2751" t="s">
        <v>7818</v>
      </c>
      <c r="G2751" t="s">
        <v>9094</v>
      </c>
      <c r="H2751" t="s">
        <v>9632</v>
      </c>
      <c r="I2751" t="s">
        <v>1523</v>
      </c>
      <c r="J2751" t="s">
        <v>1644</v>
      </c>
      <c r="K2751">
        <v>11212</v>
      </c>
      <c r="L2751" t="s">
        <v>1670</v>
      </c>
      <c r="M2751" t="s">
        <v>1670</v>
      </c>
      <c r="N2751" t="s">
        <v>1693</v>
      </c>
      <c r="O2751" t="s">
        <v>1939</v>
      </c>
      <c r="P2751" t="s">
        <v>1958</v>
      </c>
      <c r="Q2751" t="s">
        <v>1965</v>
      </c>
      <c r="R2751" t="s">
        <v>50</v>
      </c>
      <c r="S2751" t="s">
        <v>1670</v>
      </c>
      <c r="U2751" t="s">
        <v>1972</v>
      </c>
      <c r="V2751" t="s">
        <v>1984</v>
      </c>
      <c r="W2751" t="s">
        <v>384</v>
      </c>
      <c r="X2751">
        <v>980</v>
      </c>
      <c r="Y2751" t="s">
        <v>2009</v>
      </c>
      <c r="AA2751" t="s">
        <v>2029</v>
      </c>
      <c r="AB2751" t="s">
        <v>14962</v>
      </c>
      <c r="AC2751" t="s">
        <v>15303</v>
      </c>
      <c r="AE2751">
        <v>38</v>
      </c>
      <c r="AF2751" t="s">
        <v>2902</v>
      </c>
      <c r="AG2751" t="s">
        <v>2919</v>
      </c>
      <c r="AH2751">
        <v>28</v>
      </c>
      <c r="AI2751">
        <v>1</v>
      </c>
      <c r="AJ2751">
        <v>0</v>
      </c>
      <c r="AK2751">
        <v>183.51</v>
      </c>
      <c r="AN2751" t="s">
        <v>2926</v>
      </c>
      <c r="AO2751">
        <v>22920</v>
      </c>
      <c r="AU2751">
        <v>1.9</v>
      </c>
      <c r="AV2751" t="s">
        <v>361</v>
      </c>
      <c r="AW2751" t="s">
        <v>3060</v>
      </c>
      <c r="AX2751" t="s">
        <v>18685</v>
      </c>
    </row>
    <row r="2752" spans="1:50">
      <c r="A2752" s="1" t="s">
        <v>69</v>
      </c>
      <c r="B2752" t="s">
        <v>164</v>
      </c>
      <c r="C2752" t="s">
        <v>5962</v>
      </c>
      <c r="D2752" t="s">
        <v>291</v>
      </c>
      <c r="E2752" t="s">
        <v>191</v>
      </c>
      <c r="F2752" t="s">
        <v>573</v>
      </c>
      <c r="G2752" t="s">
        <v>8177</v>
      </c>
      <c r="H2752" t="s">
        <v>10651</v>
      </c>
      <c r="I2752" t="s">
        <v>1484</v>
      </c>
      <c r="J2752" t="s">
        <v>1644</v>
      </c>
      <c r="K2752">
        <v>11206</v>
      </c>
      <c r="L2752" t="s">
        <v>1670</v>
      </c>
      <c r="M2752" t="s">
        <v>1672</v>
      </c>
      <c r="P2752" t="s">
        <v>1958</v>
      </c>
      <c r="Q2752" t="s">
        <v>1965</v>
      </c>
      <c r="R2752" t="s">
        <v>50</v>
      </c>
      <c r="U2752" t="s">
        <v>1972</v>
      </c>
      <c r="W2752" t="s">
        <v>291</v>
      </c>
      <c r="X2752" t="s">
        <v>13051</v>
      </c>
      <c r="Y2752" t="s">
        <v>2009</v>
      </c>
      <c r="AA2752" t="s">
        <v>2038</v>
      </c>
      <c r="AB2752" t="s">
        <v>14963</v>
      </c>
      <c r="AD2752" t="s">
        <v>17366</v>
      </c>
      <c r="AE2752" t="s">
        <v>13051</v>
      </c>
      <c r="AH2752" t="s">
        <v>13051</v>
      </c>
      <c r="AI2752">
        <v>1</v>
      </c>
      <c r="AJ2752">
        <v>0</v>
      </c>
      <c r="AK2752">
        <v>184.15</v>
      </c>
      <c r="AN2752" t="s">
        <v>2926</v>
      </c>
      <c r="AO2752">
        <v>23000</v>
      </c>
      <c r="AU2752">
        <v>0.5</v>
      </c>
      <c r="AV2752" t="s">
        <v>191</v>
      </c>
      <c r="AW2752" t="s">
        <v>69</v>
      </c>
    </row>
    <row r="2753" spans="1:50">
      <c r="A2753" s="1" t="s">
        <v>52</v>
      </c>
      <c r="B2753" t="s">
        <v>164</v>
      </c>
      <c r="C2753" t="s">
        <v>5963</v>
      </c>
      <c r="D2753" t="s">
        <v>210</v>
      </c>
      <c r="E2753" t="s">
        <v>3035</v>
      </c>
      <c r="F2753" t="s">
        <v>702</v>
      </c>
      <c r="G2753" t="s">
        <v>9095</v>
      </c>
      <c r="H2753" t="s">
        <v>10652</v>
      </c>
      <c r="I2753" t="s">
        <v>11439</v>
      </c>
      <c r="J2753" t="s">
        <v>1641</v>
      </c>
      <c r="K2753">
        <v>10452</v>
      </c>
      <c r="L2753" t="s">
        <v>1670</v>
      </c>
      <c r="M2753" t="s">
        <v>1670</v>
      </c>
      <c r="N2753" t="s">
        <v>12674</v>
      </c>
      <c r="O2753" t="s">
        <v>1936</v>
      </c>
      <c r="P2753" t="s">
        <v>1960</v>
      </c>
      <c r="Q2753" t="s">
        <v>1969</v>
      </c>
      <c r="R2753" t="s">
        <v>50</v>
      </c>
      <c r="S2753" t="s">
        <v>1671</v>
      </c>
      <c r="U2753" t="s">
        <v>1972</v>
      </c>
      <c r="V2753" t="s">
        <v>1985</v>
      </c>
      <c r="W2753" t="s">
        <v>190</v>
      </c>
      <c r="X2753">
        <v>876</v>
      </c>
      <c r="Y2753" t="s">
        <v>2006</v>
      </c>
      <c r="Z2753" t="s">
        <v>2014</v>
      </c>
      <c r="AA2753" t="s">
        <v>2032</v>
      </c>
      <c r="AB2753" t="s">
        <v>14964</v>
      </c>
      <c r="AD2753" t="s">
        <v>17367</v>
      </c>
      <c r="AE2753">
        <v>120</v>
      </c>
      <c r="AF2753" t="s">
        <v>2902</v>
      </c>
      <c r="AG2753" t="s">
        <v>2919</v>
      </c>
      <c r="AH2753">
        <v>28</v>
      </c>
      <c r="AI2753">
        <v>1</v>
      </c>
      <c r="AJ2753">
        <v>0</v>
      </c>
      <c r="AK2753">
        <v>184.15</v>
      </c>
      <c r="AN2753" t="s">
        <v>2926</v>
      </c>
      <c r="AO2753">
        <v>23000</v>
      </c>
      <c r="AQ2753" t="s">
        <v>2976</v>
      </c>
      <c r="AR2753" t="s">
        <v>18483</v>
      </c>
      <c r="AS2753" t="s">
        <v>2992</v>
      </c>
      <c r="AT2753" t="s">
        <v>3024</v>
      </c>
      <c r="AU2753">
        <v>31.5</v>
      </c>
      <c r="AV2753" t="s">
        <v>275</v>
      </c>
      <c r="AW2753" t="s">
        <v>18654</v>
      </c>
      <c r="AX2753" t="s">
        <v>18685</v>
      </c>
    </row>
    <row r="2754" spans="1:50">
      <c r="A2754" s="1" t="s">
        <v>152</v>
      </c>
      <c r="B2754" t="s">
        <v>163</v>
      </c>
      <c r="C2754" t="s">
        <v>5964</v>
      </c>
      <c r="D2754" t="s">
        <v>372</v>
      </c>
      <c r="F2754" t="s">
        <v>720</v>
      </c>
      <c r="G2754" t="s">
        <v>9096</v>
      </c>
      <c r="H2754" t="s">
        <v>10653</v>
      </c>
      <c r="I2754" t="s">
        <v>11345</v>
      </c>
      <c r="J2754" t="s">
        <v>1643</v>
      </c>
      <c r="K2754">
        <v>10128</v>
      </c>
      <c r="L2754" t="s">
        <v>1670</v>
      </c>
      <c r="M2754" t="s">
        <v>1670</v>
      </c>
      <c r="N2754" t="s">
        <v>12675</v>
      </c>
      <c r="O2754" t="s">
        <v>1936</v>
      </c>
      <c r="P2754" t="s">
        <v>1958</v>
      </c>
      <c r="R2754" t="s">
        <v>50</v>
      </c>
      <c r="S2754" t="s">
        <v>1671</v>
      </c>
      <c r="U2754" t="s">
        <v>1972</v>
      </c>
      <c r="W2754" t="s">
        <v>372</v>
      </c>
      <c r="X2754">
        <v>1741.4</v>
      </c>
      <c r="Y2754" t="s">
        <v>2008</v>
      </c>
      <c r="Z2754" t="s">
        <v>2017</v>
      </c>
      <c r="AB2754" t="s">
        <v>14965</v>
      </c>
      <c r="AD2754" t="s">
        <v>17368</v>
      </c>
      <c r="AE2754">
        <v>20</v>
      </c>
      <c r="AF2754" t="s">
        <v>2902</v>
      </c>
      <c r="AG2754" t="s">
        <v>1754</v>
      </c>
      <c r="AH2754">
        <v>28</v>
      </c>
      <c r="AI2754">
        <v>1</v>
      </c>
      <c r="AJ2754">
        <v>0</v>
      </c>
      <c r="AK2754">
        <v>184.18</v>
      </c>
      <c r="AN2754" t="s">
        <v>2926</v>
      </c>
      <c r="AO2754">
        <v>22360</v>
      </c>
      <c r="AU2754">
        <v>1.8</v>
      </c>
      <c r="AV2754" t="s">
        <v>312</v>
      </c>
      <c r="AW2754" t="s">
        <v>3051</v>
      </c>
    </row>
    <row r="2755" spans="1:50">
      <c r="A2755" s="1" t="s">
        <v>119</v>
      </c>
      <c r="B2755" t="s">
        <v>163</v>
      </c>
      <c r="C2755" t="s">
        <v>5965</v>
      </c>
      <c r="D2755" t="s">
        <v>236</v>
      </c>
      <c r="F2755" t="s">
        <v>7819</v>
      </c>
      <c r="G2755" t="s">
        <v>890</v>
      </c>
      <c r="H2755" t="s">
        <v>10654</v>
      </c>
      <c r="I2755" t="s">
        <v>10957</v>
      </c>
      <c r="J2755" t="s">
        <v>1644</v>
      </c>
      <c r="K2755">
        <v>11233</v>
      </c>
      <c r="L2755" t="s">
        <v>1670</v>
      </c>
      <c r="M2755" t="s">
        <v>1670</v>
      </c>
      <c r="N2755" t="s">
        <v>12676</v>
      </c>
      <c r="O2755" t="s">
        <v>1940</v>
      </c>
      <c r="P2755" t="s">
        <v>1960</v>
      </c>
      <c r="R2755" t="s">
        <v>50</v>
      </c>
      <c r="S2755" t="s">
        <v>13025</v>
      </c>
      <c r="U2755" t="s">
        <v>1972</v>
      </c>
      <c r="V2755" t="s">
        <v>1984</v>
      </c>
      <c r="W2755" t="s">
        <v>2001</v>
      </c>
      <c r="X2755">
        <v>1162</v>
      </c>
      <c r="Y2755" t="s">
        <v>2009</v>
      </c>
      <c r="Z2755" t="s">
        <v>2013</v>
      </c>
      <c r="AB2755" t="s">
        <v>14479</v>
      </c>
      <c r="AC2755" t="s">
        <v>1754</v>
      </c>
      <c r="AD2755" t="s">
        <v>17369</v>
      </c>
      <c r="AE2755">
        <v>8</v>
      </c>
      <c r="AF2755" t="s">
        <v>2902</v>
      </c>
      <c r="AG2755" t="s">
        <v>1754</v>
      </c>
      <c r="AH2755">
        <v>26</v>
      </c>
      <c r="AI2755">
        <v>4</v>
      </c>
      <c r="AJ2755">
        <v>0</v>
      </c>
      <c r="AK2755">
        <v>184.47</v>
      </c>
      <c r="AN2755" t="s">
        <v>2926</v>
      </c>
      <c r="AO2755">
        <v>47500</v>
      </c>
      <c r="AU2755">
        <v>29.7</v>
      </c>
      <c r="AV2755" t="s">
        <v>399</v>
      </c>
      <c r="AW2755" t="s">
        <v>3060</v>
      </c>
      <c r="AX2755" t="s">
        <v>18685</v>
      </c>
    </row>
    <row r="2756" spans="1:50">
      <c r="A2756" s="1" t="s">
        <v>57</v>
      </c>
      <c r="B2756" t="s">
        <v>163</v>
      </c>
      <c r="C2756" t="s">
        <v>5966</v>
      </c>
      <c r="D2756" t="s">
        <v>170</v>
      </c>
      <c r="F2756" t="s">
        <v>7820</v>
      </c>
      <c r="G2756" t="s">
        <v>8919</v>
      </c>
      <c r="H2756" t="s">
        <v>1112</v>
      </c>
      <c r="I2756" t="s">
        <v>1594</v>
      </c>
      <c r="J2756" t="s">
        <v>1641</v>
      </c>
      <c r="K2756">
        <v>10453</v>
      </c>
      <c r="L2756" t="s">
        <v>1670</v>
      </c>
      <c r="M2756" t="s">
        <v>1670</v>
      </c>
      <c r="O2756" t="s">
        <v>1938</v>
      </c>
      <c r="P2756" t="s">
        <v>1961</v>
      </c>
      <c r="R2756" t="s">
        <v>50</v>
      </c>
      <c r="S2756" t="s">
        <v>1670</v>
      </c>
      <c r="U2756" t="s">
        <v>1972</v>
      </c>
      <c r="W2756" t="s">
        <v>283</v>
      </c>
      <c r="X2756">
        <v>950</v>
      </c>
      <c r="Y2756" t="s">
        <v>2006</v>
      </c>
      <c r="Z2756" t="s">
        <v>2016</v>
      </c>
      <c r="AB2756" t="s">
        <v>14120</v>
      </c>
      <c r="AD2756" t="s">
        <v>17370</v>
      </c>
      <c r="AE2756" t="s">
        <v>13051</v>
      </c>
      <c r="AF2756" t="s">
        <v>2902</v>
      </c>
      <c r="AG2756" t="s">
        <v>1754</v>
      </c>
      <c r="AH2756">
        <v>5</v>
      </c>
      <c r="AI2756">
        <v>2</v>
      </c>
      <c r="AJ2756">
        <v>0</v>
      </c>
      <c r="AK2756">
        <v>184.51</v>
      </c>
      <c r="AN2756" t="s">
        <v>2927</v>
      </c>
      <c r="AO2756">
        <v>31200</v>
      </c>
      <c r="AU2756" t="s">
        <v>13051</v>
      </c>
      <c r="AW2756" t="s">
        <v>3045</v>
      </c>
    </row>
    <row r="2757" spans="1:50">
      <c r="A2757" s="1" t="s">
        <v>71</v>
      </c>
      <c r="B2757" t="s">
        <v>164</v>
      </c>
      <c r="C2757" t="s">
        <v>5967</v>
      </c>
      <c r="D2757" t="s">
        <v>344</v>
      </c>
      <c r="E2757" t="s">
        <v>281</v>
      </c>
      <c r="F2757" t="s">
        <v>546</v>
      </c>
      <c r="G2757" t="s">
        <v>909</v>
      </c>
      <c r="H2757" t="s">
        <v>10655</v>
      </c>
      <c r="J2757" t="s">
        <v>1646</v>
      </c>
      <c r="K2757">
        <v>10301</v>
      </c>
      <c r="L2757" t="s">
        <v>1670</v>
      </c>
      <c r="M2757" t="s">
        <v>1670</v>
      </c>
      <c r="N2757" t="s">
        <v>12677</v>
      </c>
      <c r="O2757" t="s">
        <v>1936</v>
      </c>
      <c r="P2757" t="s">
        <v>1960</v>
      </c>
      <c r="Q2757" t="s">
        <v>1969</v>
      </c>
      <c r="R2757" t="s">
        <v>50</v>
      </c>
      <c r="S2757" t="s">
        <v>1671</v>
      </c>
      <c r="U2757" t="s">
        <v>1972</v>
      </c>
      <c r="V2757" t="s">
        <v>1984</v>
      </c>
      <c r="W2757" t="s">
        <v>344</v>
      </c>
      <c r="X2757">
        <v>1099</v>
      </c>
      <c r="Y2757" t="s">
        <v>2010</v>
      </c>
      <c r="Z2757" t="s">
        <v>2013</v>
      </c>
      <c r="AA2757" t="s">
        <v>2032</v>
      </c>
      <c r="AB2757" t="s">
        <v>14966</v>
      </c>
      <c r="AE2757">
        <v>148</v>
      </c>
      <c r="AF2757" t="s">
        <v>2902</v>
      </c>
      <c r="AG2757" t="s">
        <v>1754</v>
      </c>
      <c r="AH2757">
        <v>1</v>
      </c>
      <c r="AI2757">
        <v>1</v>
      </c>
      <c r="AJ2757">
        <v>0</v>
      </c>
      <c r="AK2757">
        <v>184.51</v>
      </c>
      <c r="AN2757" t="s">
        <v>2926</v>
      </c>
      <c r="AO2757">
        <v>22400</v>
      </c>
      <c r="AQ2757" t="s">
        <v>2979</v>
      </c>
      <c r="AR2757" t="s">
        <v>2983</v>
      </c>
      <c r="AS2757" t="s">
        <v>2992</v>
      </c>
      <c r="AT2757" t="s">
        <v>18607</v>
      </c>
      <c r="AU2757">
        <v>2.6</v>
      </c>
      <c r="AV2757" t="s">
        <v>281</v>
      </c>
      <c r="AW2757" t="s">
        <v>3062</v>
      </c>
    </row>
    <row r="2758" spans="1:50">
      <c r="A2758" s="1" t="s">
        <v>143</v>
      </c>
      <c r="B2758" t="s">
        <v>163</v>
      </c>
      <c r="C2758" t="s">
        <v>5968</v>
      </c>
      <c r="D2758" t="s">
        <v>326</v>
      </c>
      <c r="F2758" t="s">
        <v>7146</v>
      </c>
      <c r="G2758" t="s">
        <v>9097</v>
      </c>
      <c r="H2758" t="s">
        <v>10485</v>
      </c>
      <c r="I2758" t="s">
        <v>1575</v>
      </c>
      <c r="J2758" t="s">
        <v>1644</v>
      </c>
      <c r="K2758">
        <v>11221</v>
      </c>
      <c r="L2758" t="s">
        <v>1671</v>
      </c>
      <c r="M2758" t="s">
        <v>1671</v>
      </c>
      <c r="O2758" t="s">
        <v>1946</v>
      </c>
      <c r="P2758" t="s">
        <v>1960</v>
      </c>
      <c r="R2758" t="s">
        <v>50</v>
      </c>
      <c r="S2758" t="s">
        <v>1670</v>
      </c>
      <c r="U2758" t="s">
        <v>1972</v>
      </c>
      <c r="W2758" t="s">
        <v>326</v>
      </c>
      <c r="X2758">
        <v>1292.5</v>
      </c>
      <c r="Y2758" t="s">
        <v>2009</v>
      </c>
      <c r="AB2758" t="s">
        <v>14742</v>
      </c>
      <c r="AD2758" t="s">
        <v>17371</v>
      </c>
      <c r="AE2758">
        <v>16</v>
      </c>
      <c r="AF2758" t="s">
        <v>2902</v>
      </c>
      <c r="AG2758" t="s">
        <v>1754</v>
      </c>
      <c r="AH2758">
        <v>10</v>
      </c>
      <c r="AI2758">
        <v>2</v>
      </c>
      <c r="AJ2758">
        <v>0</v>
      </c>
      <c r="AK2758">
        <v>184.51</v>
      </c>
      <c r="AN2758" t="s">
        <v>2926</v>
      </c>
      <c r="AO2758">
        <v>31200</v>
      </c>
      <c r="AU2758">
        <v>10</v>
      </c>
      <c r="AV2758" t="s">
        <v>3039</v>
      </c>
      <c r="AW2758" t="s">
        <v>3060</v>
      </c>
    </row>
    <row r="2759" spans="1:50">
      <c r="A2759" s="1" t="s">
        <v>57</v>
      </c>
      <c r="B2759" t="s">
        <v>163</v>
      </c>
      <c r="C2759" t="s">
        <v>5969</v>
      </c>
      <c r="D2759" t="s">
        <v>170</v>
      </c>
      <c r="F2759" t="s">
        <v>7820</v>
      </c>
      <c r="G2759" t="s">
        <v>8919</v>
      </c>
      <c r="H2759" t="s">
        <v>1112</v>
      </c>
      <c r="I2759" t="s">
        <v>1594</v>
      </c>
      <c r="J2759" t="s">
        <v>1641</v>
      </c>
      <c r="K2759">
        <v>10453</v>
      </c>
      <c r="L2759" t="s">
        <v>1670</v>
      </c>
      <c r="M2759" t="s">
        <v>1670</v>
      </c>
      <c r="N2759" t="s">
        <v>1677</v>
      </c>
      <c r="O2759" t="s">
        <v>1939</v>
      </c>
      <c r="P2759" t="s">
        <v>1960</v>
      </c>
      <c r="R2759" t="s">
        <v>50</v>
      </c>
      <c r="S2759" t="s">
        <v>1670</v>
      </c>
      <c r="U2759" t="s">
        <v>1972</v>
      </c>
      <c r="W2759" t="s">
        <v>283</v>
      </c>
      <c r="X2759">
        <v>950</v>
      </c>
      <c r="Y2759" t="s">
        <v>2006</v>
      </c>
      <c r="Z2759" t="s">
        <v>2015</v>
      </c>
      <c r="AB2759" t="s">
        <v>14120</v>
      </c>
      <c r="AD2759" t="s">
        <v>17370</v>
      </c>
      <c r="AE2759" t="s">
        <v>13051</v>
      </c>
      <c r="AF2759" t="s">
        <v>2902</v>
      </c>
      <c r="AH2759">
        <v>5</v>
      </c>
      <c r="AI2759">
        <v>2</v>
      </c>
      <c r="AJ2759">
        <v>0</v>
      </c>
      <c r="AK2759">
        <v>184.51</v>
      </c>
      <c r="AN2759" t="s">
        <v>2927</v>
      </c>
      <c r="AO2759">
        <v>31200</v>
      </c>
      <c r="AU2759" t="s">
        <v>13051</v>
      </c>
      <c r="AW2759" t="s">
        <v>3045</v>
      </c>
    </row>
    <row r="2760" spans="1:50">
      <c r="A2760" s="1" t="s">
        <v>54</v>
      </c>
      <c r="B2760" t="s">
        <v>163</v>
      </c>
      <c r="C2760" t="s">
        <v>5970</v>
      </c>
      <c r="D2760" t="s">
        <v>1999</v>
      </c>
      <c r="F2760" t="s">
        <v>7821</v>
      </c>
      <c r="G2760" t="s">
        <v>864</v>
      </c>
      <c r="H2760" t="s">
        <v>9457</v>
      </c>
      <c r="J2760" t="s">
        <v>1643</v>
      </c>
      <c r="K2760">
        <v>10040</v>
      </c>
      <c r="L2760" t="s">
        <v>1670</v>
      </c>
      <c r="M2760" t="s">
        <v>1672</v>
      </c>
      <c r="O2760" t="s">
        <v>1936</v>
      </c>
      <c r="P2760" t="s">
        <v>1960</v>
      </c>
      <c r="R2760" t="s">
        <v>50</v>
      </c>
      <c r="S2760" t="s">
        <v>1670</v>
      </c>
      <c r="U2760" t="s">
        <v>1972</v>
      </c>
      <c r="W2760" t="s">
        <v>1999</v>
      </c>
      <c r="X2760">
        <v>1147</v>
      </c>
      <c r="Y2760" t="s">
        <v>2008</v>
      </c>
      <c r="Z2760" t="s">
        <v>2020</v>
      </c>
      <c r="AB2760" t="s">
        <v>14967</v>
      </c>
      <c r="AD2760" t="s">
        <v>17372</v>
      </c>
      <c r="AE2760">
        <v>44</v>
      </c>
      <c r="AF2760" t="s">
        <v>2902</v>
      </c>
      <c r="AG2760" t="s">
        <v>1754</v>
      </c>
      <c r="AH2760">
        <v>8</v>
      </c>
      <c r="AI2760">
        <v>3</v>
      </c>
      <c r="AJ2760">
        <v>0</v>
      </c>
      <c r="AK2760">
        <v>184.87</v>
      </c>
      <c r="AN2760" t="s">
        <v>2927</v>
      </c>
      <c r="AO2760">
        <v>39432</v>
      </c>
      <c r="AU2760">
        <v>14.6</v>
      </c>
      <c r="AV2760" t="s">
        <v>333</v>
      </c>
      <c r="AW2760" t="s">
        <v>3042</v>
      </c>
      <c r="AX2760" t="s">
        <v>18685</v>
      </c>
    </row>
    <row r="2761" spans="1:50">
      <c r="A2761" s="1" t="s">
        <v>104</v>
      </c>
      <c r="B2761" t="s">
        <v>164</v>
      </c>
      <c r="C2761" t="s">
        <v>5971</v>
      </c>
      <c r="D2761" t="s">
        <v>217</v>
      </c>
      <c r="E2761" t="s">
        <v>328</v>
      </c>
      <c r="F2761" t="s">
        <v>7822</v>
      </c>
      <c r="G2761" t="s">
        <v>8070</v>
      </c>
      <c r="H2761" t="s">
        <v>10655</v>
      </c>
      <c r="I2761" t="s">
        <v>1587</v>
      </c>
      <c r="J2761" t="s">
        <v>1646</v>
      </c>
      <c r="K2761">
        <v>10301</v>
      </c>
      <c r="L2761" t="s">
        <v>1670</v>
      </c>
      <c r="M2761" t="s">
        <v>1672</v>
      </c>
      <c r="N2761" t="s">
        <v>12678</v>
      </c>
      <c r="O2761" t="s">
        <v>1936</v>
      </c>
      <c r="P2761" t="s">
        <v>1960</v>
      </c>
      <c r="Q2761" t="s">
        <v>1969</v>
      </c>
      <c r="R2761" t="s">
        <v>50</v>
      </c>
      <c r="S2761" t="s">
        <v>1671</v>
      </c>
      <c r="U2761" t="s">
        <v>1972</v>
      </c>
      <c r="V2761" t="s">
        <v>1983</v>
      </c>
      <c r="W2761" t="s">
        <v>217</v>
      </c>
      <c r="X2761">
        <v>1413.57</v>
      </c>
      <c r="Y2761" t="s">
        <v>2010</v>
      </c>
      <c r="Z2761" t="s">
        <v>2020</v>
      </c>
      <c r="AA2761" t="s">
        <v>2032</v>
      </c>
      <c r="AB2761" t="s">
        <v>14968</v>
      </c>
      <c r="AD2761" t="s">
        <v>17373</v>
      </c>
      <c r="AE2761" t="s">
        <v>13051</v>
      </c>
      <c r="AF2761" t="s">
        <v>2902</v>
      </c>
      <c r="AG2761" t="s">
        <v>1754</v>
      </c>
      <c r="AH2761">
        <v>20</v>
      </c>
      <c r="AI2761">
        <v>3</v>
      </c>
      <c r="AJ2761">
        <v>0</v>
      </c>
      <c r="AK2761">
        <v>185.32</v>
      </c>
      <c r="AN2761" t="s">
        <v>2926</v>
      </c>
      <c r="AO2761">
        <v>39528</v>
      </c>
      <c r="AR2761" t="s">
        <v>2983</v>
      </c>
      <c r="AS2761" t="s">
        <v>2992</v>
      </c>
      <c r="AT2761" t="s">
        <v>18608</v>
      </c>
      <c r="AU2761">
        <v>11.85</v>
      </c>
      <c r="AV2761" t="s">
        <v>328</v>
      </c>
      <c r="AW2761" t="s">
        <v>3050</v>
      </c>
      <c r="AX2761" t="s">
        <v>18685</v>
      </c>
    </row>
    <row r="2762" spans="1:50">
      <c r="A2762" s="1" t="s">
        <v>3162</v>
      </c>
      <c r="B2762" t="s">
        <v>163</v>
      </c>
      <c r="C2762" t="s">
        <v>5972</v>
      </c>
      <c r="D2762" t="s">
        <v>360</v>
      </c>
      <c r="F2762" t="s">
        <v>1008</v>
      </c>
      <c r="G2762" t="s">
        <v>9098</v>
      </c>
      <c r="H2762" t="s">
        <v>10656</v>
      </c>
      <c r="I2762">
        <v>1</v>
      </c>
      <c r="J2762" t="s">
        <v>1644</v>
      </c>
      <c r="K2762">
        <v>11203</v>
      </c>
      <c r="L2762" t="s">
        <v>1670</v>
      </c>
      <c r="M2762" t="s">
        <v>1672</v>
      </c>
      <c r="N2762" t="s">
        <v>12679</v>
      </c>
      <c r="O2762" t="s">
        <v>1936</v>
      </c>
      <c r="P2762" t="s">
        <v>1960</v>
      </c>
      <c r="R2762" t="s">
        <v>50</v>
      </c>
      <c r="U2762" t="s">
        <v>1972</v>
      </c>
      <c r="W2762" t="s">
        <v>218</v>
      </c>
      <c r="X2762">
        <v>2400</v>
      </c>
      <c r="Y2762" t="s">
        <v>2009</v>
      </c>
      <c r="Z2762" t="s">
        <v>2014</v>
      </c>
      <c r="AB2762" t="s">
        <v>14969</v>
      </c>
      <c r="AD2762" t="s">
        <v>17374</v>
      </c>
      <c r="AE2762">
        <v>15</v>
      </c>
      <c r="AG2762" t="s">
        <v>1754</v>
      </c>
      <c r="AH2762">
        <v>-2</v>
      </c>
      <c r="AI2762">
        <v>1</v>
      </c>
      <c r="AJ2762">
        <v>0</v>
      </c>
      <c r="AK2762">
        <v>185.34</v>
      </c>
      <c r="AN2762" t="s">
        <v>2926</v>
      </c>
      <c r="AO2762">
        <v>22500</v>
      </c>
      <c r="AU2762">
        <v>52.01</v>
      </c>
      <c r="AV2762" t="s">
        <v>289</v>
      </c>
      <c r="AW2762" t="s">
        <v>3074</v>
      </c>
      <c r="AX2762" t="s">
        <v>18685</v>
      </c>
    </row>
    <row r="2763" spans="1:50">
      <c r="A2763" s="1" t="s">
        <v>82</v>
      </c>
      <c r="B2763" t="s">
        <v>163</v>
      </c>
      <c r="C2763" t="s">
        <v>5973</v>
      </c>
      <c r="D2763" t="s">
        <v>181</v>
      </c>
      <c r="F2763" t="s">
        <v>7467</v>
      </c>
      <c r="G2763" t="s">
        <v>8381</v>
      </c>
      <c r="H2763" t="s">
        <v>1144</v>
      </c>
      <c r="I2763" t="s">
        <v>11415</v>
      </c>
      <c r="J2763" t="s">
        <v>1644</v>
      </c>
      <c r="K2763">
        <v>11233</v>
      </c>
      <c r="L2763" t="s">
        <v>1670</v>
      </c>
      <c r="M2763" t="s">
        <v>1670</v>
      </c>
      <c r="N2763" t="s">
        <v>1691</v>
      </c>
      <c r="O2763" t="s">
        <v>1937</v>
      </c>
      <c r="P2763" t="s">
        <v>1962</v>
      </c>
      <c r="R2763" t="s">
        <v>50</v>
      </c>
      <c r="S2763" t="s">
        <v>1670</v>
      </c>
      <c r="U2763" t="s">
        <v>1972</v>
      </c>
      <c r="V2763" t="s">
        <v>1984</v>
      </c>
      <c r="W2763" t="s">
        <v>221</v>
      </c>
      <c r="X2763">
        <v>1076.55</v>
      </c>
      <c r="Y2763" t="s">
        <v>2009</v>
      </c>
      <c r="AB2763" t="s">
        <v>14970</v>
      </c>
      <c r="AD2763" t="s">
        <v>17375</v>
      </c>
      <c r="AE2763">
        <v>359</v>
      </c>
      <c r="AF2763" t="s">
        <v>2902</v>
      </c>
      <c r="AG2763" t="s">
        <v>2919</v>
      </c>
      <c r="AH2763">
        <v>21</v>
      </c>
      <c r="AI2763">
        <v>1</v>
      </c>
      <c r="AJ2763">
        <v>0</v>
      </c>
      <c r="AK2763">
        <v>185.37</v>
      </c>
      <c r="AN2763" t="s">
        <v>2926</v>
      </c>
      <c r="AO2763">
        <v>23152.8</v>
      </c>
      <c r="AP2763" t="s">
        <v>18373</v>
      </c>
      <c r="AU2763" t="s">
        <v>13051</v>
      </c>
      <c r="AW2763" t="s">
        <v>3060</v>
      </c>
    </row>
    <row r="2764" spans="1:50">
      <c r="A2764" s="1" t="s">
        <v>3137</v>
      </c>
      <c r="B2764" t="s">
        <v>164</v>
      </c>
      <c r="C2764" t="s">
        <v>5974</v>
      </c>
      <c r="D2764" t="s">
        <v>225</v>
      </c>
      <c r="E2764" t="s">
        <v>264</v>
      </c>
      <c r="F2764" t="s">
        <v>6882</v>
      </c>
      <c r="G2764" t="s">
        <v>8499</v>
      </c>
      <c r="H2764" t="s">
        <v>9762</v>
      </c>
      <c r="I2764">
        <v>605</v>
      </c>
      <c r="J2764" t="s">
        <v>1649</v>
      </c>
      <c r="K2764">
        <v>11692</v>
      </c>
      <c r="L2764" t="s">
        <v>1670</v>
      </c>
      <c r="M2764" t="s">
        <v>1670</v>
      </c>
      <c r="N2764" t="s">
        <v>12680</v>
      </c>
      <c r="O2764" t="s">
        <v>1936</v>
      </c>
      <c r="P2764" t="s">
        <v>1958</v>
      </c>
      <c r="Q2764" t="s">
        <v>1965</v>
      </c>
      <c r="R2764" t="s">
        <v>50</v>
      </c>
      <c r="S2764" t="s">
        <v>1671</v>
      </c>
      <c r="U2764" t="s">
        <v>1972</v>
      </c>
      <c r="V2764" t="s">
        <v>1983</v>
      </c>
      <c r="W2764" t="s">
        <v>225</v>
      </c>
      <c r="X2764">
        <v>1400</v>
      </c>
      <c r="Y2764" t="s">
        <v>2007</v>
      </c>
      <c r="Z2764" t="s">
        <v>2014</v>
      </c>
      <c r="AA2764" t="s">
        <v>2029</v>
      </c>
      <c r="AB2764" t="s">
        <v>14971</v>
      </c>
      <c r="AC2764" t="s">
        <v>1754</v>
      </c>
      <c r="AD2764" t="s">
        <v>17376</v>
      </c>
      <c r="AE2764">
        <v>217</v>
      </c>
      <c r="AF2764" t="s">
        <v>2904</v>
      </c>
      <c r="AG2764" t="s">
        <v>1754</v>
      </c>
      <c r="AH2764">
        <v>4</v>
      </c>
      <c r="AI2764">
        <v>1</v>
      </c>
      <c r="AJ2764">
        <v>0</v>
      </c>
      <c r="AK2764">
        <v>185.54</v>
      </c>
      <c r="AN2764" t="s">
        <v>2926</v>
      </c>
      <c r="AO2764">
        <v>22524</v>
      </c>
      <c r="AU2764">
        <v>2.3</v>
      </c>
      <c r="AV2764" t="s">
        <v>264</v>
      </c>
      <c r="AW2764" t="s">
        <v>85</v>
      </c>
    </row>
    <row r="2765" spans="1:50">
      <c r="A2765" s="1" t="s">
        <v>3142</v>
      </c>
      <c r="B2765" t="s">
        <v>164</v>
      </c>
      <c r="C2765" t="s">
        <v>5975</v>
      </c>
      <c r="D2765" t="s">
        <v>225</v>
      </c>
      <c r="E2765" t="s">
        <v>225</v>
      </c>
      <c r="F2765" t="s">
        <v>7823</v>
      </c>
      <c r="G2765" t="s">
        <v>8697</v>
      </c>
      <c r="H2765" t="s">
        <v>10657</v>
      </c>
      <c r="I2765" t="s">
        <v>11322</v>
      </c>
      <c r="J2765" t="s">
        <v>1641</v>
      </c>
      <c r="K2765">
        <v>10473</v>
      </c>
      <c r="L2765" t="s">
        <v>1670</v>
      </c>
      <c r="M2765" t="s">
        <v>1670</v>
      </c>
      <c r="O2765" t="s">
        <v>12749</v>
      </c>
      <c r="P2765" t="s">
        <v>1958</v>
      </c>
      <c r="Q2765" t="s">
        <v>1965</v>
      </c>
      <c r="R2765" t="s">
        <v>50</v>
      </c>
      <c r="S2765" t="s">
        <v>1671</v>
      </c>
      <c r="U2765" t="s">
        <v>1972</v>
      </c>
      <c r="W2765" t="s">
        <v>225</v>
      </c>
      <c r="X2765">
        <v>272</v>
      </c>
      <c r="Y2765" t="s">
        <v>2006</v>
      </c>
      <c r="Z2765" t="s">
        <v>2015</v>
      </c>
      <c r="AA2765" t="s">
        <v>2029</v>
      </c>
      <c r="AB2765" t="s">
        <v>13911</v>
      </c>
      <c r="AD2765" t="s">
        <v>17377</v>
      </c>
      <c r="AE2765">
        <v>775</v>
      </c>
      <c r="AF2765" t="s">
        <v>2905</v>
      </c>
      <c r="AG2765" t="s">
        <v>1754</v>
      </c>
      <c r="AH2765">
        <v>6</v>
      </c>
      <c r="AI2765">
        <v>1</v>
      </c>
      <c r="AJ2765">
        <v>0</v>
      </c>
      <c r="AK2765">
        <v>186</v>
      </c>
      <c r="AN2765" t="s">
        <v>2926</v>
      </c>
      <c r="AO2765">
        <v>22580</v>
      </c>
      <c r="AU2765">
        <v>0.2</v>
      </c>
      <c r="AV2765" t="s">
        <v>225</v>
      </c>
      <c r="AW2765" t="s">
        <v>3046</v>
      </c>
    </row>
    <row r="2766" spans="1:50">
      <c r="A2766" s="1" t="s">
        <v>129</v>
      </c>
      <c r="B2766" t="s">
        <v>163</v>
      </c>
      <c r="C2766" t="s">
        <v>5976</v>
      </c>
      <c r="D2766" t="s">
        <v>289</v>
      </c>
      <c r="F2766" t="s">
        <v>7701</v>
      </c>
      <c r="G2766" t="s">
        <v>8936</v>
      </c>
      <c r="H2766" t="s">
        <v>1248</v>
      </c>
      <c r="I2766" t="s">
        <v>1487</v>
      </c>
      <c r="J2766" t="s">
        <v>1644</v>
      </c>
      <c r="K2766">
        <v>11213</v>
      </c>
      <c r="L2766" t="s">
        <v>1671</v>
      </c>
      <c r="M2766" t="s">
        <v>1672</v>
      </c>
      <c r="N2766" t="s">
        <v>1687</v>
      </c>
      <c r="O2766" t="s">
        <v>1937</v>
      </c>
      <c r="P2766" t="s">
        <v>1962</v>
      </c>
      <c r="R2766" t="s">
        <v>50</v>
      </c>
      <c r="S2766" t="s">
        <v>1670</v>
      </c>
      <c r="U2766" t="s">
        <v>1977</v>
      </c>
      <c r="V2766" t="s">
        <v>1984</v>
      </c>
      <c r="W2766" t="s">
        <v>266</v>
      </c>
      <c r="X2766">
        <v>1507.16</v>
      </c>
      <c r="Y2766" t="s">
        <v>2009</v>
      </c>
      <c r="Z2766" t="s">
        <v>2027</v>
      </c>
      <c r="AB2766" t="s">
        <v>14972</v>
      </c>
      <c r="AC2766" t="s">
        <v>15153</v>
      </c>
      <c r="AD2766" t="s">
        <v>17107</v>
      </c>
      <c r="AE2766">
        <v>19</v>
      </c>
      <c r="AF2766" t="s">
        <v>2902</v>
      </c>
      <c r="AG2766" t="s">
        <v>2915</v>
      </c>
      <c r="AH2766">
        <v>22</v>
      </c>
      <c r="AI2766">
        <v>4</v>
      </c>
      <c r="AJ2766">
        <v>0</v>
      </c>
      <c r="AK2766">
        <v>186.06</v>
      </c>
      <c r="AN2766" t="s">
        <v>2926</v>
      </c>
      <c r="AO2766">
        <v>47909.8</v>
      </c>
      <c r="AU2766" t="s">
        <v>13051</v>
      </c>
      <c r="AW2766" t="s">
        <v>3060</v>
      </c>
      <c r="AX2766" t="s">
        <v>1754</v>
      </c>
    </row>
    <row r="2767" spans="1:50">
      <c r="A2767" s="1" t="s">
        <v>129</v>
      </c>
      <c r="B2767" t="s">
        <v>163</v>
      </c>
      <c r="C2767" t="s">
        <v>5977</v>
      </c>
      <c r="D2767" t="s">
        <v>326</v>
      </c>
      <c r="F2767" t="s">
        <v>7701</v>
      </c>
      <c r="G2767" t="s">
        <v>8936</v>
      </c>
      <c r="H2767" t="s">
        <v>1248</v>
      </c>
      <c r="I2767" t="s">
        <v>1487</v>
      </c>
      <c r="J2767" t="s">
        <v>1644</v>
      </c>
      <c r="K2767">
        <v>11213</v>
      </c>
      <c r="L2767" t="s">
        <v>1670</v>
      </c>
      <c r="M2767" t="s">
        <v>1670</v>
      </c>
      <c r="O2767" t="s">
        <v>1946</v>
      </c>
      <c r="P2767" t="s">
        <v>1964</v>
      </c>
      <c r="R2767" t="s">
        <v>50</v>
      </c>
      <c r="S2767" t="s">
        <v>1670</v>
      </c>
      <c r="U2767" t="s">
        <v>1978</v>
      </c>
      <c r="W2767" t="s">
        <v>326</v>
      </c>
      <c r="X2767">
        <v>1507.16</v>
      </c>
      <c r="Y2767" t="s">
        <v>2009</v>
      </c>
      <c r="Z2767" t="s">
        <v>2027</v>
      </c>
      <c r="AB2767" t="s">
        <v>14972</v>
      </c>
      <c r="AD2767" t="s">
        <v>17107</v>
      </c>
      <c r="AE2767">
        <v>19</v>
      </c>
      <c r="AF2767" t="s">
        <v>2902</v>
      </c>
      <c r="AG2767" t="s">
        <v>2915</v>
      </c>
      <c r="AH2767">
        <v>22</v>
      </c>
      <c r="AI2767">
        <v>4</v>
      </c>
      <c r="AJ2767">
        <v>0</v>
      </c>
      <c r="AK2767">
        <v>186.06</v>
      </c>
      <c r="AN2767" t="s">
        <v>2926</v>
      </c>
      <c r="AO2767">
        <v>47909.8</v>
      </c>
      <c r="AU2767">
        <v>48.3</v>
      </c>
      <c r="AV2767" t="s">
        <v>289</v>
      </c>
      <c r="AW2767" t="s">
        <v>3059</v>
      </c>
    </row>
    <row r="2768" spans="1:50">
      <c r="A2768" s="1" t="s">
        <v>129</v>
      </c>
      <c r="B2768" t="s">
        <v>163</v>
      </c>
      <c r="C2768" t="s">
        <v>5978</v>
      </c>
      <c r="D2768" t="s">
        <v>328</v>
      </c>
      <c r="F2768" t="s">
        <v>7701</v>
      </c>
      <c r="G2768" t="s">
        <v>8936</v>
      </c>
      <c r="H2768" t="s">
        <v>1248</v>
      </c>
      <c r="I2768" t="s">
        <v>1487</v>
      </c>
      <c r="J2768" t="s">
        <v>1644</v>
      </c>
      <c r="K2768">
        <v>11213</v>
      </c>
      <c r="L2768" t="s">
        <v>1670</v>
      </c>
      <c r="M2768" t="s">
        <v>1672</v>
      </c>
      <c r="N2768" t="s">
        <v>1890</v>
      </c>
      <c r="O2768" t="s">
        <v>1936</v>
      </c>
      <c r="P2768" t="s">
        <v>1960</v>
      </c>
      <c r="R2768" t="s">
        <v>50</v>
      </c>
      <c r="S2768" t="s">
        <v>1670</v>
      </c>
      <c r="U2768" t="s">
        <v>1972</v>
      </c>
      <c r="V2768" t="s">
        <v>1984</v>
      </c>
      <c r="W2768" t="s">
        <v>275</v>
      </c>
      <c r="X2768">
        <v>1507.16</v>
      </c>
      <c r="Y2768" t="s">
        <v>2009</v>
      </c>
      <c r="Z2768" t="s">
        <v>2027</v>
      </c>
      <c r="AB2768" t="s">
        <v>14972</v>
      </c>
      <c r="AC2768" t="s">
        <v>15304</v>
      </c>
      <c r="AD2768" t="s">
        <v>17107</v>
      </c>
      <c r="AE2768">
        <v>19</v>
      </c>
      <c r="AF2768" t="s">
        <v>2902</v>
      </c>
      <c r="AG2768" t="s">
        <v>2915</v>
      </c>
      <c r="AH2768">
        <v>22</v>
      </c>
      <c r="AI2768">
        <v>4</v>
      </c>
      <c r="AJ2768">
        <v>0</v>
      </c>
      <c r="AK2768">
        <v>186.06</v>
      </c>
      <c r="AN2768" t="s">
        <v>2926</v>
      </c>
      <c r="AO2768">
        <v>47909.8</v>
      </c>
      <c r="AP2768" t="s">
        <v>18374</v>
      </c>
      <c r="AU2768">
        <v>5.45</v>
      </c>
      <c r="AV2768" t="s">
        <v>289</v>
      </c>
      <c r="AW2768" t="s">
        <v>3060</v>
      </c>
      <c r="AX2768" t="s">
        <v>1754</v>
      </c>
    </row>
    <row r="2769" spans="1:50">
      <c r="A2769" s="1" t="s">
        <v>59</v>
      </c>
      <c r="B2769" t="s">
        <v>163</v>
      </c>
      <c r="C2769" t="s">
        <v>5979</v>
      </c>
      <c r="D2769" t="s">
        <v>173</v>
      </c>
      <c r="F2769" t="s">
        <v>7431</v>
      </c>
      <c r="G2769" t="s">
        <v>959</v>
      </c>
      <c r="H2769" t="s">
        <v>1114</v>
      </c>
      <c r="I2769" t="s">
        <v>1517</v>
      </c>
      <c r="J2769" t="s">
        <v>1641</v>
      </c>
      <c r="K2769">
        <v>10456</v>
      </c>
      <c r="L2769" t="s">
        <v>1670</v>
      </c>
      <c r="M2769" t="s">
        <v>1670</v>
      </c>
      <c r="N2769" t="s">
        <v>1679</v>
      </c>
      <c r="O2769" t="s">
        <v>1938</v>
      </c>
      <c r="P2769" t="s">
        <v>1959</v>
      </c>
      <c r="R2769" t="s">
        <v>50</v>
      </c>
      <c r="S2769" t="s">
        <v>1670</v>
      </c>
      <c r="U2769" t="s">
        <v>1972</v>
      </c>
      <c r="W2769" t="s">
        <v>173</v>
      </c>
      <c r="X2769">
        <v>1047</v>
      </c>
      <c r="Y2769" t="s">
        <v>2006</v>
      </c>
      <c r="Z2769" t="s">
        <v>2015</v>
      </c>
      <c r="AB2769" t="s">
        <v>14093</v>
      </c>
      <c r="AD2769" t="s">
        <v>16521</v>
      </c>
      <c r="AE2769">
        <v>131</v>
      </c>
      <c r="AF2769" t="s">
        <v>2902</v>
      </c>
      <c r="AG2769" t="s">
        <v>1754</v>
      </c>
      <c r="AH2769">
        <v>13</v>
      </c>
      <c r="AI2769">
        <v>2</v>
      </c>
      <c r="AJ2769">
        <v>0</v>
      </c>
      <c r="AK2769">
        <v>186.72</v>
      </c>
      <c r="AN2769" t="s">
        <v>2927</v>
      </c>
      <c r="AO2769">
        <v>30734.8</v>
      </c>
      <c r="AU2769" t="s">
        <v>13051</v>
      </c>
      <c r="AW2769" t="s">
        <v>3047</v>
      </c>
    </row>
    <row r="2770" spans="1:50">
      <c r="A2770" s="1" t="s">
        <v>59</v>
      </c>
      <c r="B2770" t="s">
        <v>163</v>
      </c>
      <c r="C2770" t="s">
        <v>5980</v>
      </c>
      <c r="D2770" t="s">
        <v>173</v>
      </c>
      <c r="F2770" t="s">
        <v>7431</v>
      </c>
      <c r="G2770" t="s">
        <v>959</v>
      </c>
      <c r="H2770" t="s">
        <v>1114</v>
      </c>
      <c r="I2770" t="s">
        <v>1517</v>
      </c>
      <c r="J2770" t="s">
        <v>1641</v>
      </c>
      <c r="K2770">
        <v>10456</v>
      </c>
      <c r="L2770" t="s">
        <v>1670</v>
      </c>
      <c r="M2770" t="s">
        <v>1670</v>
      </c>
      <c r="N2770" t="s">
        <v>1681</v>
      </c>
      <c r="O2770" t="s">
        <v>1939</v>
      </c>
      <c r="P2770" t="s">
        <v>1960</v>
      </c>
      <c r="R2770" t="s">
        <v>50</v>
      </c>
      <c r="S2770" t="s">
        <v>1670</v>
      </c>
      <c r="U2770" t="s">
        <v>1972</v>
      </c>
      <c r="W2770" t="s">
        <v>173</v>
      </c>
      <c r="X2770">
        <v>1047</v>
      </c>
      <c r="Y2770" t="s">
        <v>2006</v>
      </c>
      <c r="Z2770" t="s">
        <v>2015</v>
      </c>
      <c r="AB2770" t="s">
        <v>14093</v>
      </c>
      <c r="AD2770" t="s">
        <v>16521</v>
      </c>
      <c r="AE2770">
        <v>131</v>
      </c>
      <c r="AF2770" t="s">
        <v>2902</v>
      </c>
      <c r="AG2770" t="s">
        <v>1754</v>
      </c>
      <c r="AH2770">
        <v>13</v>
      </c>
      <c r="AI2770">
        <v>2</v>
      </c>
      <c r="AJ2770">
        <v>0</v>
      </c>
      <c r="AK2770">
        <v>186.72</v>
      </c>
      <c r="AN2770" t="s">
        <v>2927</v>
      </c>
      <c r="AO2770">
        <v>30734.8</v>
      </c>
      <c r="AU2770" t="s">
        <v>13051</v>
      </c>
      <c r="AW2770" t="s">
        <v>3047</v>
      </c>
    </row>
    <row r="2771" spans="1:50">
      <c r="A2771" s="1" t="s">
        <v>128</v>
      </c>
      <c r="B2771" t="s">
        <v>164</v>
      </c>
      <c r="C2771" t="s">
        <v>5981</v>
      </c>
      <c r="D2771" t="s">
        <v>237</v>
      </c>
      <c r="E2771" t="s">
        <v>2001</v>
      </c>
      <c r="F2771" t="s">
        <v>7824</v>
      </c>
      <c r="G2771" t="s">
        <v>9099</v>
      </c>
      <c r="H2771" t="s">
        <v>10658</v>
      </c>
      <c r="J2771" t="s">
        <v>1641</v>
      </c>
      <c r="K2771">
        <v>10463</v>
      </c>
      <c r="L2771" t="s">
        <v>1670</v>
      </c>
      <c r="M2771" t="s">
        <v>1670</v>
      </c>
      <c r="N2771" t="s">
        <v>12681</v>
      </c>
      <c r="O2771" t="s">
        <v>1941</v>
      </c>
      <c r="P2771" t="s">
        <v>1958</v>
      </c>
      <c r="Q2771" t="s">
        <v>1965</v>
      </c>
      <c r="R2771" t="s">
        <v>50</v>
      </c>
      <c r="S2771" t="s">
        <v>1671</v>
      </c>
      <c r="U2771" t="s">
        <v>1972</v>
      </c>
      <c r="V2771" t="s">
        <v>1984</v>
      </c>
      <c r="W2771" t="s">
        <v>237</v>
      </c>
      <c r="X2771" t="s">
        <v>13051</v>
      </c>
      <c r="Y2771" t="s">
        <v>2006</v>
      </c>
      <c r="Z2771" t="s">
        <v>2028</v>
      </c>
      <c r="AA2771" t="s">
        <v>2029</v>
      </c>
      <c r="AB2771" t="s">
        <v>14973</v>
      </c>
      <c r="AC2771" t="s">
        <v>1754</v>
      </c>
      <c r="AD2771" t="s">
        <v>17378</v>
      </c>
      <c r="AE2771" t="s">
        <v>13051</v>
      </c>
      <c r="AF2771" t="s">
        <v>2904</v>
      </c>
      <c r="AG2771" t="s">
        <v>2919</v>
      </c>
      <c r="AH2771" t="s">
        <v>13051</v>
      </c>
      <c r="AI2771">
        <v>1</v>
      </c>
      <c r="AJ2771">
        <v>0</v>
      </c>
      <c r="AK2771">
        <v>187.16</v>
      </c>
      <c r="AN2771" t="s">
        <v>2926</v>
      </c>
      <c r="AO2771">
        <v>23376</v>
      </c>
      <c r="AU2771">
        <v>2.05</v>
      </c>
      <c r="AV2771" t="s">
        <v>2001</v>
      </c>
      <c r="AW2771" t="s">
        <v>128</v>
      </c>
    </row>
    <row r="2772" spans="1:50">
      <c r="A2772" s="1" t="s">
        <v>103</v>
      </c>
      <c r="B2772" t="s">
        <v>163</v>
      </c>
      <c r="C2772" t="s">
        <v>5982</v>
      </c>
      <c r="D2772" t="s">
        <v>304</v>
      </c>
      <c r="F2772" t="s">
        <v>7825</v>
      </c>
      <c r="G2772" t="s">
        <v>890</v>
      </c>
      <c r="H2772" t="s">
        <v>10659</v>
      </c>
      <c r="I2772" t="s">
        <v>1540</v>
      </c>
      <c r="J2772" t="s">
        <v>1644</v>
      </c>
      <c r="K2772">
        <v>11239</v>
      </c>
      <c r="L2772" t="s">
        <v>1670</v>
      </c>
      <c r="M2772" t="s">
        <v>1671</v>
      </c>
      <c r="N2772" t="s">
        <v>12682</v>
      </c>
      <c r="O2772" t="s">
        <v>1936</v>
      </c>
      <c r="P2772" t="s">
        <v>1958</v>
      </c>
      <c r="R2772" t="s">
        <v>50</v>
      </c>
      <c r="S2772" t="s">
        <v>1671</v>
      </c>
      <c r="U2772" t="s">
        <v>1972</v>
      </c>
      <c r="W2772" t="s">
        <v>319</v>
      </c>
      <c r="X2772">
        <v>1525</v>
      </c>
      <c r="Y2772" t="s">
        <v>2009</v>
      </c>
      <c r="Z2772" t="s">
        <v>2024</v>
      </c>
      <c r="AB2772" t="s">
        <v>14974</v>
      </c>
      <c r="AD2772" t="s">
        <v>17379</v>
      </c>
      <c r="AE2772">
        <v>88</v>
      </c>
      <c r="AF2772" t="s">
        <v>2902</v>
      </c>
      <c r="AG2772" t="s">
        <v>1754</v>
      </c>
      <c r="AH2772">
        <v>4</v>
      </c>
      <c r="AI2772">
        <v>1</v>
      </c>
      <c r="AJ2772">
        <v>0</v>
      </c>
      <c r="AK2772">
        <v>187.31</v>
      </c>
      <c r="AN2772" t="s">
        <v>2926</v>
      </c>
      <c r="AO2772">
        <v>22740</v>
      </c>
      <c r="AU2772">
        <v>2.5</v>
      </c>
      <c r="AV2772" t="s">
        <v>319</v>
      </c>
      <c r="AW2772" t="s">
        <v>18658</v>
      </c>
      <c r="AX2772" t="s">
        <v>18685</v>
      </c>
    </row>
    <row r="2773" spans="1:50">
      <c r="A2773" s="1" t="s">
        <v>119</v>
      </c>
      <c r="B2773" t="s">
        <v>164</v>
      </c>
      <c r="C2773" t="s">
        <v>5983</v>
      </c>
      <c r="D2773" t="s">
        <v>177</v>
      </c>
      <c r="E2773" t="s">
        <v>255</v>
      </c>
      <c r="F2773" t="s">
        <v>483</v>
      </c>
      <c r="G2773" t="s">
        <v>1022</v>
      </c>
      <c r="H2773" t="s">
        <v>10660</v>
      </c>
      <c r="I2773">
        <v>1</v>
      </c>
      <c r="J2773" t="s">
        <v>1644</v>
      </c>
      <c r="K2773">
        <v>11208</v>
      </c>
      <c r="L2773" t="s">
        <v>1670</v>
      </c>
      <c r="M2773" t="s">
        <v>1670</v>
      </c>
      <c r="N2773" t="s">
        <v>12683</v>
      </c>
      <c r="O2773" t="s">
        <v>1940</v>
      </c>
      <c r="P2773" t="s">
        <v>1958</v>
      </c>
      <c r="Q2773" t="s">
        <v>1965</v>
      </c>
      <c r="R2773" t="s">
        <v>50</v>
      </c>
      <c r="S2773" t="s">
        <v>1671</v>
      </c>
      <c r="U2773" t="s">
        <v>1972</v>
      </c>
      <c r="W2773" t="s">
        <v>258</v>
      </c>
      <c r="X2773">
        <v>1215</v>
      </c>
      <c r="Y2773" t="s">
        <v>2009</v>
      </c>
      <c r="AA2773" t="s">
        <v>2029</v>
      </c>
      <c r="AB2773" t="s">
        <v>14975</v>
      </c>
      <c r="AC2773" t="s">
        <v>15155</v>
      </c>
      <c r="AD2773" t="s">
        <v>17380</v>
      </c>
      <c r="AE2773">
        <v>5</v>
      </c>
      <c r="AF2773" t="s">
        <v>2903</v>
      </c>
      <c r="AG2773" t="s">
        <v>2920</v>
      </c>
      <c r="AH2773">
        <v>1</v>
      </c>
      <c r="AI2773">
        <v>1</v>
      </c>
      <c r="AJ2773">
        <v>0</v>
      </c>
      <c r="AK2773">
        <v>187.35</v>
      </c>
      <c r="AN2773" t="s">
        <v>2935</v>
      </c>
      <c r="AO2773">
        <v>23400</v>
      </c>
      <c r="AU2773">
        <v>0.6</v>
      </c>
      <c r="AV2773" t="s">
        <v>177</v>
      </c>
      <c r="AW2773" t="s">
        <v>3084</v>
      </c>
      <c r="AX2773" t="s">
        <v>18685</v>
      </c>
    </row>
    <row r="2774" spans="1:50">
      <c r="A2774" s="1" t="s">
        <v>95</v>
      </c>
      <c r="B2774" t="s">
        <v>164</v>
      </c>
      <c r="C2774" t="s">
        <v>5984</v>
      </c>
      <c r="D2774" t="s">
        <v>255</v>
      </c>
      <c r="E2774" t="s">
        <v>220</v>
      </c>
      <c r="F2774" t="s">
        <v>7826</v>
      </c>
      <c r="G2774" t="s">
        <v>856</v>
      </c>
      <c r="H2774" t="s">
        <v>10661</v>
      </c>
      <c r="J2774" t="s">
        <v>1641</v>
      </c>
      <c r="K2774">
        <v>10473</v>
      </c>
      <c r="L2774" t="s">
        <v>1670</v>
      </c>
      <c r="M2774" t="s">
        <v>1670</v>
      </c>
      <c r="O2774" t="s">
        <v>1675</v>
      </c>
      <c r="P2774" t="s">
        <v>1958</v>
      </c>
      <c r="Q2774" t="s">
        <v>1965</v>
      </c>
      <c r="R2774" t="s">
        <v>50</v>
      </c>
      <c r="S2774" t="s">
        <v>1671</v>
      </c>
      <c r="U2774" t="s">
        <v>1972</v>
      </c>
      <c r="W2774" t="s">
        <v>255</v>
      </c>
      <c r="X2774">
        <v>650</v>
      </c>
      <c r="Y2774" t="s">
        <v>2006</v>
      </c>
      <c r="Z2774" t="s">
        <v>2015</v>
      </c>
      <c r="AA2774" t="s">
        <v>2029</v>
      </c>
      <c r="AB2774" t="s">
        <v>14976</v>
      </c>
      <c r="AD2774" t="s">
        <v>17381</v>
      </c>
      <c r="AE2774" t="s">
        <v>13051</v>
      </c>
      <c r="AF2774" t="s">
        <v>2902</v>
      </c>
      <c r="AG2774" t="s">
        <v>2915</v>
      </c>
      <c r="AH2774">
        <v>7</v>
      </c>
      <c r="AI2774">
        <v>1</v>
      </c>
      <c r="AJ2774">
        <v>0</v>
      </c>
      <c r="AK2774">
        <v>187.35</v>
      </c>
      <c r="AN2774" t="s">
        <v>2926</v>
      </c>
      <c r="AO2774">
        <v>23400</v>
      </c>
      <c r="AU2774">
        <v>1.5</v>
      </c>
      <c r="AV2774" t="s">
        <v>283</v>
      </c>
      <c r="AW2774" t="s">
        <v>95</v>
      </c>
    </row>
    <row r="2775" spans="1:50">
      <c r="A2775" s="1" t="s">
        <v>103</v>
      </c>
      <c r="B2775" t="s">
        <v>163</v>
      </c>
      <c r="C2775" t="s">
        <v>5985</v>
      </c>
      <c r="D2775" t="s">
        <v>409</v>
      </c>
      <c r="F2775" t="s">
        <v>7827</v>
      </c>
      <c r="G2775" t="s">
        <v>9100</v>
      </c>
      <c r="H2775" t="s">
        <v>9380</v>
      </c>
      <c r="I2775" t="s">
        <v>1489</v>
      </c>
      <c r="J2775" t="s">
        <v>1644</v>
      </c>
      <c r="K2775">
        <v>11233</v>
      </c>
      <c r="L2775" t="s">
        <v>1670</v>
      </c>
      <c r="M2775" t="s">
        <v>1672</v>
      </c>
      <c r="N2775" t="s">
        <v>12684</v>
      </c>
      <c r="O2775" t="s">
        <v>1936</v>
      </c>
      <c r="P2775" t="s">
        <v>1958</v>
      </c>
      <c r="R2775" t="s">
        <v>50</v>
      </c>
      <c r="S2775" t="s">
        <v>1671</v>
      </c>
      <c r="U2775" t="s">
        <v>1972</v>
      </c>
      <c r="V2775" t="s">
        <v>1984</v>
      </c>
      <c r="W2775" t="s">
        <v>364</v>
      </c>
      <c r="X2775">
        <v>1000</v>
      </c>
      <c r="Y2775" t="s">
        <v>2009</v>
      </c>
      <c r="Z2775" t="s">
        <v>2027</v>
      </c>
      <c r="AB2775" t="s">
        <v>14977</v>
      </c>
      <c r="AD2775" t="s">
        <v>17382</v>
      </c>
      <c r="AE2775">
        <v>30</v>
      </c>
      <c r="AF2775" t="s">
        <v>2904</v>
      </c>
      <c r="AG2775" t="s">
        <v>1754</v>
      </c>
      <c r="AH2775">
        <v>4</v>
      </c>
      <c r="AI2775">
        <v>1</v>
      </c>
      <c r="AJ2775">
        <v>0</v>
      </c>
      <c r="AK2775">
        <v>187.35</v>
      </c>
      <c r="AN2775" t="s">
        <v>2926</v>
      </c>
      <c r="AO2775">
        <v>23400</v>
      </c>
      <c r="AU2775">
        <v>4.5</v>
      </c>
      <c r="AV2775" t="s">
        <v>222</v>
      </c>
      <c r="AW2775" t="s">
        <v>18658</v>
      </c>
      <c r="AX2775" t="s">
        <v>18685</v>
      </c>
    </row>
    <row r="2776" spans="1:50">
      <c r="A2776" s="1" t="s">
        <v>57</v>
      </c>
      <c r="B2776" t="s">
        <v>163</v>
      </c>
      <c r="C2776" t="s">
        <v>5986</v>
      </c>
      <c r="D2776" t="s">
        <v>182</v>
      </c>
      <c r="F2776" t="s">
        <v>7828</v>
      </c>
      <c r="G2776" t="s">
        <v>8222</v>
      </c>
      <c r="H2776" t="s">
        <v>1112</v>
      </c>
      <c r="I2776" t="s">
        <v>11440</v>
      </c>
      <c r="J2776" t="s">
        <v>1641</v>
      </c>
      <c r="K2776">
        <v>10453</v>
      </c>
      <c r="L2776" t="s">
        <v>1670</v>
      </c>
      <c r="M2776" t="s">
        <v>1670</v>
      </c>
      <c r="O2776" t="s">
        <v>1938</v>
      </c>
      <c r="P2776" t="s">
        <v>1961</v>
      </c>
      <c r="R2776" t="s">
        <v>50</v>
      </c>
      <c r="S2776" t="s">
        <v>1670</v>
      </c>
      <c r="U2776" t="s">
        <v>1972</v>
      </c>
      <c r="W2776" t="s">
        <v>283</v>
      </c>
      <c r="X2776">
        <v>1523</v>
      </c>
      <c r="Y2776" t="s">
        <v>2006</v>
      </c>
      <c r="Z2776" t="s">
        <v>2015</v>
      </c>
      <c r="AB2776" t="s">
        <v>13285</v>
      </c>
      <c r="AD2776" t="s">
        <v>17383</v>
      </c>
      <c r="AE2776">
        <v>170</v>
      </c>
      <c r="AF2776" t="s">
        <v>2902</v>
      </c>
      <c r="AG2776" t="s">
        <v>1754</v>
      </c>
      <c r="AH2776">
        <v>7</v>
      </c>
      <c r="AI2776">
        <v>1</v>
      </c>
      <c r="AJ2776">
        <v>0</v>
      </c>
      <c r="AK2776">
        <v>187.35</v>
      </c>
      <c r="AN2776" t="s">
        <v>2927</v>
      </c>
      <c r="AO2776">
        <v>23400</v>
      </c>
      <c r="AU2776" t="s">
        <v>13051</v>
      </c>
      <c r="AW2776" t="s">
        <v>3047</v>
      </c>
    </row>
    <row r="2777" spans="1:50">
      <c r="A2777" s="1" t="s">
        <v>57</v>
      </c>
      <c r="B2777" t="s">
        <v>163</v>
      </c>
      <c r="C2777" t="s">
        <v>5987</v>
      </c>
      <c r="D2777" t="s">
        <v>182</v>
      </c>
      <c r="F2777" t="s">
        <v>7828</v>
      </c>
      <c r="G2777" t="s">
        <v>8222</v>
      </c>
      <c r="H2777" t="s">
        <v>1112</v>
      </c>
      <c r="I2777" t="s">
        <v>11440</v>
      </c>
      <c r="J2777" t="s">
        <v>1641</v>
      </c>
      <c r="K2777">
        <v>10453</v>
      </c>
      <c r="L2777" t="s">
        <v>1670</v>
      </c>
      <c r="M2777" t="s">
        <v>1670</v>
      </c>
      <c r="N2777" t="s">
        <v>1677</v>
      </c>
      <c r="O2777" t="s">
        <v>1939</v>
      </c>
      <c r="P2777" t="s">
        <v>1960</v>
      </c>
      <c r="R2777" t="s">
        <v>50</v>
      </c>
      <c r="S2777" t="s">
        <v>1670</v>
      </c>
      <c r="U2777" t="s">
        <v>1972</v>
      </c>
      <c r="W2777" t="s">
        <v>283</v>
      </c>
      <c r="X2777">
        <v>1523</v>
      </c>
      <c r="Y2777" t="s">
        <v>2006</v>
      </c>
      <c r="Z2777" t="s">
        <v>2015</v>
      </c>
      <c r="AB2777" t="s">
        <v>13285</v>
      </c>
      <c r="AD2777" t="s">
        <v>17383</v>
      </c>
      <c r="AE2777">
        <v>170</v>
      </c>
      <c r="AF2777" t="s">
        <v>2902</v>
      </c>
      <c r="AG2777" t="s">
        <v>1754</v>
      </c>
      <c r="AH2777">
        <v>7</v>
      </c>
      <c r="AI2777">
        <v>1</v>
      </c>
      <c r="AJ2777">
        <v>0</v>
      </c>
      <c r="AK2777">
        <v>187.35</v>
      </c>
      <c r="AN2777" t="s">
        <v>2927</v>
      </c>
      <c r="AO2777">
        <v>23400</v>
      </c>
      <c r="AU2777" t="s">
        <v>13051</v>
      </c>
      <c r="AW2777" t="s">
        <v>3047</v>
      </c>
    </row>
    <row r="2778" spans="1:50">
      <c r="A2778" s="1" t="s">
        <v>73</v>
      </c>
      <c r="B2778" t="s">
        <v>164</v>
      </c>
      <c r="C2778" t="s">
        <v>5988</v>
      </c>
      <c r="D2778" t="s">
        <v>257</v>
      </c>
      <c r="E2778" t="s">
        <v>257</v>
      </c>
      <c r="F2778" t="s">
        <v>6916</v>
      </c>
      <c r="G2778" t="s">
        <v>7951</v>
      </c>
      <c r="H2778" t="s">
        <v>10662</v>
      </c>
      <c r="I2778" t="s">
        <v>10939</v>
      </c>
      <c r="J2778" t="s">
        <v>1666</v>
      </c>
      <c r="K2778">
        <v>11368</v>
      </c>
      <c r="L2778" t="s">
        <v>1670</v>
      </c>
      <c r="M2778" t="s">
        <v>1670</v>
      </c>
      <c r="N2778" t="s">
        <v>12685</v>
      </c>
      <c r="O2778" t="s">
        <v>1936</v>
      </c>
      <c r="P2778" t="s">
        <v>1958</v>
      </c>
      <c r="Q2778" t="s">
        <v>1965</v>
      </c>
      <c r="R2778" t="s">
        <v>50</v>
      </c>
      <c r="S2778" t="s">
        <v>1671</v>
      </c>
      <c r="U2778" t="s">
        <v>1972</v>
      </c>
      <c r="V2778" t="s">
        <v>1985</v>
      </c>
      <c r="W2778" t="s">
        <v>257</v>
      </c>
      <c r="X2778">
        <v>1681</v>
      </c>
      <c r="Y2778" t="s">
        <v>2007</v>
      </c>
      <c r="Z2778" t="s">
        <v>2014</v>
      </c>
      <c r="AA2778" t="s">
        <v>2029</v>
      </c>
      <c r="AB2778" t="s">
        <v>14978</v>
      </c>
      <c r="AD2778" t="s">
        <v>17384</v>
      </c>
      <c r="AE2778">
        <v>252</v>
      </c>
      <c r="AF2778" t="s">
        <v>2902</v>
      </c>
      <c r="AG2778" t="s">
        <v>1754</v>
      </c>
      <c r="AH2778">
        <v>30</v>
      </c>
      <c r="AI2778">
        <v>1</v>
      </c>
      <c r="AJ2778">
        <v>0</v>
      </c>
      <c r="AK2778">
        <v>187.51</v>
      </c>
      <c r="AN2778" t="s">
        <v>2927</v>
      </c>
      <c r="AO2778">
        <v>22764</v>
      </c>
      <c r="AU2778">
        <v>0.6</v>
      </c>
      <c r="AV2778" t="s">
        <v>257</v>
      </c>
      <c r="AW2778" t="s">
        <v>3044</v>
      </c>
    </row>
    <row r="2779" spans="1:50">
      <c r="A2779" s="1" t="s">
        <v>57</v>
      </c>
      <c r="B2779" t="s">
        <v>163</v>
      </c>
      <c r="C2779" t="s">
        <v>5989</v>
      </c>
      <c r="D2779" t="s">
        <v>244</v>
      </c>
      <c r="F2779" t="s">
        <v>7829</v>
      </c>
      <c r="G2779" t="s">
        <v>9101</v>
      </c>
      <c r="H2779" t="s">
        <v>1193</v>
      </c>
      <c r="I2779" t="s">
        <v>11058</v>
      </c>
      <c r="J2779" t="s">
        <v>1641</v>
      </c>
      <c r="K2779">
        <v>10456</v>
      </c>
      <c r="L2779" t="s">
        <v>1670</v>
      </c>
      <c r="M2779" t="s">
        <v>1670</v>
      </c>
      <c r="N2779" t="s">
        <v>1735</v>
      </c>
      <c r="O2779" t="s">
        <v>1938</v>
      </c>
      <c r="P2779" t="s">
        <v>1961</v>
      </c>
      <c r="R2779" t="s">
        <v>50</v>
      </c>
      <c r="S2779" t="s">
        <v>1670</v>
      </c>
      <c r="U2779" t="s">
        <v>1972</v>
      </c>
      <c r="W2779" t="s">
        <v>1992</v>
      </c>
      <c r="X2779">
        <v>1255</v>
      </c>
      <c r="Y2779" t="s">
        <v>2006</v>
      </c>
      <c r="Z2779" t="s">
        <v>2015</v>
      </c>
      <c r="AB2779" t="s">
        <v>13915</v>
      </c>
      <c r="AD2779" t="s">
        <v>17385</v>
      </c>
      <c r="AE2779">
        <v>61</v>
      </c>
      <c r="AF2779" t="s">
        <v>2902</v>
      </c>
      <c r="AG2779" t="s">
        <v>2915</v>
      </c>
      <c r="AH2779">
        <v>19</v>
      </c>
      <c r="AI2779">
        <v>3</v>
      </c>
      <c r="AJ2779">
        <v>0</v>
      </c>
      <c r="AK2779">
        <v>187.68</v>
      </c>
      <c r="AN2779" t="s">
        <v>2927</v>
      </c>
      <c r="AO2779">
        <v>39000</v>
      </c>
      <c r="AU2779" t="s">
        <v>13051</v>
      </c>
      <c r="AW2779" t="s">
        <v>3047</v>
      </c>
    </row>
    <row r="2780" spans="1:50">
      <c r="A2780" s="1" t="s">
        <v>57</v>
      </c>
      <c r="B2780" t="s">
        <v>163</v>
      </c>
      <c r="C2780" t="s">
        <v>5990</v>
      </c>
      <c r="D2780" t="s">
        <v>245</v>
      </c>
      <c r="F2780" t="s">
        <v>7829</v>
      </c>
      <c r="G2780" t="s">
        <v>9101</v>
      </c>
      <c r="H2780" t="s">
        <v>1193</v>
      </c>
      <c r="I2780" t="s">
        <v>11058</v>
      </c>
      <c r="J2780" t="s">
        <v>1641</v>
      </c>
      <c r="K2780">
        <v>10456</v>
      </c>
      <c r="L2780" t="s">
        <v>1670</v>
      </c>
      <c r="M2780" t="s">
        <v>1670</v>
      </c>
      <c r="N2780" t="s">
        <v>1736</v>
      </c>
      <c r="O2780" t="s">
        <v>1938</v>
      </c>
      <c r="P2780" t="s">
        <v>1961</v>
      </c>
      <c r="R2780" t="s">
        <v>50</v>
      </c>
      <c r="S2780" t="s">
        <v>1670</v>
      </c>
      <c r="U2780" t="s">
        <v>1972</v>
      </c>
      <c r="W2780" t="s">
        <v>359</v>
      </c>
      <c r="X2780">
        <v>1255</v>
      </c>
      <c r="Y2780" t="s">
        <v>2006</v>
      </c>
      <c r="Z2780" t="s">
        <v>2015</v>
      </c>
      <c r="AB2780" t="s">
        <v>13915</v>
      </c>
      <c r="AD2780" t="s">
        <v>17385</v>
      </c>
      <c r="AE2780">
        <v>61</v>
      </c>
      <c r="AF2780" t="s">
        <v>2902</v>
      </c>
      <c r="AG2780" t="s">
        <v>2915</v>
      </c>
      <c r="AH2780">
        <v>19</v>
      </c>
      <c r="AI2780">
        <v>3</v>
      </c>
      <c r="AJ2780">
        <v>0</v>
      </c>
      <c r="AK2780">
        <v>187.68</v>
      </c>
      <c r="AN2780" t="s">
        <v>2927</v>
      </c>
      <c r="AO2780">
        <v>39000</v>
      </c>
      <c r="AU2780" t="s">
        <v>13051</v>
      </c>
      <c r="AW2780" t="s">
        <v>3046</v>
      </c>
    </row>
    <row r="2781" spans="1:50">
      <c r="A2781" s="1" t="s">
        <v>96</v>
      </c>
      <c r="B2781" t="s">
        <v>164</v>
      </c>
      <c r="C2781" t="s">
        <v>5991</v>
      </c>
      <c r="D2781" t="s">
        <v>166</v>
      </c>
      <c r="E2781" t="s">
        <v>353</v>
      </c>
      <c r="F2781" t="s">
        <v>526</v>
      </c>
      <c r="G2781" t="s">
        <v>8145</v>
      </c>
      <c r="H2781" t="s">
        <v>10663</v>
      </c>
      <c r="I2781" t="s">
        <v>11169</v>
      </c>
      <c r="J2781" t="s">
        <v>1644</v>
      </c>
      <c r="K2781">
        <v>11226</v>
      </c>
      <c r="L2781" t="s">
        <v>1670</v>
      </c>
      <c r="M2781" t="s">
        <v>1672</v>
      </c>
      <c r="N2781" t="s">
        <v>12686</v>
      </c>
      <c r="O2781" t="s">
        <v>1936</v>
      </c>
      <c r="P2781" t="s">
        <v>1960</v>
      </c>
      <c r="Q2781" t="s">
        <v>1969</v>
      </c>
      <c r="R2781" t="s">
        <v>50</v>
      </c>
      <c r="S2781" t="s">
        <v>1671</v>
      </c>
      <c r="U2781" t="s">
        <v>1972</v>
      </c>
      <c r="V2781" t="s">
        <v>1985</v>
      </c>
      <c r="W2781" t="s">
        <v>238</v>
      </c>
      <c r="X2781">
        <v>1510</v>
      </c>
      <c r="Y2781" t="s">
        <v>2009</v>
      </c>
      <c r="Z2781" t="s">
        <v>2015</v>
      </c>
      <c r="AA2781" t="s">
        <v>2032</v>
      </c>
      <c r="AB2781" t="s">
        <v>14979</v>
      </c>
      <c r="AC2781">
        <v>9307154</v>
      </c>
      <c r="AD2781" t="s">
        <v>17386</v>
      </c>
      <c r="AE2781">
        <v>30</v>
      </c>
      <c r="AF2781" t="s">
        <v>2902</v>
      </c>
      <c r="AG2781" t="s">
        <v>1754</v>
      </c>
      <c r="AH2781">
        <v>28</v>
      </c>
      <c r="AI2781">
        <v>3</v>
      </c>
      <c r="AJ2781">
        <v>0</v>
      </c>
      <c r="AK2781">
        <v>187.68</v>
      </c>
      <c r="AN2781" t="s">
        <v>2926</v>
      </c>
      <c r="AO2781">
        <v>39000</v>
      </c>
      <c r="AR2781" t="s">
        <v>2988</v>
      </c>
      <c r="AS2781" t="s">
        <v>2992</v>
      </c>
      <c r="AT2781" t="s">
        <v>18544</v>
      </c>
      <c r="AU2781">
        <v>28.8</v>
      </c>
      <c r="AV2781" t="s">
        <v>179</v>
      </c>
      <c r="AW2781" t="s">
        <v>3079</v>
      </c>
      <c r="AX2781" t="s">
        <v>18685</v>
      </c>
    </row>
    <row r="2782" spans="1:50">
      <c r="A2782" s="1" t="s">
        <v>3143</v>
      </c>
      <c r="B2782" t="s">
        <v>164</v>
      </c>
      <c r="C2782" t="s">
        <v>5992</v>
      </c>
      <c r="D2782" t="s">
        <v>225</v>
      </c>
      <c r="E2782" t="s">
        <v>254</v>
      </c>
      <c r="F2782" t="s">
        <v>7252</v>
      </c>
      <c r="G2782" t="s">
        <v>9102</v>
      </c>
      <c r="H2782" t="s">
        <v>10664</v>
      </c>
      <c r="J2782" t="s">
        <v>1641</v>
      </c>
      <c r="K2782">
        <v>10466</v>
      </c>
      <c r="L2782" t="s">
        <v>1670</v>
      </c>
      <c r="M2782" t="s">
        <v>1670</v>
      </c>
      <c r="O2782" t="s">
        <v>1943</v>
      </c>
      <c r="P2782" t="s">
        <v>1959</v>
      </c>
      <c r="Q2782" t="s">
        <v>1970</v>
      </c>
      <c r="R2782" t="s">
        <v>50</v>
      </c>
      <c r="U2782" t="s">
        <v>1973</v>
      </c>
      <c r="W2782" t="s">
        <v>1992</v>
      </c>
      <c r="X2782" t="s">
        <v>13051</v>
      </c>
      <c r="Y2782" t="s">
        <v>2006</v>
      </c>
      <c r="AA2782" t="s">
        <v>2030</v>
      </c>
      <c r="AB2782" t="s">
        <v>14980</v>
      </c>
      <c r="AD2782" t="s">
        <v>17387</v>
      </c>
      <c r="AE2782" t="s">
        <v>13051</v>
      </c>
      <c r="AF2782" t="s">
        <v>2902</v>
      </c>
      <c r="AG2782" t="s">
        <v>2915</v>
      </c>
      <c r="AH2782" t="s">
        <v>13051</v>
      </c>
      <c r="AI2782">
        <v>1</v>
      </c>
      <c r="AJ2782">
        <v>0</v>
      </c>
      <c r="AK2782">
        <v>187.81</v>
      </c>
      <c r="AN2782" t="s">
        <v>2926</v>
      </c>
      <c r="AO2782">
        <v>22800</v>
      </c>
      <c r="AP2782" t="s">
        <v>18375</v>
      </c>
      <c r="AU2782">
        <v>8.5</v>
      </c>
      <c r="AV2782" t="s">
        <v>1993</v>
      </c>
      <c r="AW2782" t="s">
        <v>3143</v>
      </c>
    </row>
    <row r="2783" spans="1:50">
      <c r="A2783" s="1" t="s">
        <v>79</v>
      </c>
      <c r="B2783" t="s">
        <v>163</v>
      </c>
      <c r="C2783" t="s">
        <v>5993</v>
      </c>
      <c r="D2783" t="s">
        <v>279</v>
      </c>
      <c r="F2783" t="s">
        <v>7435</v>
      </c>
      <c r="G2783" t="s">
        <v>8579</v>
      </c>
      <c r="H2783" t="s">
        <v>10042</v>
      </c>
      <c r="I2783">
        <v>201</v>
      </c>
      <c r="J2783" t="s">
        <v>1643</v>
      </c>
      <c r="K2783">
        <v>10025</v>
      </c>
      <c r="L2783" t="s">
        <v>1670</v>
      </c>
      <c r="M2783" t="s">
        <v>1670</v>
      </c>
      <c r="O2783" t="s">
        <v>1956</v>
      </c>
      <c r="P2783" t="s">
        <v>1960</v>
      </c>
      <c r="R2783" t="s">
        <v>50</v>
      </c>
      <c r="S2783" t="s">
        <v>1670</v>
      </c>
      <c r="U2783" t="s">
        <v>1972</v>
      </c>
      <c r="V2783" t="s">
        <v>1984</v>
      </c>
      <c r="W2783" t="s">
        <v>356</v>
      </c>
      <c r="X2783" t="s">
        <v>13051</v>
      </c>
      <c r="Y2783" t="s">
        <v>2009</v>
      </c>
      <c r="Z2783" t="s">
        <v>2019</v>
      </c>
      <c r="AB2783" t="s">
        <v>14097</v>
      </c>
      <c r="AD2783" t="s">
        <v>16527</v>
      </c>
      <c r="AE2783">
        <v>24</v>
      </c>
      <c r="AF2783" t="s">
        <v>2902</v>
      </c>
      <c r="AG2783" t="s">
        <v>2916</v>
      </c>
      <c r="AH2783" t="s">
        <v>13051</v>
      </c>
      <c r="AI2783">
        <v>2</v>
      </c>
      <c r="AJ2783">
        <v>0</v>
      </c>
      <c r="AK2783">
        <v>187.96</v>
      </c>
      <c r="AM2783" t="s">
        <v>18032</v>
      </c>
      <c r="AN2783" t="s">
        <v>2926</v>
      </c>
      <c r="AO2783">
        <v>30938</v>
      </c>
      <c r="AP2783" t="s">
        <v>18069</v>
      </c>
      <c r="AU2783">
        <v>65.8</v>
      </c>
      <c r="AV2783" t="s">
        <v>3034</v>
      </c>
      <c r="AW2783" t="s">
        <v>3060</v>
      </c>
    </row>
    <row r="2784" spans="1:50">
      <c r="A2784" s="1" t="s">
        <v>62</v>
      </c>
      <c r="B2784" t="s">
        <v>163</v>
      </c>
      <c r="C2784" t="s">
        <v>5994</v>
      </c>
      <c r="D2784" t="s">
        <v>197</v>
      </c>
      <c r="F2784" t="s">
        <v>7408</v>
      </c>
      <c r="G2784" t="s">
        <v>9103</v>
      </c>
      <c r="H2784" t="s">
        <v>10665</v>
      </c>
      <c r="I2784" t="s">
        <v>11441</v>
      </c>
      <c r="J2784" t="s">
        <v>1644</v>
      </c>
      <c r="K2784">
        <v>11226</v>
      </c>
      <c r="L2784" t="s">
        <v>1670</v>
      </c>
      <c r="M2784" t="s">
        <v>1670</v>
      </c>
      <c r="N2784" t="s">
        <v>12687</v>
      </c>
      <c r="O2784" t="s">
        <v>1939</v>
      </c>
      <c r="P2784" t="s">
        <v>1960</v>
      </c>
      <c r="R2784" t="s">
        <v>50</v>
      </c>
      <c r="S2784" t="s">
        <v>1671</v>
      </c>
      <c r="U2784" t="s">
        <v>1972</v>
      </c>
      <c r="V2784" t="s">
        <v>1984</v>
      </c>
      <c r="W2784" t="s">
        <v>356</v>
      </c>
      <c r="X2784">
        <v>1500</v>
      </c>
      <c r="Y2784" t="s">
        <v>2009</v>
      </c>
      <c r="Z2784" t="s">
        <v>2015</v>
      </c>
      <c r="AB2784" t="s">
        <v>14981</v>
      </c>
      <c r="AC2784">
        <v>35171648</v>
      </c>
      <c r="AD2784" t="s">
        <v>17388</v>
      </c>
      <c r="AE2784">
        <v>66</v>
      </c>
      <c r="AF2784" t="s">
        <v>2902</v>
      </c>
      <c r="AG2784" t="s">
        <v>1754</v>
      </c>
      <c r="AH2784">
        <v>4</v>
      </c>
      <c r="AI2784">
        <v>3</v>
      </c>
      <c r="AJ2784">
        <v>0</v>
      </c>
      <c r="AK2784">
        <v>188.12</v>
      </c>
      <c r="AN2784" t="s">
        <v>2926</v>
      </c>
      <c r="AO2784">
        <v>39092</v>
      </c>
      <c r="AU2784">
        <v>71.25</v>
      </c>
      <c r="AV2784" t="s">
        <v>177</v>
      </c>
      <c r="AW2784" t="s">
        <v>3079</v>
      </c>
    </row>
    <row r="2785" spans="1:50">
      <c r="A2785" s="1" t="s">
        <v>62</v>
      </c>
      <c r="B2785" t="s">
        <v>163</v>
      </c>
      <c r="C2785" t="s">
        <v>5995</v>
      </c>
      <c r="D2785" t="s">
        <v>6186</v>
      </c>
      <c r="F2785" t="s">
        <v>7408</v>
      </c>
      <c r="G2785" t="s">
        <v>9103</v>
      </c>
      <c r="H2785" t="s">
        <v>10665</v>
      </c>
      <c r="I2785" t="s">
        <v>11441</v>
      </c>
      <c r="J2785" t="s">
        <v>1644</v>
      </c>
      <c r="K2785">
        <v>11226</v>
      </c>
      <c r="L2785" t="s">
        <v>1670</v>
      </c>
      <c r="M2785" t="s">
        <v>1670</v>
      </c>
      <c r="O2785" t="s">
        <v>1946</v>
      </c>
      <c r="P2785" t="s">
        <v>1960</v>
      </c>
      <c r="R2785" t="s">
        <v>50</v>
      </c>
      <c r="U2785" t="s">
        <v>1972</v>
      </c>
      <c r="V2785" t="s">
        <v>1984</v>
      </c>
      <c r="W2785" t="s">
        <v>6186</v>
      </c>
      <c r="X2785">
        <v>1500</v>
      </c>
      <c r="Y2785" t="s">
        <v>2009</v>
      </c>
      <c r="Z2785" t="s">
        <v>2020</v>
      </c>
      <c r="AB2785" t="s">
        <v>14981</v>
      </c>
      <c r="AC2785">
        <v>35171648</v>
      </c>
      <c r="AD2785" t="s">
        <v>17388</v>
      </c>
      <c r="AE2785">
        <v>66</v>
      </c>
      <c r="AH2785">
        <v>4</v>
      </c>
      <c r="AI2785">
        <v>3</v>
      </c>
      <c r="AJ2785">
        <v>0</v>
      </c>
      <c r="AK2785">
        <v>188.12</v>
      </c>
      <c r="AN2785" t="s">
        <v>2926</v>
      </c>
      <c r="AO2785">
        <v>39092</v>
      </c>
      <c r="AU2785">
        <v>26.5</v>
      </c>
      <c r="AV2785" t="s">
        <v>347</v>
      </c>
      <c r="AW2785" t="s">
        <v>3049</v>
      </c>
    </row>
    <row r="2786" spans="1:50">
      <c r="A2786" s="1" t="s">
        <v>112</v>
      </c>
      <c r="B2786" t="s">
        <v>164</v>
      </c>
      <c r="C2786" t="s">
        <v>5996</v>
      </c>
      <c r="D2786" t="s">
        <v>2000</v>
      </c>
      <c r="E2786" t="s">
        <v>341</v>
      </c>
      <c r="F2786" t="s">
        <v>7805</v>
      </c>
      <c r="G2786" t="s">
        <v>8598</v>
      </c>
      <c r="H2786" t="s">
        <v>10666</v>
      </c>
      <c r="I2786" t="s">
        <v>11144</v>
      </c>
      <c r="J2786" t="s">
        <v>1646</v>
      </c>
      <c r="K2786">
        <v>10304</v>
      </c>
      <c r="L2786" t="s">
        <v>1670</v>
      </c>
      <c r="M2786" t="s">
        <v>1670</v>
      </c>
      <c r="N2786" t="s">
        <v>1754</v>
      </c>
      <c r="O2786" t="s">
        <v>1943</v>
      </c>
      <c r="P2786" t="s">
        <v>1958</v>
      </c>
      <c r="Q2786" t="s">
        <v>1965</v>
      </c>
      <c r="R2786" t="s">
        <v>50</v>
      </c>
      <c r="S2786" t="s">
        <v>1671</v>
      </c>
      <c r="U2786" t="s">
        <v>1972</v>
      </c>
      <c r="W2786" t="s">
        <v>2000</v>
      </c>
      <c r="X2786">
        <v>1238</v>
      </c>
      <c r="Y2786" t="s">
        <v>2010</v>
      </c>
      <c r="Z2786" t="s">
        <v>2019</v>
      </c>
      <c r="AA2786" t="s">
        <v>2029</v>
      </c>
      <c r="AB2786" t="s">
        <v>14982</v>
      </c>
      <c r="AC2786" t="s">
        <v>1754</v>
      </c>
      <c r="AD2786" t="s">
        <v>17389</v>
      </c>
      <c r="AE2786">
        <v>2</v>
      </c>
      <c r="AF2786" t="s">
        <v>2903</v>
      </c>
      <c r="AG2786" t="s">
        <v>2915</v>
      </c>
      <c r="AH2786">
        <v>6</v>
      </c>
      <c r="AI2786">
        <v>2</v>
      </c>
      <c r="AJ2786">
        <v>0</v>
      </c>
      <c r="AK2786">
        <v>188.29</v>
      </c>
      <c r="AN2786" t="s">
        <v>2927</v>
      </c>
      <c r="AO2786">
        <v>30992</v>
      </c>
      <c r="AU2786">
        <v>4.25</v>
      </c>
      <c r="AV2786" t="s">
        <v>205</v>
      </c>
      <c r="AW2786" t="s">
        <v>3043</v>
      </c>
    </row>
    <row r="2787" spans="1:50">
      <c r="A2787" s="1" t="s">
        <v>115</v>
      </c>
      <c r="B2787" t="s">
        <v>164</v>
      </c>
      <c r="C2787" t="s">
        <v>5997</v>
      </c>
      <c r="D2787" t="s">
        <v>2005</v>
      </c>
      <c r="E2787" t="s">
        <v>297</v>
      </c>
      <c r="F2787" t="s">
        <v>6811</v>
      </c>
      <c r="G2787" t="s">
        <v>8919</v>
      </c>
      <c r="H2787" t="s">
        <v>10438</v>
      </c>
      <c r="I2787" t="s">
        <v>11101</v>
      </c>
      <c r="J2787" t="s">
        <v>1641</v>
      </c>
      <c r="K2787">
        <v>10453</v>
      </c>
      <c r="L2787" t="s">
        <v>1670</v>
      </c>
      <c r="M2787" t="s">
        <v>1670</v>
      </c>
      <c r="O2787" t="s">
        <v>1675</v>
      </c>
      <c r="P2787" t="s">
        <v>1962</v>
      </c>
      <c r="Q2787" t="s">
        <v>1968</v>
      </c>
      <c r="R2787" t="s">
        <v>50</v>
      </c>
      <c r="S2787" t="s">
        <v>1671</v>
      </c>
      <c r="U2787" t="s">
        <v>1972</v>
      </c>
      <c r="W2787" t="s">
        <v>2005</v>
      </c>
      <c r="X2787">
        <v>1067</v>
      </c>
      <c r="Y2787" t="s">
        <v>2006</v>
      </c>
      <c r="Z2787" t="s">
        <v>2015</v>
      </c>
      <c r="AA2787" t="s">
        <v>2030</v>
      </c>
      <c r="AB2787" t="s">
        <v>14682</v>
      </c>
      <c r="AD2787" t="s">
        <v>17084</v>
      </c>
      <c r="AE2787">
        <v>70</v>
      </c>
      <c r="AF2787" t="s">
        <v>2902</v>
      </c>
      <c r="AG2787" t="s">
        <v>2915</v>
      </c>
      <c r="AH2787">
        <v>23</v>
      </c>
      <c r="AI2787">
        <v>1</v>
      </c>
      <c r="AJ2787">
        <v>0</v>
      </c>
      <c r="AK2787">
        <v>188.47</v>
      </c>
      <c r="AN2787" t="s">
        <v>2927</v>
      </c>
      <c r="AO2787">
        <v>22880</v>
      </c>
      <c r="AU2787">
        <v>1.9</v>
      </c>
      <c r="AV2787" t="s">
        <v>297</v>
      </c>
      <c r="AW2787" t="s">
        <v>115</v>
      </c>
    </row>
    <row r="2788" spans="1:50">
      <c r="A2788" s="1" t="s">
        <v>3172</v>
      </c>
      <c r="B2788" t="s">
        <v>163</v>
      </c>
      <c r="C2788" t="s">
        <v>5998</v>
      </c>
      <c r="D2788" t="s">
        <v>393</v>
      </c>
      <c r="F2788" t="s">
        <v>6888</v>
      </c>
      <c r="G2788" t="s">
        <v>9104</v>
      </c>
      <c r="H2788" t="s">
        <v>9806</v>
      </c>
      <c r="I2788" t="s">
        <v>11402</v>
      </c>
      <c r="J2788" t="s">
        <v>1668</v>
      </c>
      <c r="K2788">
        <v>11354</v>
      </c>
      <c r="L2788" t="s">
        <v>1670</v>
      </c>
      <c r="M2788" t="s">
        <v>1672</v>
      </c>
      <c r="N2788" t="s">
        <v>12203</v>
      </c>
      <c r="O2788" t="s">
        <v>1938</v>
      </c>
      <c r="P2788" t="s">
        <v>1961</v>
      </c>
      <c r="R2788" t="s">
        <v>50</v>
      </c>
      <c r="S2788" t="s">
        <v>1670</v>
      </c>
      <c r="U2788" t="s">
        <v>1972</v>
      </c>
      <c r="V2788" t="s">
        <v>1984</v>
      </c>
      <c r="W2788" t="s">
        <v>222</v>
      </c>
      <c r="X2788">
        <v>1032</v>
      </c>
      <c r="Y2788" t="s">
        <v>2007</v>
      </c>
      <c r="Z2788" t="s">
        <v>2026</v>
      </c>
      <c r="AB2788" t="s">
        <v>14983</v>
      </c>
      <c r="AD2788" t="s">
        <v>17390</v>
      </c>
      <c r="AE2788">
        <v>91</v>
      </c>
      <c r="AF2788" t="s">
        <v>2902</v>
      </c>
      <c r="AG2788" t="s">
        <v>1754</v>
      </c>
      <c r="AH2788">
        <v>23</v>
      </c>
      <c r="AI2788">
        <v>3</v>
      </c>
      <c r="AJ2788">
        <v>0</v>
      </c>
      <c r="AK2788">
        <v>188.47</v>
      </c>
      <c r="AN2788" t="s">
        <v>2926</v>
      </c>
      <c r="AO2788">
        <v>40200</v>
      </c>
      <c r="AU2788" t="s">
        <v>13051</v>
      </c>
      <c r="AW2788" t="s">
        <v>3172</v>
      </c>
      <c r="AX2788" t="s">
        <v>18685</v>
      </c>
    </row>
    <row r="2789" spans="1:50">
      <c r="A2789" s="1" t="s">
        <v>94</v>
      </c>
      <c r="B2789" t="s">
        <v>164</v>
      </c>
      <c r="C2789" t="s">
        <v>5999</v>
      </c>
      <c r="D2789" t="s">
        <v>290</v>
      </c>
      <c r="E2789" t="s">
        <v>249</v>
      </c>
      <c r="F2789" t="s">
        <v>438</v>
      </c>
      <c r="G2789" t="s">
        <v>7981</v>
      </c>
      <c r="H2789" t="s">
        <v>10667</v>
      </c>
      <c r="I2789" t="s">
        <v>1624</v>
      </c>
      <c r="J2789" t="s">
        <v>1643</v>
      </c>
      <c r="K2789">
        <v>10032</v>
      </c>
      <c r="L2789" t="s">
        <v>1670</v>
      </c>
      <c r="M2789" t="s">
        <v>1672</v>
      </c>
      <c r="O2789" t="s">
        <v>1941</v>
      </c>
      <c r="P2789" t="s">
        <v>1958</v>
      </c>
      <c r="Q2789" t="s">
        <v>1965</v>
      </c>
      <c r="R2789" t="s">
        <v>50</v>
      </c>
      <c r="S2789" t="s">
        <v>1671</v>
      </c>
      <c r="U2789" t="s">
        <v>1972</v>
      </c>
      <c r="W2789" t="s">
        <v>290</v>
      </c>
      <c r="X2789">
        <v>750.87</v>
      </c>
      <c r="Y2789" t="s">
        <v>2008</v>
      </c>
      <c r="Z2789" t="s">
        <v>2013</v>
      </c>
      <c r="AA2789" t="s">
        <v>2029</v>
      </c>
      <c r="AB2789" t="s">
        <v>14386</v>
      </c>
      <c r="AD2789" t="s">
        <v>17391</v>
      </c>
      <c r="AE2789">
        <v>219</v>
      </c>
      <c r="AF2789" t="s">
        <v>2902</v>
      </c>
      <c r="AG2789" t="s">
        <v>1754</v>
      </c>
      <c r="AH2789">
        <v>8</v>
      </c>
      <c r="AI2789">
        <v>2</v>
      </c>
      <c r="AJ2789">
        <v>0</v>
      </c>
      <c r="AK2789">
        <v>189.24</v>
      </c>
      <c r="AN2789" t="s">
        <v>2927</v>
      </c>
      <c r="AO2789">
        <v>32000</v>
      </c>
      <c r="AU2789">
        <v>1</v>
      </c>
      <c r="AV2789" t="s">
        <v>357</v>
      </c>
      <c r="AW2789" t="s">
        <v>3042</v>
      </c>
      <c r="AX2789" t="s">
        <v>18685</v>
      </c>
    </row>
    <row r="2790" spans="1:50">
      <c r="A2790" s="1" t="s">
        <v>133</v>
      </c>
      <c r="B2790" t="s">
        <v>163</v>
      </c>
      <c r="C2790" t="s">
        <v>6000</v>
      </c>
      <c r="D2790" t="s">
        <v>328</v>
      </c>
      <c r="F2790" t="s">
        <v>7830</v>
      </c>
      <c r="G2790" t="s">
        <v>7055</v>
      </c>
      <c r="H2790" t="s">
        <v>9401</v>
      </c>
      <c r="I2790">
        <v>7</v>
      </c>
      <c r="J2790" t="s">
        <v>1644</v>
      </c>
      <c r="K2790">
        <v>11213</v>
      </c>
      <c r="L2790" t="s">
        <v>1670</v>
      </c>
      <c r="M2790" t="s">
        <v>1672</v>
      </c>
      <c r="O2790" t="s">
        <v>1675</v>
      </c>
      <c r="P2790" t="s">
        <v>1959</v>
      </c>
      <c r="R2790" t="s">
        <v>50</v>
      </c>
      <c r="S2790" t="s">
        <v>1670</v>
      </c>
      <c r="U2790" t="s">
        <v>1972</v>
      </c>
      <c r="V2790" t="s">
        <v>1984</v>
      </c>
      <c r="W2790" t="s">
        <v>328</v>
      </c>
      <c r="X2790">
        <v>931.36</v>
      </c>
      <c r="Y2790" t="s">
        <v>2009</v>
      </c>
      <c r="Z2790" t="s">
        <v>2015</v>
      </c>
      <c r="AB2790" t="s">
        <v>14984</v>
      </c>
      <c r="AC2790" t="s">
        <v>1754</v>
      </c>
      <c r="AE2790">
        <v>31</v>
      </c>
      <c r="AF2790" t="s">
        <v>2902</v>
      </c>
      <c r="AG2790" t="s">
        <v>1754</v>
      </c>
      <c r="AH2790">
        <v>35</v>
      </c>
      <c r="AI2790">
        <v>2</v>
      </c>
      <c r="AJ2790">
        <v>0</v>
      </c>
      <c r="AK2790">
        <v>189.24</v>
      </c>
      <c r="AN2790" t="s">
        <v>2926</v>
      </c>
      <c r="AO2790">
        <v>32000</v>
      </c>
      <c r="AP2790" t="s">
        <v>18376</v>
      </c>
      <c r="AU2790" t="s">
        <v>13051</v>
      </c>
      <c r="AW2790" t="s">
        <v>3060</v>
      </c>
      <c r="AX2790" t="s">
        <v>18685</v>
      </c>
    </row>
    <row r="2791" spans="1:50">
      <c r="A2791" s="1" t="s">
        <v>126</v>
      </c>
      <c r="B2791" t="s">
        <v>163</v>
      </c>
      <c r="C2791" t="s">
        <v>6001</v>
      </c>
      <c r="D2791" t="s">
        <v>309</v>
      </c>
      <c r="F2791" t="s">
        <v>7831</v>
      </c>
      <c r="G2791" t="s">
        <v>915</v>
      </c>
      <c r="H2791" t="s">
        <v>9627</v>
      </c>
      <c r="I2791" t="s">
        <v>11442</v>
      </c>
      <c r="J2791" t="s">
        <v>1641</v>
      </c>
      <c r="K2791">
        <v>10451</v>
      </c>
      <c r="L2791" t="s">
        <v>1670</v>
      </c>
      <c r="M2791" t="s">
        <v>1670</v>
      </c>
      <c r="N2791" t="s">
        <v>11981</v>
      </c>
      <c r="O2791" t="s">
        <v>1939</v>
      </c>
      <c r="P2791" t="s">
        <v>1960</v>
      </c>
      <c r="R2791" t="s">
        <v>50</v>
      </c>
      <c r="S2791" t="s">
        <v>1670</v>
      </c>
      <c r="U2791" t="s">
        <v>1972</v>
      </c>
      <c r="W2791" t="s">
        <v>359</v>
      </c>
      <c r="X2791">
        <v>1468</v>
      </c>
      <c r="Y2791" t="s">
        <v>2006</v>
      </c>
      <c r="Z2791" t="s">
        <v>2015</v>
      </c>
      <c r="AB2791" t="s">
        <v>14985</v>
      </c>
      <c r="AD2791" t="s">
        <v>17392</v>
      </c>
      <c r="AE2791">
        <v>100</v>
      </c>
      <c r="AF2791" t="s">
        <v>2903</v>
      </c>
      <c r="AG2791" t="s">
        <v>1754</v>
      </c>
      <c r="AH2791">
        <v>35</v>
      </c>
      <c r="AI2791">
        <v>1</v>
      </c>
      <c r="AJ2791">
        <v>0</v>
      </c>
      <c r="AK2791">
        <v>189.46</v>
      </c>
      <c r="AN2791" t="s">
        <v>2926</v>
      </c>
      <c r="AO2791">
        <v>23000</v>
      </c>
      <c r="AU2791" t="s">
        <v>13051</v>
      </c>
      <c r="AW2791" t="s">
        <v>3047</v>
      </c>
    </row>
    <row r="2792" spans="1:50">
      <c r="A2792" s="1" t="s">
        <v>93</v>
      </c>
      <c r="B2792" t="s">
        <v>164</v>
      </c>
      <c r="C2792" t="s">
        <v>6002</v>
      </c>
      <c r="D2792" t="s">
        <v>318</v>
      </c>
      <c r="E2792" t="s">
        <v>359</v>
      </c>
      <c r="F2792" t="s">
        <v>7567</v>
      </c>
      <c r="G2792" t="s">
        <v>945</v>
      </c>
      <c r="H2792" t="s">
        <v>10668</v>
      </c>
      <c r="I2792">
        <v>2</v>
      </c>
      <c r="J2792" t="s">
        <v>1645</v>
      </c>
      <c r="K2792">
        <v>11691</v>
      </c>
      <c r="L2792" t="s">
        <v>1670</v>
      </c>
      <c r="M2792" t="s">
        <v>1670</v>
      </c>
      <c r="N2792" t="s">
        <v>12688</v>
      </c>
      <c r="O2792" t="s">
        <v>1940</v>
      </c>
      <c r="P2792" t="s">
        <v>1958</v>
      </c>
      <c r="Q2792" t="s">
        <v>1965</v>
      </c>
      <c r="R2792" t="s">
        <v>50</v>
      </c>
      <c r="S2792" t="s">
        <v>1671</v>
      </c>
      <c r="U2792" t="s">
        <v>1972</v>
      </c>
      <c r="V2792" t="s">
        <v>1987</v>
      </c>
      <c r="W2792" t="s">
        <v>318</v>
      </c>
      <c r="X2792">
        <v>1800</v>
      </c>
      <c r="Y2792" t="s">
        <v>2007</v>
      </c>
      <c r="Z2792" t="s">
        <v>2014</v>
      </c>
      <c r="AA2792" t="s">
        <v>2029</v>
      </c>
      <c r="AB2792" t="s">
        <v>14986</v>
      </c>
      <c r="AD2792" t="s">
        <v>17393</v>
      </c>
      <c r="AE2792">
        <v>2</v>
      </c>
      <c r="AF2792" t="s">
        <v>2903</v>
      </c>
      <c r="AG2792" t="s">
        <v>2915</v>
      </c>
      <c r="AH2792">
        <v>11</v>
      </c>
      <c r="AI2792">
        <v>3</v>
      </c>
      <c r="AJ2792">
        <v>0</v>
      </c>
      <c r="AK2792">
        <v>189.61</v>
      </c>
      <c r="AN2792" t="s">
        <v>2926</v>
      </c>
      <c r="AO2792">
        <v>39400</v>
      </c>
      <c r="AU2792">
        <v>1.2</v>
      </c>
      <c r="AV2792" t="s">
        <v>202</v>
      </c>
      <c r="AW2792" t="s">
        <v>85</v>
      </c>
    </row>
    <row r="2793" spans="1:50">
      <c r="A2793" s="1" t="s">
        <v>155</v>
      </c>
      <c r="B2793" t="s">
        <v>164</v>
      </c>
      <c r="C2793" t="s">
        <v>6003</v>
      </c>
      <c r="D2793" t="s">
        <v>6138</v>
      </c>
      <c r="E2793" t="s">
        <v>408</v>
      </c>
      <c r="F2793" t="s">
        <v>520</v>
      </c>
      <c r="G2793" t="s">
        <v>9105</v>
      </c>
      <c r="H2793" t="s">
        <v>10669</v>
      </c>
      <c r="J2793" t="s">
        <v>1666</v>
      </c>
      <c r="K2793">
        <v>11368</v>
      </c>
      <c r="L2793" t="s">
        <v>1670</v>
      </c>
      <c r="M2793" t="s">
        <v>1670</v>
      </c>
      <c r="N2793" t="s">
        <v>1754</v>
      </c>
      <c r="O2793" t="s">
        <v>1675</v>
      </c>
      <c r="P2793" t="s">
        <v>1958</v>
      </c>
      <c r="Q2793" t="s">
        <v>1965</v>
      </c>
      <c r="R2793" t="s">
        <v>51</v>
      </c>
      <c r="S2793" t="s">
        <v>1671</v>
      </c>
      <c r="U2793" t="s">
        <v>1972</v>
      </c>
      <c r="V2793" t="s">
        <v>1984</v>
      </c>
      <c r="W2793" t="s">
        <v>6138</v>
      </c>
      <c r="X2793">
        <v>1603.78</v>
      </c>
      <c r="Y2793" t="s">
        <v>2007</v>
      </c>
      <c r="Z2793" t="s">
        <v>2012</v>
      </c>
      <c r="AA2793" t="s">
        <v>2029</v>
      </c>
      <c r="AB2793" t="s">
        <v>14987</v>
      </c>
      <c r="AD2793" t="s">
        <v>17394</v>
      </c>
      <c r="AE2793">
        <v>216</v>
      </c>
      <c r="AF2793" t="s">
        <v>2902</v>
      </c>
      <c r="AG2793" t="s">
        <v>1754</v>
      </c>
      <c r="AH2793">
        <v>9</v>
      </c>
      <c r="AI2793">
        <v>2</v>
      </c>
      <c r="AJ2793">
        <v>0</v>
      </c>
      <c r="AK2793">
        <v>189.68</v>
      </c>
      <c r="AL2793" t="s">
        <v>2923</v>
      </c>
      <c r="AM2793" t="s">
        <v>2924</v>
      </c>
      <c r="AN2793" t="s">
        <v>2927</v>
      </c>
      <c r="AO2793">
        <v>31222.1</v>
      </c>
      <c r="AU2793">
        <v>1.2</v>
      </c>
      <c r="AV2793" t="s">
        <v>6138</v>
      </c>
      <c r="AW2793" t="s">
        <v>155</v>
      </c>
    </row>
    <row r="2794" spans="1:50">
      <c r="A2794" s="1" t="s">
        <v>73</v>
      </c>
      <c r="B2794" t="s">
        <v>163</v>
      </c>
      <c r="C2794" t="s">
        <v>6004</v>
      </c>
      <c r="D2794" t="s">
        <v>212</v>
      </c>
      <c r="F2794" t="s">
        <v>481</v>
      </c>
      <c r="G2794" t="s">
        <v>938</v>
      </c>
      <c r="H2794" t="s">
        <v>1293</v>
      </c>
      <c r="I2794" t="s">
        <v>11443</v>
      </c>
      <c r="J2794" t="s">
        <v>1645</v>
      </c>
      <c r="K2794">
        <v>11691</v>
      </c>
      <c r="L2794" t="s">
        <v>1670</v>
      </c>
      <c r="M2794" t="s">
        <v>1670</v>
      </c>
      <c r="O2794" t="s">
        <v>1938</v>
      </c>
      <c r="P2794" t="s">
        <v>1962</v>
      </c>
      <c r="R2794" t="s">
        <v>50</v>
      </c>
      <c r="S2794" t="s">
        <v>1670</v>
      </c>
      <c r="U2794" t="s">
        <v>1972</v>
      </c>
      <c r="W2794" t="s">
        <v>212</v>
      </c>
      <c r="X2794">
        <v>675</v>
      </c>
      <c r="Y2794" t="s">
        <v>2007</v>
      </c>
      <c r="Z2794" t="s">
        <v>2014</v>
      </c>
      <c r="AB2794" t="s">
        <v>14988</v>
      </c>
      <c r="AD2794" t="s">
        <v>17395</v>
      </c>
      <c r="AE2794">
        <v>43</v>
      </c>
      <c r="AF2794" t="s">
        <v>2913</v>
      </c>
      <c r="AH2794">
        <v>4</v>
      </c>
      <c r="AI2794">
        <v>1</v>
      </c>
      <c r="AJ2794">
        <v>0</v>
      </c>
      <c r="AK2794">
        <v>190.47</v>
      </c>
      <c r="AN2794" t="s">
        <v>2926</v>
      </c>
      <c r="AO2794">
        <v>23790</v>
      </c>
      <c r="AU2794">
        <v>0.05</v>
      </c>
      <c r="AV2794" t="s">
        <v>346</v>
      </c>
      <c r="AW2794" t="s">
        <v>3073</v>
      </c>
    </row>
    <row r="2795" spans="1:50">
      <c r="A2795" s="1" t="s">
        <v>73</v>
      </c>
      <c r="B2795" t="s">
        <v>163</v>
      </c>
      <c r="C2795" t="s">
        <v>6005</v>
      </c>
      <c r="D2795" t="s">
        <v>212</v>
      </c>
      <c r="F2795" t="s">
        <v>481</v>
      </c>
      <c r="G2795" t="s">
        <v>938</v>
      </c>
      <c r="H2795" t="s">
        <v>1293</v>
      </c>
      <c r="I2795" t="s">
        <v>11443</v>
      </c>
      <c r="J2795" t="s">
        <v>1645</v>
      </c>
      <c r="K2795">
        <v>11691</v>
      </c>
      <c r="L2795" t="s">
        <v>1670</v>
      </c>
      <c r="M2795" t="s">
        <v>1670</v>
      </c>
      <c r="O2795" t="s">
        <v>1941</v>
      </c>
      <c r="P2795" t="s">
        <v>1962</v>
      </c>
      <c r="R2795" t="s">
        <v>50</v>
      </c>
      <c r="S2795" t="s">
        <v>1670</v>
      </c>
      <c r="U2795" t="s">
        <v>1972</v>
      </c>
      <c r="W2795" t="s">
        <v>212</v>
      </c>
      <c r="X2795">
        <v>675</v>
      </c>
      <c r="Y2795" t="s">
        <v>2007</v>
      </c>
      <c r="Z2795" t="s">
        <v>2014</v>
      </c>
      <c r="AB2795" t="s">
        <v>14988</v>
      </c>
      <c r="AD2795" t="s">
        <v>17395</v>
      </c>
      <c r="AE2795">
        <v>43</v>
      </c>
      <c r="AF2795" t="s">
        <v>2913</v>
      </c>
      <c r="AH2795">
        <v>4</v>
      </c>
      <c r="AI2795">
        <v>1</v>
      </c>
      <c r="AJ2795">
        <v>0</v>
      </c>
      <c r="AK2795">
        <v>190.47</v>
      </c>
      <c r="AN2795" t="s">
        <v>2926</v>
      </c>
      <c r="AO2795">
        <v>23790</v>
      </c>
      <c r="AU2795">
        <v>0.05</v>
      </c>
      <c r="AV2795" t="s">
        <v>346</v>
      </c>
      <c r="AW2795" t="s">
        <v>3073</v>
      </c>
    </row>
    <row r="2796" spans="1:50">
      <c r="A2796" s="1" t="s">
        <v>3155</v>
      </c>
      <c r="B2796" t="s">
        <v>163</v>
      </c>
      <c r="C2796" t="s">
        <v>6006</v>
      </c>
      <c r="D2796" t="s">
        <v>166</v>
      </c>
      <c r="F2796" t="s">
        <v>7387</v>
      </c>
      <c r="G2796" t="s">
        <v>953</v>
      </c>
      <c r="H2796" t="s">
        <v>10670</v>
      </c>
      <c r="I2796" t="s">
        <v>1511</v>
      </c>
      <c r="J2796" t="s">
        <v>1644</v>
      </c>
      <c r="K2796">
        <v>11233</v>
      </c>
      <c r="L2796" t="s">
        <v>1670</v>
      </c>
      <c r="M2796" t="s">
        <v>1670</v>
      </c>
      <c r="N2796" t="s">
        <v>12689</v>
      </c>
      <c r="O2796" t="s">
        <v>1940</v>
      </c>
      <c r="P2796" t="s">
        <v>1962</v>
      </c>
      <c r="R2796" t="s">
        <v>50</v>
      </c>
      <c r="S2796" t="s">
        <v>1671</v>
      </c>
      <c r="U2796" t="s">
        <v>1972</v>
      </c>
      <c r="W2796" t="s">
        <v>166</v>
      </c>
      <c r="X2796">
        <v>650</v>
      </c>
      <c r="Y2796" t="s">
        <v>2009</v>
      </c>
      <c r="Z2796" t="s">
        <v>2026</v>
      </c>
      <c r="AB2796" t="s">
        <v>14989</v>
      </c>
      <c r="AC2796" t="s">
        <v>2904</v>
      </c>
      <c r="AD2796" t="s">
        <v>17396</v>
      </c>
      <c r="AE2796">
        <v>6</v>
      </c>
      <c r="AF2796" t="s">
        <v>2902</v>
      </c>
      <c r="AG2796" t="s">
        <v>1754</v>
      </c>
      <c r="AH2796">
        <v>31</v>
      </c>
      <c r="AI2796">
        <v>2</v>
      </c>
      <c r="AJ2796">
        <v>0</v>
      </c>
      <c r="AK2796">
        <v>190.47</v>
      </c>
      <c r="AN2796" t="s">
        <v>2926</v>
      </c>
      <c r="AO2796">
        <v>31352</v>
      </c>
      <c r="AP2796" t="s">
        <v>18377</v>
      </c>
      <c r="AU2796">
        <v>7.75</v>
      </c>
      <c r="AV2796" t="s">
        <v>312</v>
      </c>
      <c r="AW2796" t="s">
        <v>3060</v>
      </c>
    </row>
    <row r="2797" spans="1:50">
      <c r="A2797" s="1" t="s">
        <v>107</v>
      </c>
      <c r="B2797" t="s">
        <v>163</v>
      </c>
      <c r="C2797" t="s">
        <v>6007</v>
      </c>
      <c r="D2797" t="s">
        <v>309</v>
      </c>
      <c r="F2797" t="s">
        <v>568</v>
      </c>
      <c r="G2797" t="s">
        <v>9106</v>
      </c>
      <c r="H2797" t="s">
        <v>10671</v>
      </c>
      <c r="I2797">
        <v>2</v>
      </c>
      <c r="J2797" t="s">
        <v>1644</v>
      </c>
      <c r="K2797">
        <v>11233</v>
      </c>
      <c r="L2797" t="s">
        <v>1670</v>
      </c>
      <c r="M2797" t="s">
        <v>1670</v>
      </c>
      <c r="N2797" t="s">
        <v>12690</v>
      </c>
      <c r="O2797" t="s">
        <v>1936</v>
      </c>
      <c r="P2797" t="s">
        <v>1960</v>
      </c>
      <c r="R2797" t="s">
        <v>50</v>
      </c>
      <c r="S2797" t="s">
        <v>1671</v>
      </c>
      <c r="U2797" t="s">
        <v>1972</v>
      </c>
      <c r="V2797" t="s">
        <v>1984</v>
      </c>
      <c r="W2797" t="s">
        <v>266</v>
      </c>
      <c r="X2797">
        <v>1025</v>
      </c>
      <c r="Y2797" t="s">
        <v>2009</v>
      </c>
      <c r="Z2797" t="s">
        <v>2011</v>
      </c>
      <c r="AB2797" t="s">
        <v>14990</v>
      </c>
      <c r="AC2797">
        <v>17593488</v>
      </c>
      <c r="AD2797" t="s">
        <v>17397</v>
      </c>
      <c r="AE2797">
        <v>3</v>
      </c>
      <c r="AF2797" t="s">
        <v>2903</v>
      </c>
      <c r="AG2797" t="s">
        <v>1754</v>
      </c>
      <c r="AH2797">
        <v>8</v>
      </c>
      <c r="AI2797">
        <v>3</v>
      </c>
      <c r="AJ2797">
        <v>0</v>
      </c>
      <c r="AK2797">
        <v>190.57</v>
      </c>
      <c r="AN2797" t="s">
        <v>2926</v>
      </c>
      <c r="AO2797">
        <v>39600</v>
      </c>
      <c r="AU2797">
        <v>30.1</v>
      </c>
      <c r="AV2797" t="s">
        <v>18645</v>
      </c>
      <c r="AW2797" t="s">
        <v>3071</v>
      </c>
      <c r="AX2797" t="s">
        <v>18685</v>
      </c>
    </row>
    <row r="2798" spans="1:50">
      <c r="A2798" s="1" t="s">
        <v>95</v>
      </c>
      <c r="B2798" t="s">
        <v>164</v>
      </c>
      <c r="C2798" t="s">
        <v>6008</v>
      </c>
      <c r="D2798" t="s">
        <v>353</v>
      </c>
      <c r="E2798" t="s">
        <v>258</v>
      </c>
      <c r="F2798" t="s">
        <v>668</v>
      </c>
      <c r="G2798" t="s">
        <v>9107</v>
      </c>
      <c r="H2798" t="s">
        <v>10672</v>
      </c>
      <c r="I2798" t="s">
        <v>1554</v>
      </c>
      <c r="J2798" t="s">
        <v>1641</v>
      </c>
      <c r="K2798">
        <v>10452</v>
      </c>
      <c r="L2798" t="s">
        <v>1670</v>
      </c>
      <c r="M2798" t="s">
        <v>1670</v>
      </c>
      <c r="O2798" t="s">
        <v>1675</v>
      </c>
      <c r="P2798" t="s">
        <v>1962</v>
      </c>
      <c r="Q2798" t="s">
        <v>1968</v>
      </c>
      <c r="R2798" t="s">
        <v>50</v>
      </c>
      <c r="S2798" t="s">
        <v>1671</v>
      </c>
      <c r="U2798" t="s">
        <v>1972</v>
      </c>
      <c r="W2798" t="s">
        <v>353</v>
      </c>
      <c r="X2798">
        <v>969.08</v>
      </c>
      <c r="Y2798" t="s">
        <v>2006</v>
      </c>
      <c r="Z2798" t="s">
        <v>2015</v>
      </c>
      <c r="AA2798" t="s">
        <v>2029</v>
      </c>
      <c r="AB2798" t="s">
        <v>14991</v>
      </c>
      <c r="AD2798" t="s">
        <v>17398</v>
      </c>
      <c r="AE2798" t="s">
        <v>13051</v>
      </c>
      <c r="AF2798" t="s">
        <v>2902</v>
      </c>
      <c r="AH2798">
        <v>23</v>
      </c>
      <c r="AI2798">
        <v>3</v>
      </c>
      <c r="AJ2798">
        <v>0</v>
      </c>
      <c r="AK2798">
        <v>190.59</v>
      </c>
      <c r="AN2798" t="s">
        <v>2927</v>
      </c>
      <c r="AO2798">
        <v>40652</v>
      </c>
      <c r="AU2798">
        <v>1.5</v>
      </c>
      <c r="AV2798" t="s">
        <v>353</v>
      </c>
      <c r="AW2798" t="s">
        <v>95</v>
      </c>
    </row>
    <row r="2799" spans="1:50">
      <c r="A2799" s="1" t="s">
        <v>82</v>
      </c>
      <c r="B2799" t="s">
        <v>163</v>
      </c>
      <c r="C2799" t="s">
        <v>6009</v>
      </c>
      <c r="D2799" t="s">
        <v>359</v>
      </c>
      <c r="F2799" t="s">
        <v>7467</v>
      </c>
      <c r="G2799" t="s">
        <v>8381</v>
      </c>
      <c r="H2799" t="s">
        <v>1144</v>
      </c>
      <c r="I2799" t="s">
        <v>11415</v>
      </c>
      <c r="J2799" t="s">
        <v>1644</v>
      </c>
      <c r="K2799">
        <v>11233</v>
      </c>
      <c r="L2799" t="s">
        <v>1670</v>
      </c>
      <c r="M2799" t="s">
        <v>1670</v>
      </c>
      <c r="O2799" t="s">
        <v>1938</v>
      </c>
      <c r="P2799" t="s">
        <v>1959</v>
      </c>
      <c r="R2799" t="s">
        <v>50</v>
      </c>
      <c r="S2799" t="s">
        <v>1670</v>
      </c>
      <c r="U2799" t="s">
        <v>1972</v>
      </c>
      <c r="V2799" t="s">
        <v>1984</v>
      </c>
      <c r="W2799" t="s">
        <v>341</v>
      </c>
      <c r="X2799">
        <v>1076.55</v>
      </c>
      <c r="Y2799" t="s">
        <v>2009</v>
      </c>
      <c r="Z2799" t="s">
        <v>2021</v>
      </c>
      <c r="AB2799" t="s">
        <v>14970</v>
      </c>
      <c r="AD2799" t="s">
        <v>17375</v>
      </c>
      <c r="AE2799">
        <v>764</v>
      </c>
      <c r="AF2799" t="s">
        <v>2902</v>
      </c>
      <c r="AG2799" t="s">
        <v>2919</v>
      </c>
      <c r="AH2799">
        <v>21</v>
      </c>
      <c r="AI2799">
        <v>1</v>
      </c>
      <c r="AJ2799">
        <v>0</v>
      </c>
      <c r="AK2799">
        <v>190.71</v>
      </c>
      <c r="AN2799" t="s">
        <v>2926</v>
      </c>
      <c r="AO2799">
        <v>23152.8</v>
      </c>
      <c r="AU2799" t="s">
        <v>13051</v>
      </c>
      <c r="AW2799" t="s">
        <v>3059</v>
      </c>
    </row>
    <row r="2800" spans="1:50">
      <c r="A2800" s="1" t="s">
        <v>91</v>
      </c>
      <c r="B2800" t="s">
        <v>163</v>
      </c>
      <c r="C2800" t="s">
        <v>6010</v>
      </c>
      <c r="D2800" t="s">
        <v>338</v>
      </c>
      <c r="F2800" t="s">
        <v>427</v>
      </c>
      <c r="G2800" t="s">
        <v>9108</v>
      </c>
      <c r="H2800" t="s">
        <v>1318</v>
      </c>
      <c r="I2800" t="s">
        <v>1484</v>
      </c>
      <c r="J2800" t="s">
        <v>1643</v>
      </c>
      <c r="K2800">
        <v>10032</v>
      </c>
      <c r="L2800" t="s">
        <v>1670</v>
      </c>
      <c r="M2800" t="s">
        <v>1670</v>
      </c>
      <c r="P2800" t="s">
        <v>1959</v>
      </c>
      <c r="R2800" t="s">
        <v>50</v>
      </c>
      <c r="S2800" t="s">
        <v>1670</v>
      </c>
      <c r="U2800" t="s">
        <v>1972</v>
      </c>
      <c r="W2800" t="s">
        <v>338</v>
      </c>
      <c r="X2800">
        <v>699.15</v>
      </c>
      <c r="Y2800" t="s">
        <v>2008</v>
      </c>
      <c r="Z2800" t="s">
        <v>2013</v>
      </c>
      <c r="AB2800" t="s">
        <v>14992</v>
      </c>
      <c r="AD2800" t="s">
        <v>17399</v>
      </c>
      <c r="AE2800" t="s">
        <v>13051</v>
      </c>
      <c r="AF2800" t="s">
        <v>2902</v>
      </c>
      <c r="AG2800" t="s">
        <v>2919</v>
      </c>
      <c r="AH2800">
        <v>40</v>
      </c>
      <c r="AI2800">
        <v>1</v>
      </c>
      <c r="AJ2800">
        <v>0</v>
      </c>
      <c r="AK2800">
        <v>190.71</v>
      </c>
      <c r="AN2800" t="s">
        <v>2927</v>
      </c>
      <c r="AO2800">
        <v>23820</v>
      </c>
      <c r="AU2800" t="s">
        <v>13051</v>
      </c>
      <c r="AW2800" t="s">
        <v>3042</v>
      </c>
    </row>
    <row r="2801" spans="1:50">
      <c r="A2801" s="1" t="s">
        <v>132</v>
      </c>
      <c r="B2801" t="s">
        <v>163</v>
      </c>
      <c r="C2801" t="s">
        <v>6011</v>
      </c>
      <c r="D2801" t="s">
        <v>373</v>
      </c>
      <c r="F2801" t="s">
        <v>7701</v>
      </c>
      <c r="G2801" t="s">
        <v>8936</v>
      </c>
      <c r="H2801" t="s">
        <v>1248</v>
      </c>
      <c r="I2801" t="s">
        <v>1487</v>
      </c>
      <c r="J2801" t="s">
        <v>1644</v>
      </c>
      <c r="K2801">
        <v>11213</v>
      </c>
      <c r="L2801" t="s">
        <v>1670</v>
      </c>
      <c r="M2801" t="s">
        <v>1670</v>
      </c>
      <c r="N2801" t="s">
        <v>1675</v>
      </c>
      <c r="O2801" t="s">
        <v>1938</v>
      </c>
      <c r="P2801" t="s">
        <v>1961</v>
      </c>
      <c r="R2801" t="s">
        <v>50</v>
      </c>
      <c r="S2801" t="s">
        <v>1670</v>
      </c>
      <c r="U2801" t="s">
        <v>1972</v>
      </c>
      <c r="V2801" t="s">
        <v>1984</v>
      </c>
      <c r="W2801" t="s">
        <v>394</v>
      </c>
      <c r="X2801">
        <v>1507.16</v>
      </c>
      <c r="Y2801" t="s">
        <v>2009</v>
      </c>
      <c r="Z2801" t="s">
        <v>2027</v>
      </c>
      <c r="AB2801" t="s">
        <v>14972</v>
      </c>
      <c r="AC2801" t="s">
        <v>15155</v>
      </c>
      <c r="AD2801" t="s">
        <v>17107</v>
      </c>
      <c r="AE2801">
        <v>19</v>
      </c>
      <c r="AF2801" t="s">
        <v>2902</v>
      </c>
      <c r="AG2801" t="s">
        <v>2915</v>
      </c>
      <c r="AH2801">
        <v>22</v>
      </c>
      <c r="AI2801">
        <v>4</v>
      </c>
      <c r="AJ2801">
        <v>0</v>
      </c>
      <c r="AK2801">
        <v>190.88</v>
      </c>
      <c r="AN2801" t="s">
        <v>2926</v>
      </c>
      <c r="AO2801">
        <v>47909.8</v>
      </c>
      <c r="AU2801">
        <v>13.15</v>
      </c>
      <c r="AV2801" t="s">
        <v>226</v>
      </c>
      <c r="AW2801" t="s">
        <v>3060</v>
      </c>
    </row>
    <row r="2802" spans="1:50">
      <c r="A2802" s="1" t="s">
        <v>132</v>
      </c>
      <c r="B2802" t="s">
        <v>163</v>
      </c>
      <c r="C2802" t="s">
        <v>6012</v>
      </c>
      <c r="D2802" t="s">
        <v>373</v>
      </c>
      <c r="F2802" t="s">
        <v>7701</v>
      </c>
      <c r="G2802" t="s">
        <v>8936</v>
      </c>
      <c r="H2802" t="s">
        <v>1248</v>
      </c>
      <c r="I2802" t="s">
        <v>1487</v>
      </c>
      <c r="J2802" t="s">
        <v>1644</v>
      </c>
      <c r="K2802">
        <v>11213</v>
      </c>
      <c r="L2802" t="s">
        <v>1670</v>
      </c>
      <c r="M2802" t="s">
        <v>1670</v>
      </c>
      <c r="N2802" t="s">
        <v>1813</v>
      </c>
      <c r="O2802" t="s">
        <v>1939</v>
      </c>
      <c r="P2802" t="s">
        <v>1960</v>
      </c>
      <c r="R2802" t="s">
        <v>50</v>
      </c>
      <c r="S2802" t="s">
        <v>1671</v>
      </c>
      <c r="U2802" t="s">
        <v>1972</v>
      </c>
      <c r="V2802" t="s">
        <v>1984</v>
      </c>
      <c r="W2802" t="s">
        <v>323</v>
      </c>
      <c r="X2802">
        <v>1507.16</v>
      </c>
      <c r="Y2802" t="s">
        <v>2009</v>
      </c>
      <c r="Z2802" t="s">
        <v>2027</v>
      </c>
      <c r="AB2802" t="s">
        <v>14972</v>
      </c>
      <c r="AC2802" t="s">
        <v>15304</v>
      </c>
      <c r="AD2802" t="s">
        <v>17107</v>
      </c>
      <c r="AE2802">
        <v>19</v>
      </c>
      <c r="AF2802" t="s">
        <v>2902</v>
      </c>
      <c r="AG2802" t="s">
        <v>2915</v>
      </c>
      <c r="AH2802">
        <v>22</v>
      </c>
      <c r="AI2802">
        <v>4</v>
      </c>
      <c r="AJ2802">
        <v>0</v>
      </c>
      <c r="AK2802">
        <v>190.88</v>
      </c>
      <c r="AN2802" t="s">
        <v>2926</v>
      </c>
      <c r="AO2802">
        <v>47909.8</v>
      </c>
      <c r="AU2802">
        <v>84.8</v>
      </c>
      <c r="AV2802" t="s">
        <v>405</v>
      </c>
      <c r="AW2802" t="s">
        <v>3060</v>
      </c>
    </row>
    <row r="2803" spans="1:50">
      <c r="A2803" s="1" t="s">
        <v>62</v>
      </c>
      <c r="B2803" t="s">
        <v>163</v>
      </c>
      <c r="C2803" t="s">
        <v>6013</v>
      </c>
      <c r="D2803" t="s">
        <v>258</v>
      </c>
      <c r="F2803" t="s">
        <v>585</v>
      </c>
      <c r="G2803" t="s">
        <v>1002</v>
      </c>
      <c r="H2803" t="s">
        <v>1117</v>
      </c>
      <c r="I2803" t="s">
        <v>1513</v>
      </c>
      <c r="J2803" t="s">
        <v>1644</v>
      </c>
      <c r="K2803">
        <v>11221</v>
      </c>
      <c r="L2803" t="s">
        <v>1670</v>
      </c>
      <c r="M2803" t="s">
        <v>1670</v>
      </c>
      <c r="O2803" t="s">
        <v>1941</v>
      </c>
      <c r="P2803" t="s">
        <v>1959</v>
      </c>
      <c r="R2803" t="s">
        <v>50</v>
      </c>
      <c r="U2803" t="s">
        <v>1972</v>
      </c>
      <c r="W2803" t="s">
        <v>195</v>
      </c>
      <c r="X2803" t="s">
        <v>13051</v>
      </c>
      <c r="Y2803" t="s">
        <v>2009</v>
      </c>
      <c r="AB2803" t="s">
        <v>14993</v>
      </c>
      <c r="AD2803" t="s">
        <v>17400</v>
      </c>
      <c r="AE2803" t="s">
        <v>13051</v>
      </c>
      <c r="AH2803" t="s">
        <v>13051</v>
      </c>
      <c r="AI2803">
        <v>1</v>
      </c>
      <c r="AJ2803">
        <v>0</v>
      </c>
      <c r="AK2803">
        <v>191.51</v>
      </c>
      <c r="AN2803" t="s">
        <v>2926</v>
      </c>
      <c r="AO2803">
        <v>23920</v>
      </c>
      <c r="AU2803">
        <v>0.2</v>
      </c>
      <c r="AV2803" t="s">
        <v>195</v>
      </c>
      <c r="AW2803" t="s">
        <v>158</v>
      </c>
    </row>
    <row r="2804" spans="1:50">
      <c r="A2804" s="1" t="s">
        <v>103</v>
      </c>
      <c r="B2804" t="s">
        <v>164</v>
      </c>
      <c r="C2804" t="s">
        <v>6014</v>
      </c>
      <c r="D2804" t="s">
        <v>225</v>
      </c>
      <c r="E2804" t="s">
        <v>223</v>
      </c>
      <c r="F2804" t="s">
        <v>481</v>
      </c>
      <c r="G2804" t="s">
        <v>8639</v>
      </c>
      <c r="H2804" t="s">
        <v>10673</v>
      </c>
      <c r="I2804" t="s">
        <v>1506</v>
      </c>
      <c r="J2804" t="s">
        <v>1644</v>
      </c>
      <c r="K2804">
        <v>11233</v>
      </c>
      <c r="L2804" t="s">
        <v>1670</v>
      </c>
      <c r="M2804" t="s">
        <v>1670</v>
      </c>
      <c r="N2804" t="s">
        <v>12691</v>
      </c>
      <c r="O2804" t="s">
        <v>1936</v>
      </c>
      <c r="P2804" t="s">
        <v>1958</v>
      </c>
      <c r="Q2804" t="s">
        <v>1965</v>
      </c>
      <c r="R2804" t="s">
        <v>50</v>
      </c>
      <c r="S2804" t="s">
        <v>1671</v>
      </c>
      <c r="U2804" t="s">
        <v>1972</v>
      </c>
      <c r="W2804" t="s">
        <v>225</v>
      </c>
      <c r="X2804">
        <v>941</v>
      </c>
      <c r="Y2804" t="s">
        <v>2009</v>
      </c>
      <c r="Z2804" t="s">
        <v>2017</v>
      </c>
      <c r="AA2804" t="s">
        <v>2029</v>
      </c>
      <c r="AB2804" t="s">
        <v>14994</v>
      </c>
      <c r="AD2804" t="s">
        <v>17401</v>
      </c>
      <c r="AE2804">
        <v>8</v>
      </c>
      <c r="AF2804" t="s">
        <v>2902</v>
      </c>
      <c r="AG2804" t="s">
        <v>2915</v>
      </c>
      <c r="AH2804">
        <v>15</v>
      </c>
      <c r="AI2804">
        <v>3</v>
      </c>
      <c r="AJ2804">
        <v>0</v>
      </c>
      <c r="AK2804">
        <v>191.97</v>
      </c>
      <c r="AN2804" t="s">
        <v>2926</v>
      </c>
      <c r="AO2804">
        <v>39892</v>
      </c>
      <c r="AU2804">
        <v>2.5</v>
      </c>
      <c r="AV2804" t="s">
        <v>200</v>
      </c>
      <c r="AW2804" t="s">
        <v>3060</v>
      </c>
    </row>
    <row r="2805" spans="1:50">
      <c r="A2805" s="1" t="s">
        <v>139</v>
      </c>
      <c r="B2805" t="s">
        <v>163</v>
      </c>
      <c r="C2805" t="s">
        <v>6015</v>
      </c>
      <c r="D2805" t="s">
        <v>313</v>
      </c>
      <c r="F2805" t="s">
        <v>6874</v>
      </c>
      <c r="G2805" t="s">
        <v>685</v>
      </c>
      <c r="H2805" t="s">
        <v>9460</v>
      </c>
      <c r="I2805" t="s">
        <v>1487</v>
      </c>
      <c r="J2805" t="s">
        <v>1643</v>
      </c>
      <c r="K2805">
        <v>10029</v>
      </c>
      <c r="L2805" t="s">
        <v>1670</v>
      </c>
      <c r="M2805" t="s">
        <v>1670</v>
      </c>
      <c r="O2805" t="s">
        <v>1675</v>
      </c>
      <c r="P2805" t="s">
        <v>1959</v>
      </c>
      <c r="R2805" t="s">
        <v>50</v>
      </c>
      <c r="S2805" t="s">
        <v>1671</v>
      </c>
      <c r="U2805" t="s">
        <v>1972</v>
      </c>
      <c r="V2805" t="s">
        <v>1984</v>
      </c>
      <c r="W2805" t="s">
        <v>313</v>
      </c>
      <c r="X2805">
        <v>650</v>
      </c>
      <c r="Y2805" t="s">
        <v>2008</v>
      </c>
      <c r="Z2805" t="s">
        <v>13055</v>
      </c>
      <c r="AB2805" t="s">
        <v>13190</v>
      </c>
      <c r="AD2805" t="s">
        <v>17402</v>
      </c>
      <c r="AE2805">
        <v>33</v>
      </c>
      <c r="AF2805" t="s">
        <v>2913</v>
      </c>
      <c r="AG2805" t="s">
        <v>1754</v>
      </c>
      <c r="AH2805">
        <v>31</v>
      </c>
      <c r="AI2805">
        <v>1</v>
      </c>
      <c r="AJ2805">
        <v>0</v>
      </c>
      <c r="AK2805">
        <v>192.15</v>
      </c>
      <c r="AN2805" t="s">
        <v>2926</v>
      </c>
      <c r="AO2805">
        <v>24000</v>
      </c>
      <c r="AU2805">
        <v>24.45</v>
      </c>
      <c r="AV2805" t="s">
        <v>346</v>
      </c>
      <c r="AW2805" t="s">
        <v>18654</v>
      </c>
      <c r="AX2805" t="s">
        <v>18685</v>
      </c>
    </row>
    <row r="2806" spans="1:50">
      <c r="A2806" s="1" t="s">
        <v>73</v>
      </c>
      <c r="B2806" t="s">
        <v>163</v>
      </c>
      <c r="C2806" t="s">
        <v>6016</v>
      </c>
      <c r="D2806" t="s">
        <v>222</v>
      </c>
      <c r="F2806" t="s">
        <v>7170</v>
      </c>
      <c r="G2806" t="s">
        <v>9109</v>
      </c>
      <c r="H2806" t="s">
        <v>10674</v>
      </c>
      <c r="I2806" t="s">
        <v>11168</v>
      </c>
      <c r="J2806" t="s">
        <v>11751</v>
      </c>
      <c r="K2806">
        <v>11375</v>
      </c>
      <c r="L2806" t="s">
        <v>1670</v>
      </c>
      <c r="M2806" t="s">
        <v>1672</v>
      </c>
      <c r="N2806" t="s">
        <v>12692</v>
      </c>
      <c r="O2806" t="s">
        <v>1936</v>
      </c>
      <c r="P2806" t="s">
        <v>1960</v>
      </c>
      <c r="R2806" t="s">
        <v>50</v>
      </c>
      <c r="S2806" t="s">
        <v>1671</v>
      </c>
      <c r="U2806" t="s">
        <v>1972</v>
      </c>
      <c r="W2806" t="s">
        <v>222</v>
      </c>
      <c r="X2806">
        <v>890</v>
      </c>
      <c r="Y2806" t="s">
        <v>2007</v>
      </c>
      <c r="Z2806" t="s">
        <v>2014</v>
      </c>
      <c r="AB2806" t="s">
        <v>14995</v>
      </c>
      <c r="AD2806" t="s">
        <v>17403</v>
      </c>
      <c r="AE2806">
        <v>33</v>
      </c>
      <c r="AF2806" t="s">
        <v>2904</v>
      </c>
      <c r="AG2806" t="s">
        <v>1754</v>
      </c>
      <c r="AH2806">
        <v>40</v>
      </c>
      <c r="AI2806">
        <v>1</v>
      </c>
      <c r="AJ2806">
        <v>0</v>
      </c>
      <c r="AK2806">
        <v>192.15</v>
      </c>
      <c r="AN2806" t="s">
        <v>2926</v>
      </c>
      <c r="AO2806">
        <v>24000</v>
      </c>
      <c r="AQ2806" t="s">
        <v>2979</v>
      </c>
      <c r="AR2806" t="s">
        <v>2017</v>
      </c>
      <c r="AS2806" t="s">
        <v>18484</v>
      </c>
      <c r="AT2806" t="s">
        <v>18557</v>
      </c>
      <c r="AU2806">
        <v>1.3</v>
      </c>
      <c r="AV2806" t="s">
        <v>289</v>
      </c>
      <c r="AW2806" t="s">
        <v>3044</v>
      </c>
      <c r="AX2806" t="s">
        <v>18685</v>
      </c>
    </row>
    <row r="2807" spans="1:50">
      <c r="A2807" s="1" t="s">
        <v>151</v>
      </c>
      <c r="B2807" t="s">
        <v>163</v>
      </c>
      <c r="C2807" t="s">
        <v>6017</v>
      </c>
      <c r="D2807" t="s">
        <v>326</v>
      </c>
      <c r="F2807" t="s">
        <v>7221</v>
      </c>
      <c r="G2807" t="s">
        <v>835</v>
      </c>
      <c r="H2807" t="s">
        <v>10675</v>
      </c>
      <c r="I2807">
        <v>552</v>
      </c>
      <c r="J2807" t="s">
        <v>1668</v>
      </c>
      <c r="K2807">
        <v>11367</v>
      </c>
      <c r="L2807" t="s">
        <v>1670</v>
      </c>
      <c r="M2807" t="s">
        <v>1670</v>
      </c>
      <c r="N2807" t="s">
        <v>12693</v>
      </c>
      <c r="O2807" t="s">
        <v>1936</v>
      </c>
      <c r="P2807" t="s">
        <v>1960</v>
      </c>
      <c r="R2807" t="s">
        <v>50</v>
      </c>
      <c r="S2807" t="s">
        <v>1671</v>
      </c>
      <c r="U2807" t="s">
        <v>1972</v>
      </c>
      <c r="V2807" t="s">
        <v>1983</v>
      </c>
      <c r="W2807" t="s">
        <v>326</v>
      </c>
      <c r="X2807">
        <v>2900</v>
      </c>
      <c r="Y2807" t="s">
        <v>2007</v>
      </c>
      <c r="Z2807" t="s">
        <v>2014</v>
      </c>
      <c r="AB2807" t="s">
        <v>13706</v>
      </c>
      <c r="AC2807" t="s">
        <v>15305</v>
      </c>
      <c r="AD2807" t="s">
        <v>17404</v>
      </c>
      <c r="AE2807">
        <v>393</v>
      </c>
      <c r="AF2807" t="s">
        <v>2902</v>
      </c>
      <c r="AG2807" t="s">
        <v>1754</v>
      </c>
      <c r="AH2807">
        <v>3</v>
      </c>
      <c r="AI2807">
        <v>1</v>
      </c>
      <c r="AJ2807">
        <v>0</v>
      </c>
      <c r="AK2807">
        <v>192.15</v>
      </c>
      <c r="AN2807" t="s">
        <v>2926</v>
      </c>
      <c r="AO2807">
        <v>24000</v>
      </c>
      <c r="AU2807">
        <v>39.9</v>
      </c>
      <c r="AV2807" t="s">
        <v>3034</v>
      </c>
      <c r="AW2807" t="s">
        <v>151</v>
      </c>
      <c r="AX2807" t="s">
        <v>18685</v>
      </c>
    </row>
    <row r="2808" spans="1:50">
      <c r="A2808" s="1" t="s">
        <v>88</v>
      </c>
      <c r="B2808" t="s">
        <v>163</v>
      </c>
      <c r="C2808" t="s">
        <v>6018</v>
      </c>
      <c r="D2808" t="s">
        <v>403</v>
      </c>
      <c r="F2808" t="s">
        <v>7832</v>
      </c>
      <c r="G2808" t="s">
        <v>9110</v>
      </c>
      <c r="H2808" t="s">
        <v>10625</v>
      </c>
      <c r="I2808" t="s">
        <v>1627</v>
      </c>
      <c r="J2808" t="s">
        <v>1644</v>
      </c>
      <c r="K2808">
        <v>11233</v>
      </c>
      <c r="L2808" t="s">
        <v>1671</v>
      </c>
      <c r="M2808" t="s">
        <v>1672</v>
      </c>
      <c r="N2808" t="s">
        <v>12694</v>
      </c>
      <c r="O2808" t="s">
        <v>1940</v>
      </c>
      <c r="P2808" t="s">
        <v>1960</v>
      </c>
      <c r="R2808" t="s">
        <v>50</v>
      </c>
      <c r="S2808" t="s">
        <v>1671</v>
      </c>
      <c r="U2808" t="s">
        <v>1972</v>
      </c>
      <c r="V2808" t="s">
        <v>1984</v>
      </c>
      <c r="W2808" t="s">
        <v>248</v>
      </c>
      <c r="X2808">
        <v>600</v>
      </c>
      <c r="Y2808" t="s">
        <v>2009</v>
      </c>
      <c r="Z2808" t="s">
        <v>2016</v>
      </c>
      <c r="AB2808" t="s">
        <v>14996</v>
      </c>
      <c r="AC2808" t="s">
        <v>1754</v>
      </c>
      <c r="AD2808" t="s">
        <v>17405</v>
      </c>
      <c r="AE2808">
        <v>6</v>
      </c>
      <c r="AF2808" t="s">
        <v>2902</v>
      </c>
      <c r="AG2808" t="s">
        <v>1754</v>
      </c>
      <c r="AH2808">
        <v>4</v>
      </c>
      <c r="AI2808">
        <v>1</v>
      </c>
      <c r="AJ2808">
        <v>0</v>
      </c>
      <c r="AK2808">
        <v>192.15</v>
      </c>
      <c r="AN2808" t="s">
        <v>2926</v>
      </c>
      <c r="AO2808">
        <v>24000</v>
      </c>
      <c r="AU2808">
        <v>0.2</v>
      </c>
      <c r="AV2808" t="s">
        <v>392</v>
      </c>
      <c r="AW2808" t="s">
        <v>3060</v>
      </c>
      <c r="AX2808" t="s">
        <v>1754</v>
      </c>
    </row>
    <row r="2809" spans="1:50">
      <c r="A2809" s="1" t="s">
        <v>73</v>
      </c>
      <c r="B2809" t="s">
        <v>164</v>
      </c>
      <c r="C2809" t="s">
        <v>6019</v>
      </c>
      <c r="D2809" t="s">
        <v>192</v>
      </c>
      <c r="E2809" t="s">
        <v>359</v>
      </c>
      <c r="F2809" t="s">
        <v>7107</v>
      </c>
      <c r="G2809" t="s">
        <v>945</v>
      </c>
      <c r="H2809" t="s">
        <v>10676</v>
      </c>
      <c r="J2809" t="s">
        <v>11754</v>
      </c>
      <c r="K2809">
        <v>11429</v>
      </c>
      <c r="L2809" t="s">
        <v>1670</v>
      </c>
      <c r="M2809" t="s">
        <v>1670</v>
      </c>
      <c r="N2809" t="s">
        <v>12695</v>
      </c>
      <c r="O2809" t="s">
        <v>1940</v>
      </c>
      <c r="P2809" t="s">
        <v>1958</v>
      </c>
      <c r="Q2809" t="s">
        <v>1965</v>
      </c>
      <c r="R2809" t="s">
        <v>50</v>
      </c>
      <c r="S2809" t="s">
        <v>1671</v>
      </c>
      <c r="U2809" t="s">
        <v>1972</v>
      </c>
      <c r="V2809" t="s">
        <v>1984</v>
      </c>
      <c r="W2809" t="s">
        <v>192</v>
      </c>
      <c r="X2809">
        <v>811.14</v>
      </c>
      <c r="Y2809" t="s">
        <v>2007</v>
      </c>
      <c r="Z2809" t="s">
        <v>2014</v>
      </c>
      <c r="AA2809" t="s">
        <v>2029</v>
      </c>
      <c r="AB2809" t="s">
        <v>14497</v>
      </c>
      <c r="AD2809" t="s">
        <v>17406</v>
      </c>
      <c r="AE2809">
        <v>20</v>
      </c>
      <c r="AF2809" t="s">
        <v>2904</v>
      </c>
      <c r="AG2809" t="s">
        <v>1754</v>
      </c>
      <c r="AH2809">
        <v>5</v>
      </c>
      <c r="AI2809">
        <v>1</v>
      </c>
      <c r="AJ2809">
        <v>0</v>
      </c>
      <c r="AK2809">
        <v>192.43</v>
      </c>
      <c r="AN2809" t="s">
        <v>2926</v>
      </c>
      <c r="AO2809">
        <v>23361.29</v>
      </c>
      <c r="AU2809">
        <v>0.7</v>
      </c>
      <c r="AV2809" t="s">
        <v>359</v>
      </c>
      <c r="AW2809" t="s">
        <v>3044</v>
      </c>
    </row>
    <row r="2810" spans="1:50">
      <c r="A2810" s="1" t="s">
        <v>64</v>
      </c>
      <c r="B2810" t="s">
        <v>163</v>
      </c>
      <c r="C2810" t="s">
        <v>6020</v>
      </c>
      <c r="D2810" t="s">
        <v>185</v>
      </c>
      <c r="F2810" t="s">
        <v>7833</v>
      </c>
      <c r="G2810" t="s">
        <v>9111</v>
      </c>
      <c r="H2810" t="s">
        <v>10255</v>
      </c>
      <c r="I2810" t="s">
        <v>1600</v>
      </c>
      <c r="J2810" t="s">
        <v>1643</v>
      </c>
      <c r="K2810">
        <v>10032</v>
      </c>
      <c r="L2810" t="s">
        <v>1670</v>
      </c>
      <c r="M2810" t="s">
        <v>1670</v>
      </c>
      <c r="O2810" t="s">
        <v>1939</v>
      </c>
      <c r="P2810" t="s">
        <v>1962</v>
      </c>
      <c r="R2810" t="s">
        <v>50</v>
      </c>
      <c r="S2810" t="s">
        <v>1671</v>
      </c>
      <c r="U2810" t="s">
        <v>1972</v>
      </c>
      <c r="W2810" t="s">
        <v>185</v>
      </c>
      <c r="X2810">
        <v>1282.58</v>
      </c>
      <c r="Y2810" t="s">
        <v>2008</v>
      </c>
      <c r="Z2810" t="s">
        <v>2013</v>
      </c>
      <c r="AB2810" t="s">
        <v>14997</v>
      </c>
      <c r="AC2810" t="s">
        <v>15306</v>
      </c>
      <c r="AD2810" t="s">
        <v>17407</v>
      </c>
      <c r="AE2810">
        <v>49</v>
      </c>
      <c r="AF2810" t="s">
        <v>2902</v>
      </c>
      <c r="AG2810" t="s">
        <v>1754</v>
      </c>
      <c r="AH2810">
        <v>24</v>
      </c>
      <c r="AI2810">
        <v>3</v>
      </c>
      <c r="AJ2810">
        <v>0</v>
      </c>
      <c r="AK2810">
        <v>192.49</v>
      </c>
      <c r="AN2810" t="s">
        <v>2927</v>
      </c>
      <c r="AO2810">
        <v>40000</v>
      </c>
      <c r="AU2810">
        <v>61.3</v>
      </c>
      <c r="AV2810" t="s">
        <v>268</v>
      </c>
      <c r="AW2810" t="s">
        <v>3042</v>
      </c>
      <c r="AX2810" t="s">
        <v>18685</v>
      </c>
    </row>
    <row r="2811" spans="1:50">
      <c r="A2811" s="1" t="s">
        <v>62</v>
      </c>
      <c r="B2811" t="s">
        <v>163</v>
      </c>
      <c r="C2811" t="s">
        <v>6021</v>
      </c>
      <c r="D2811" t="s">
        <v>6190</v>
      </c>
      <c r="F2811" t="s">
        <v>419</v>
      </c>
      <c r="G2811" t="s">
        <v>9112</v>
      </c>
      <c r="H2811" t="s">
        <v>9451</v>
      </c>
      <c r="I2811" t="s">
        <v>11097</v>
      </c>
      <c r="J2811" t="s">
        <v>1644</v>
      </c>
      <c r="K2811">
        <v>11225</v>
      </c>
      <c r="L2811" t="s">
        <v>1670</v>
      </c>
      <c r="M2811" t="s">
        <v>1670</v>
      </c>
      <c r="O2811" t="s">
        <v>1939</v>
      </c>
      <c r="P2811" t="s">
        <v>1960</v>
      </c>
      <c r="R2811" t="s">
        <v>50</v>
      </c>
      <c r="S2811" t="s">
        <v>1670</v>
      </c>
      <c r="T2811" t="s">
        <v>13026</v>
      </c>
      <c r="U2811" t="s">
        <v>1972</v>
      </c>
      <c r="W2811" t="s">
        <v>1992</v>
      </c>
      <c r="X2811">
        <v>1214</v>
      </c>
      <c r="Y2811" t="s">
        <v>2009</v>
      </c>
      <c r="Z2811" t="s">
        <v>2015</v>
      </c>
      <c r="AB2811" t="s">
        <v>14998</v>
      </c>
      <c r="AE2811">
        <v>47</v>
      </c>
      <c r="AF2811" t="s">
        <v>2902</v>
      </c>
      <c r="AG2811" t="s">
        <v>1754</v>
      </c>
      <c r="AH2811">
        <v>30</v>
      </c>
      <c r="AI2811">
        <v>3</v>
      </c>
      <c r="AJ2811">
        <v>0</v>
      </c>
      <c r="AK2811">
        <v>192.49</v>
      </c>
      <c r="AN2811" t="s">
        <v>2926</v>
      </c>
      <c r="AO2811">
        <v>40000</v>
      </c>
      <c r="AU2811">
        <v>1</v>
      </c>
      <c r="AV2811" t="s">
        <v>6190</v>
      </c>
      <c r="AW2811" t="s">
        <v>3079</v>
      </c>
    </row>
    <row r="2812" spans="1:50">
      <c r="A2812" s="1" t="s">
        <v>82</v>
      </c>
      <c r="B2812" t="s">
        <v>163</v>
      </c>
      <c r="C2812" t="s">
        <v>6022</v>
      </c>
      <c r="D2812" t="s">
        <v>324</v>
      </c>
      <c r="F2812" t="s">
        <v>562</v>
      </c>
      <c r="G2812" t="s">
        <v>9113</v>
      </c>
      <c r="H2812" t="s">
        <v>1144</v>
      </c>
      <c r="I2812" t="s">
        <v>10962</v>
      </c>
      <c r="J2812" t="s">
        <v>1644</v>
      </c>
      <c r="K2812">
        <v>11233</v>
      </c>
      <c r="L2812" t="s">
        <v>1670</v>
      </c>
      <c r="M2812" t="s">
        <v>1671</v>
      </c>
      <c r="N2812" t="s">
        <v>1754</v>
      </c>
      <c r="O2812" t="s">
        <v>1937</v>
      </c>
      <c r="P2812" t="s">
        <v>1962</v>
      </c>
      <c r="R2812" t="s">
        <v>50</v>
      </c>
      <c r="S2812" t="s">
        <v>1670</v>
      </c>
      <c r="U2812" t="s">
        <v>1972</v>
      </c>
      <c r="V2812" t="s">
        <v>1984</v>
      </c>
      <c r="W2812" t="s">
        <v>221</v>
      </c>
      <c r="X2812">
        <v>965.96</v>
      </c>
      <c r="Y2812" t="s">
        <v>2009</v>
      </c>
      <c r="AB2812" t="s">
        <v>14999</v>
      </c>
      <c r="AE2812">
        <v>359</v>
      </c>
      <c r="AF2812" t="s">
        <v>2902</v>
      </c>
      <c r="AH2812">
        <v>42</v>
      </c>
      <c r="AI2812">
        <v>1</v>
      </c>
      <c r="AJ2812">
        <v>0</v>
      </c>
      <c r="AK2812">
        <v>192.53</v>
      </c>
      <c r="AN2812" t="s">
        <v>2926</v>
      </c>
      <c r="AO2812">
        <v>24046.8</v>
      </c>
      <c r="AP2812" t="s">
        <v>18378</v>
      </c>
      <c r="AU2812" t="s">
        <v>13051</v>
      </c>
      <c r="AW2812" t="s">
        <v>3060</v>
      </c>
    </row>
    <row r="2813" spans="1:50">
      <c r="A2813" s="1" t="s">
        <v>82</v>
      </c>
      <c r="B2813" t="s">
        <v>163</v>
      </c>
      <c r="C2813" t="s">
        <v>6023</v>
      </c>
      <c r="D2813" t="s">
        <v>210</v>
      </c>
      <c r="F2813" t="s">
        <v>562</v>
      </c>
      <c r="G2813" t="s">
        <v>9113</v>
      </c>
      <c r="H2813" t="s">
        <v>1144</v>
      </c>
      <c r="I2813" t="s">
        <v>10962</v>
      </c>
      <c r="J2813" t="s">
        <v>1644</v>
      </c>
      <c r="K2813">
        <v>11233</v>
      </c>
      <c r="L2813" t="s">
        <v>1670</v>
      </c>
      <c r="M2813" t="s">
        <v>1671</v>
      </c>
      <c r="N2813" t="s">
        <v>1754</v>
      </c>
      <c r="O2813" t="s">
        <v>1938</v>
      </c>
      <c r="P2813" t="s">
        <v>1961</v>
      </c>
      <c r="R2813" t="s">
        <v>50</v>
      </c>
      <c r="S2813" t="s">
        <v>1670</v>
      </c>
      <c r="U2813" t="s">
        <v>1972</v>
      </c>
      <c r="V2813" t="s">
        <v>1984</v>
      </c>
      <c r="W2813" t="s">
        <v>248</v>
      </c>
      <c r="X2813">
        <v>965.96</v>
      </c>
      <c r="Y2813" t="s">
        <v>2009</v>
      </c>
      <c r="Z2813" t="s">
        <v>2025</v>
      </c>
      <c r="AB2813" t="s">
        <v>14999</v>
      </c>
      <c r="AE2813">
        <v>359</v>
      </c>
      <c r="AF2813" t="s">
        <v>2902</v>
      </c>
      <c r="AH2813">
        <v>42</v>
      </c>
      <c r="AI2813">
        <v>1</v>
      </c>
      <c r="AJ2813">
        <v>0</v>
      </c>
      <c r="AK2813">
        <v>192.53</v>
      </c>
      <c r="AN2813" t="s">
        <v>2926</v>
      </c>
      <c r="AO2813">
        <v>24046.8</v>
      </c>
      <c r="AP2813" t="s">
        <v>18192</v>
      </c>
      <c r="AU2813" t="s">
        <v>13051</v>
      </c>
      <c r="AW2813" t="s">
        <v>3060</v>
      </c>
    </row>
    <row r="2814" spans="1:50">
      <c r="A2814" s="1" t="s">
        <v>100</v>
      </c>
      <c r="B2814" t="s">
        <v>163</v>
      </c>
      <c r="C2814" t="s">
        <v>6024</v>
      </c>
      <c r="D2814" t="s">
        <v>379</v>
      </c>
      <c r="F2814" t="s">
        <v>7023</v>
      </c>
      <c r="G2814" t="s">
        <v>1020</v>
      </c>
      <c r="H2814" t="s">
        <v>10677</v>
      </c>
      <c r="I2814" t="s">
        <v>1525</v>
      </c>
      <c r="J2814" t="s">
        <v>1643</v>
      </c>
      <c r="K2814">
        <v>10040</v>
      </c>
      <c r="L2814" t="s">
        <v>1670</v>
      </c>
      <c r="M2814" t="s">
        <v>1672</v>
      </c>
      <c r="N2814" t="s">
        <v>12696</v>
      </c>
      <c r="O2814" t="s">
        <v>1936</v>
      </c>
      <c r="P2814" t="s">
        <v>1960</v>
      </c>
      <c r="R2814" t="s">
        <v>50</v>
      </c>
      <c r="S2814" t="s">
        <v>1670</v>
      </c>
      <c r="U2814" t="s">
        <v>1972</v>
      </c>
      <c r="V2814" t="s">
        <v>1984</v>
      </c>
      <c r="W2814" t="s">
        <v>379</v>
      </c>
      <c r="X2814">
        <v>1353.32</v>
      </c>
      <c r="Y2814" t="s">
        <v>2008</v>
      </c>
      <c r="Z2814" t="s">
        <v>2020</v>
      </c>
      <c r="AB2814" t="s">
        <v>15000</v>
      </c>
      <c r="AD2814" t="s">
        <v>17408</v>
      </c>
      <c r="AE2814">
        <v>45</v>
      </c>
      <c r="AF2814" t="s">
        <v>2902</v>
      </c>
      <c r="AH2814">
        <v>28</v>
      </c>
      <c r="AI2814">
        <v>4</v>
      </c>
      <c r="AJ2814">
        <v>0</v>
      </c>
      <c r="AK2814">
        <v>192.62</v>
      </c>
      <c r="AM2814" t="s">
        <v>18032</v>
      </c>
      <c r="AN2814" t="s">
        <v>2927</v>
      </c>
      <c r="AO2814">
        <v>49600</v>
      </c>
      <c r="AU2814">
        <v>3</v>
      </c>
      <c r="AV2814" t="s">
        <v>337</v>
      </c>
      <c r="AW2814" t="s">
        <v>100</v>
      </c>
      <c r="AX2814" t="s">
        <v>18685</v>
      </c>
    </row>
    <row r="2815" spans="1:50">
      <c r="A2815" s="1" t="s">
        <v>61</v>
      </c>
      <c r="B2815" t="s">
        <v>163</v>
      </c>
      <c r="C2815" t="s">
        <v>6025</v>
      </c>
      <c r="D2815" t="s">
        <v>328</v>
      </c>
      <c r="F2815" t="s">
        <v>7603</v>
      </c>
      <c r="G2815" t="s">
        <v>963</v>
      </c>
      <c r="H2815" t="s">
        <v>9387</v>
      </c>
      <c r="I2815" t="s">
        <v>1507</v>
      </c>
      <c r="J2815" t="s">
        <v>1644</v>
      </c>
      <c r="K2815">
        <v>11226</v>
      </c>
      <c r="L2815" t="s">
        <v>1670</v>
      </c>
      <c r="M2815" t="s">
        <v>1672</v>
      </c>
      <c r="N2815" t="s">
        <v>11999</v>
      </c>
      <c r="O2815" t="s">
        <v>1939</v>
      </c>
      <c r="P2815" t="s">
        <v>1960</v>
      </c>
      <c r="R2815" t="s">
        <v>50</v>
      </c>
      <c r="S2815" t="s">
        <v>1670</v>
      </c>
      <c r="U2815" t="s">
        <v>1972</v>
      </c>
      <c r="V2815" t="s">
        <v>1984</v>
      </c>
      <c r="W2815" t="s">
        <v>328</v>
      </c>
      <c r="X2815">
        <v>763.1799999999999</v>
      </c>
      <c r="Y2815" t="s">
        <v>2009</v>
      </c>
      <c r="Z2815" t="s">
        <v>2016</v>
      </c>
      <c r="AB2815" t="s">
        <v>14855</v>
      </c>
      <c r="AD2815" t="s">
        <v>17409</v>
      </c>
      <c r="AE2815">
        <v>36</v>
      </c>
      <c r="AF2815" t="s">
        <v>2902</v>
      </c>
      <c r="AG2815" t="s">
        <v>2919</v>
      </c>
      <c r="AH2815">
        <v>30</v>
      </c>
      <c r="AI2815">
        <v>4</v>
      </c>
      <c r="AJ2815">
        <v>0</v>
      </c>
      <c r="AK2815">
        <v>192.65</v>
      </c>
      <c r="AN2815" t="s">
        <v>2927</v>
      </c>
      <c r="AO2815">
        <v>49608</v>
      </c>
      <c r="AU2815">
        <v>0.3</v>
      </c>
      <c r="AV2815" t="s">
        <v>328</v>
      </c>
      <c r="AW2815" t="s">
        <v>69</v>
      </c>
    </row>
    <row r="2816" spans="1:50">
      <c r="A2816" s="1" t="s">
        <v>90</v>
      </c>
      <c r="B2816" t="s">
        <v>164</v>
      </c>
      <c r="C2816" t="s">
        <v>6026</v>
      </c>
      <c r="D2816" t="s">
        <v>279</v>
      </c>
      <c r="E2816" t="s">
        <v>281</v>
      </c>
      <c r="F2816" t="s">
        <v>7834</v>
      </c>
      <c r="G2816" t="s">
        <v>6867</v>
      </c>
      <c r="H2816" t="s">
        <v>9553</v>
      </c>
      <c r="I2816" t="s">
        <v>10967</v>
      </c>
      <c r="J2816" t="s">
        <v>1646</v>
      </c>
      <c r="K2816">
        <v>10304</v>
      </c>
      <c r="L2816" t="s">
        <v>1670</v>
      </c>
      <c r="M2816" t="s">
        <v>1670</v>
      </c>
      <c r="N2816" t="s">
        <v>12697</v>
      </c>
      <c r="O2816" t="s">
        <v>1936</v>
      </c>
      <c r="P2816" t="s">
        <v>1958</v>
      </c>
      <c r="Q2816" t="s">
        <v>1965</v>
      </c>
      <c r="R2816" t="s">
        <v>50</v>
      </c>
      <c r="S2816" t="s">
        <v>1671</v>
      </c>
      <c r="U2816" t="s">
        <v>1972</v>
      </c>
      <c r="V2816" t="s">
        <v>1986</v>
      </c>
      <c r="W2816" t="s">
        <v>342</v>
      </c>
      <c r="X2816">
        <v>1265</v>
      </c>
      <c r="Y2816" t="s">
        <v>2010</v>
      </c>
      <c r="AA2816" t="s">
        <v>2029</v>
      </c>
      <c r="AB2816" t="s">
        <v>15001</v>
      </c>
      <c r="AD2816" t="s">
        <v>17410</v>
      </c>
      <c r="AE2816" t="s">
        <v>13051</v>
      </c>
      <c r="AF2816" t="s">
        <v>2904</v>
      </c>
      <c r="AG2816" t="s">
        <v>1754</v>
      </c>
      <c r="AH2816">
        <v>3</v>
      </c>
      <c r="AI2816">
        <v>1</v>
      </c>
      <c r="AJ2816">
        <v>0</v>
      </c>
      <c r="AK2816">
        <v>192.75</v>
      </c>
      <c r="AN2816" t="s">
        <v>2926</v>
      </c>
      <c r="AO2816">
        <v>23400</v>
      </c>
      <c r="AR2816" t="s">
        <v>2017</v>
      </c>
      <c r="AS2816" t="s">
        <v>2993</v>
      </c>
      <c r="AT2816" t="s">
        <v>18527</v>
      </c>
      <c r="AU2816">
        <v>2.7</v>
      </c>
      <c r="AV2816" t="s">
        <v>407</v>
      </c>
      <c r="AW2816" t="s">
        <v>3071</v>
      </c>
    </row>
    <row r="2817" spans="1:50">
      <c r="A2817" s="1" t="s">
        <v>133</v>
      </c>
      <c r="B2817" t="s">
        <v>163</v>
      </c>
      <c r="C2817" t="s">
        <v>6027</v>
      </c>
      <c r="D2817" t="s">
        <v>6215</v>
      </c>
      <c r="F2817" t="s">
        <v>491</v>
      </c>
      <c r="G2817" t="s">
        <v>8499</v>
      </c>
      <c r="H2817" t="s">
        <v>9943</v>
      </c>
      <c r="I2817" t="s">
        <v>1508</v>
      </c>
      <c r="J2817" t="s">
        <v>1644</v>
      </c>
      <c r="K2817">
        <v>11233</v>
      </c>
      <c r="L2817" t="s">
        <v>1670</v>
      </c>
      <c r="M2817" t="s">
        <v>1670</v>
      </c>
      <c r="N2817" t="s">
        <v>1754</v>
      </c>
      <c r="O2817" t="s">
        <v>1937</v>
      </c>
      <c r="P2817" t="s">
        <v>1962</v>
      </c>
      <c r="R2817" t="s">
        <v>50</v>
      </c>
      <c r="S2817" t="s">
        <v>1671</v>
      </c>
      <c r="U2817" t="s">
        <v>1972</v>
      </c>
      <c r="W2817" t="s">
        <v>352</v>
      </c>
      <c r="X2817">
        <v>647</v>
      </c>
      <c r="Y2817" t="s">
        <v>2009</v>
      </c>
      <c r="Z2817" t="s">
        <v>2024</v>
      </c>
      <c r="AB2817" t="s">
        <v>13961</v>
      </c>
      <c r="AC2817" t="s">
        <v>15147</v>
      </c>
      <c r="AD2817" t="s">
        <v>16398</v>
      </c>
      <c r="AE2817">
        <v>23</v>
      </c>
      <c r="AF2817" t="s">
        <v>2902</v>
      </c>
      <c r="AG2817" t="s">
        <v>2920</v>
      </c>
      <c r="AH2817">
        <v>4</v>
      </c>
      <c r="AI2817">
        <v>1</v>
      </c>
      <c r="AJ2817">
        <v>0</v>
      </c>
      <c r="AK2817">
        <v>192.75</v>
      </c>
      <c r="AN2817" t="s">
        <v>2926</v>
      </c>
      <c r="AO2817">
        <v>23400</v>
      </c>
      <c r="AP2817" t="s">
        <v>18059</v>
      </c>
      <c r="AU2817">
        <v>5.5</v>
      </c>
      <c r="AV2817" t="s">
        <v>257</v>
      </c>
      <c r="AW2817" t="s">
        <v>18658</v>
      </c>
    </row>
    <row r="2818" spans="1:50">
      <c r="A2818" s="1" t="s">
        <v>3155</v>
      </c>
      <c r="B2818" t="s">
        <v>164</v>
      </c>
      <c r="C2818" t="s">
        <v>6028</v>
      </c>
      <c r="D2818" t="s">
        <v>321</v>
      </c>
      <c r="E2818" t="s">
        <v>210</v>
      </c>
      <c r="F2818" t="s">
        <v>689</v>
      </c>
      <c r="G2818" t="s">
        <v>943</v>
      </c>
      <c r="H2818" t="s">
        <v>10678</v>
      </c>
      <c r="I2818" t="s">
        <v>1490</v>
      </c>
      <c r="J2818" t="s">
        <v>1644</v>
      </c>
      <c r="K2818">
        <v>11233</v>
      </c>
      <c r="L2818" t="s">
        <v>1670</v>
      </c>
      <c r="M2818" t="s">
        <v>1670</v>
      </c>
      <c r="N2818" t="s">
        <v>12698</v>
      </c>
      <c r="O2818" t="s">
        <v>1936</v>
      </c>
      <c r="P2818" t="s">
        <v>1960</v>
      </c>
      <c r="Q2818" t="s">
        <v>1969</v>
      </c>
      <c r="R2818" t="s">
        <v>50</v>
      </c>
      <c r="S2818" t="s">
        <v>1671</v>
      </c>
      <c r="U2818" t="s">
        <v>1972</v>
      </c>
      <c r="W2818" t="s">
        <v>321</v>
      </c>
      <c r="X2818">
        <v>1034</v>
      </c>
      <c r="Y2818" t="s">
        <v>2009</v>
      </c>
      <c r="Z2818" t="s">
        <v>2011</v>
      </c>
      <c r="AA2818" t="s">
        <v>2032</v>
      </c>
      <c r="AB2818" t="s">
        <v>15002</v>
      </c>
      <c r="AC2818" t="s">
        <v>15307</v>
      </c>
      <c r="AD2818" t="s">
        <v>17411</v>
      </c>
      <c r="AE2818">
        <v>18</v>
      </c>
      <c r="AF2818" t="s">
        <v>2904</v>
      </c>
      <c r="AG2818" t="s">
        <v>2918</v>
      </c>
      <c r="AH2818">
        <v>2</v>
      </c>
      <c r="AI2818">
        <v>1</v>
      </c>
      <c r="AJ2818">
        <v>0</v>
      </c>
      <c r="AK2818">
        <v>192.75</v>
      </c>
      <c r="AN2818" t="s">
        <v>2926</v>
      </c>
      <c r="AO2818">
        <v>23400</v>
      </c>
      <c r="AP2818" t="s">
        <v>2953</v>
      </c>
      <c r="AU2818">
        <v>15.25</v>
      </c>
      <c r="AV2818" t="s">
        <v>229</v>
      </c>
      <c r="AW2818" t="s">
        <v>3060</v>
      </c>
    </row>
    <row r="2819" spans="1:50">
      <c r="A2819" s="1" t="s">
        <v>82</v>
      </c>
      <c r="B2819" t="s">
        <v>163</v>
      </c>
      <c r="C2819" t="s">
        <v>6029</v>
      </c>
      <c r="D2819" t="s">
        <v>324</v>
      </c>
      <c r="F2819" t="s">
        <v>7793</v>
      </c>
      <c r="G2819" t="s">
        <v>9114</v>
      </c>
      <c r="H2819" t="s">
        <v>1144</v>
      </c>
      <c r="I2819" t="s">
        <v>11435</v>
      </c>
      <c r="J2819" t="s">
        <v>1644</v>
      </c>
      <c r="K2819">
        <v>11233</v>
      </c>
      <c r="L2819" t="s">
        <v>1670</v>
      </c>
      <c r="M2819" t="s">
        <v>1671</v>
      </c>
      <c r="N2819" t="s">
        <v>1754</v>
      </c>
      <c r="O2819" t="s">
        <v>1937</v>
      </c>
      <c r="P2819" t="s">
        <v>1962</v>
      </c>
      <c r="R2819" t="s">
        <v>50</v>
      </c>
      <c r="S2819" t="s">
        <v>1670</v>
      </c>
      <c r="U2819" t="s">
        <v>1972</v>
      </c>
      <c r="V2819" t="s">
        <v>1984</v>
      </c>
      <c r="W2819" t="s">
        <v>221</v>
      </c>
      <c r="X2819">
        <v>950</v>
      </c>
      <c r="Y2819" t="s">
        <v>2009</v>
      </c>
      <c r="AB2819" t="s">
        <v>15003</v>
      </c>
      <c r="AE2819">
        <v>359</v>
      </c>
      <c r="AF2819" t="s">
        <v>2902</v>
      </c>
      <c r="AG2819" t="s">
        <v>1754</v>
      </c>
      <c r="AH2819">
        <v>15</v>
      </c>
      <c r="AI2819">
        <v>4</v>
      </c>
      <c r="AJ2819">
        <v>0</v>
      </c>
      <c r="AK2819">
        <v>193.03</v>
      </c>
      <c r="AN2819" t="s">
        <v>2926</v>
      </c>
      <c r="AO2819">
        <v>49705</v>
      </c>
      <c r="AP2819" t="s">
        <v>18379</v>
      </c>
      <c r="AU2819" t="s">
        <v>13051</v>
      </c>
      <c r="AW2819" t="s">
        <v>3060</v>
      </c>
    </row>
    <row r="2820" spans="1:50">
      <c r="A2820" s="1" t="s">
        <v>82</v>
      </c>
      <c r="B2820" t="s">
        <v>163</v>
      </c>
      <c r="C2820" t="s">
        <v>6030</v>
      </c>
      <c r="D2820" t="s">
        <v>210</v>
      </c>
      <c r="F2820" t="s">
        <v>7793</v>
      </c>
      <c r="G2820" t="s">
        <v>9114</v>
      </c>
      <c r="H2820" t="s">
        <v>1144</v>
      </c>
      <c r="I2820" t="s">
        <v>11435</v>
      </c>
      <c r="J2820" t="s">
        <v>1644</v>
      </c>
      <c r="K2820">
        <v>11233</v>
      </c>
      <c r="L2820" t="s">
        <v>1670</v>
      </c>
      <c r="M2820" t="s">
        <v>1671</v>
      </c>
      <c r="N2820" t="s">
        <v>1754</v>
      </c>
      <c r="O2820" t="s">
        <v>1938</v>
      </c>
      <c r="P2820" t="s">
        <v>1961</v>
      </c>
      <c r="R2820" t="s">
        <v>50</v>
      </c>
      <c r="S2820" t="s">
        <v>1670</v>
      </c>
      <c r="U2820" t="s">
        <v>1972</v>
      </c>
      <c r="V2820" t="s">
        <v>1984</v>
      </c>
      <c r="W2820" t="s">
        <v>248</v>
      </c>
      <c r="X2820">
        <v>950</v>
      </c>
      <c r="Y2820" t="s">
        <v>2009</v>
      </c>
      <c r="Z2820" t="s">
        <v>2025</v>
      </c>
      <c r="AB2820" t="s">
        <v>15003</v>
      </c>
      <c r="AE2820">
        <v>359</v>
      </c>
      <c r="AF2820" t="s">
        <v>2902</v>
      </c>
      <c r="AG2820" t="s">
        <v>1754</v>
      </c>
      <c r="AH2820">
        <v>15</v>
      </c>
      <c r="AI2820">
        <v>4</v>
      </c>
      <c r="AJ2820">
        <v>0</v>
      </c>
      <c r="AK2820">
        <v>193.03</v>
      </c>
      <c r="AN2820" t="s">
        <v>2926</v>
      </c>
      <c r="AO2820">
        <v>49705</v>
      </c>
      <c r="AP2820" t="s">
        <v>18266</v>
      </c>
      <c r="AU2820" t="s">
        <v>13051</v>
      </c>
      <c r="AW2820" t="s">
        <v>3060</v>
      </c>
    </row>
    <row r="2821" spans="1:50">
      <c r="A2821" s="1" t="s">
        <v>126</v>
      </c>
      <c r="B2821" t="s">
        <v>163</v>
      </c>
      <c r="C2821" t="s">
        <v>6031</v>
      </c>
      <c r="D2821" t="s">
        <v>296</v>
      </c>
      <c r="F2821" t="s">
        <v>7514</v>
      </c>
      <c r="G2821" t="s">
        <v>8510</v>
      </c>
      <c r="H2821" t="s">
        <v>9627</v>
      </c>
      <c r="J2821" t="s">
        <v>1641</v>
      </c>
      <c r="K2821">
        <v>10451</v>
      </c>
      <c r="L2821" t="s">
        <v>1670</v>
      </c>
      <c r="M2821" t="s">
        <v>1670</v>
      </c>
      <c r="N2821" t="s">
        <v>11981</v>
      </c>
      <c r="O2821" t="s">
        <v>1939</v>
      </c>
      <c r="P2821" t="s">
        <v>1960</v>
      </c>
      <c r="R2821" t="s">
        <v>50</v>
      </c>
      <c r="S2821" t="s">
        <v>1670</v>
      </c>
      <c r="U2821" t="s">
        <v>1972</v>
      </c>
      <c r="W2821" t="s">
        <v>359</v>
      </c>
      <c r="X2821">
        <v>1140</v>
      </c>
      <c r="Y2821" t="s">
        <v>2006</v>
      </c>
      <c r="Z2821" t="s">
        <v>2015</v>
      </c>
      <c r="AB2821" t="s">
        <v>15004</v>
      </c>
      <c r="AD2821" t="s">
        <v>17412</v>
      </c>
      <c r="AE2821">
        <v>100</v>
      </c>
      <c r="AF2821" t="s">
        <v>2902</v>
      </c>
      <c r="AG2821" t="s">
        <v>2915</v>
      </c>
      <c r="AH2821">
        <v>40</v>
      </c>
      <c r="AI2821">
        <v>2</v>
      </c>
      <c r="AJ2821">
        <v>0</v>
      </c>
      <c r="AK2821">
        <v>193.2</v>
      </c>
      <c r="AN2821" t="s">
        <v>2926</v>
      </c>
      <c r="AO2821">
        <v>31800</v>
      </c>
      <c r="AU2821" t="s">
        <v>13051</v>
      </c>
      <c r="AW2821" t="s">
        <v>3047</v>
      </c>
    </row>
    <row r="2822" spans="1:50">
      <c r="A2822" s="1" t="s">
        <v>140</v>
      </c>
      <c r="B2822" t="s">
        <v>163</v>
      </c>
      <c r="C2822" t="s">
        <v>6032</v>
      </c>
      <c r="D2822" t="s">
        <v>337</v>
      </c>
      <c r="F2822" t="s">
        <v>7835</v>
      </c>
      <c r="G2822" t="s">
        <v>9115</v>
      </c>
      <c r="H2822" t="s">
        <v>10679</v>
      </c>
      <c r="I2822" t="s">
        <v>1487</v>
      </c>
      <c r="J2822" t="s">
        <v>1668</v>
      </c>
      <c r="K2822">
        <v>11367</v>
      </c>
      <c r="L2822" t="s">
        <v>1670</v>
      </c>
      <c r="M2822" t="s">
        <v>1672</v>
      </c>
      <c r="N2822" t="s">
        <v>12699</v>
      </c>
      <c r="O2822" t="s">
        <v>1936</v>
      </c>
      <c r="P2822" t="s">
        <v>1960</v>
      </c>
      <c r="R2822" t="s">
        <v>50</v>
      </c>
      <c r="S2822" t="s">
        <v>1670</v>
      </c>
      <c r="U2822" t="s">
        <v>1972</v>
      </c>
      <c r="W2822" t="s">
        <v>400</v>
      </c>
      <c r="X2822">
        <v>1604.25</v>
      </c>
      <c r="Y2822" t="s">
        <v>2007</v>
      </c>
      <c r="Z2822" t="s">
        <v>2014</v>
      </c>
      <c r="AB2822" t="s">
        <v>15005</v>
      </c>
      <c r="AD2822" t="s">
        <v>17413</v>
      </c>
      <c r="AE2822">
        <v>15</v>
      </c>
      <c r="AF2822" t="s">
        <v>2908</v>
      </c>
      <c r="AG2822" t="s">
        <v>1754</v>
      </c>
      <c r="AH2822">
        <v>13</v>
      </c>
      <c r="AI2822">
        <v>4</v>
      </c>
      <c r="AJ2822">
        <v>0</v>
      </c>
      <c r="AK2822">
        <v>194.17</v>
      </c>
      <c r="AN2822" t="s">
        <v>2926</v>
      </c>
      <c r="AO2822">
        <v>50000</v>
      </c>
      <c r="AU2822">
        <v>1.6</v>
      </c>
      <c r="AV2822" t="s">
        <v>3037</v>
      </c>
      <c r="AW2822" t="s">
        <v>3078</v>
      </c>
      <c r="AX2822" t="s">
        <v>18685</v>
      </c>
    </row>
    <row r="2823" spans="1:50">
      <c r="A2823" s="1" t="s">
        <v>133</v>
      </c>
      <c r="B2823" t="s">
        <v>163</v>
      </c>
      <c r="C2823" t="s">
        <v>6033</v>
      </c>
      <c r="D2823" t="s">
        <v>2005</v>
      </c>
      <c r="F2823" t="s">
        <v>7830</v>
      </c>
      <c r="G2823" t="s">
        <v>7055</v>
      </c>
      <c r="H2823" t="s">
        <v>9401</v>
      </c>
      <c r="I2823">
        <v>7</v>
      </c>
      <c r="J2823" t="s">
        <v>1644</v>
      </c>
      <c r="K2823">
        <v>11213</v>
      </c>
      <c r="L2823" t="s">
        <v>1670</v>
      </c>
      <c r="M2823" t="s">
        <v>1670</v>
      </c>
      <c r="N2823" t="s">
        <v>1675</v>
      </c>
      <c r="O2823" t="s">
        <v>1945</v>
      </c>
      <c r="P2823" t="s">
        <v>1962</v>
      </c>
      <c r="R2823" t="s">
        <v>50</v>
      </c>
      <c r="S2823" t="s">
        <v>1671</v>
      </c>
      <c r="U2823" t="s">
        <v>1972</v>
      </c>
      <c r="V2823" t="s">
        <v>1984</v>
      </c>
      <c r="W2823" t="s">
        <v>167</v>
      </c>
      <c r="X2823">
        <v>931.36</v>
      </c>
      <c r="Y2823" t="s">
        <v>2009</v>
      </c>
      <c r="AB2823" t="s">
        <v>14984</v>
      </c>
      <c r="AC2823" t="s">
        <v>1754</v>
      </c>
      <c r="AE2823">
        <v>31</v>
      </c>
      <c r="AF2823" t="s">
        <v>2902</v>
      </c>
      <c r="AG2823" t="s">
        <v>1754</v>
      </c>
      <c r="AH2823">
        <v>35</v>
      </c>
      <c r="AI2823">
        <v>2</v>
      </c>
      <c r="AJ2823">
        <v>0</v>
      </c>
      <c r="AK2823">
        <v>194.41</v>
      </c>
      <c r="AN2823" t="s">
        <v>2926</v>
      </c>
      <c r="AO2823">
        <v>32000</v>
      </c>
      <c r="AP2823" t="s">
        <v>18376</v>
      </c>
      <c r="AU2823" t="s">
        <v>13051</v>
      </c>
      <c r="AW2823" t="s">
        <v>3060</v>
      </c>
      <c r="AX2823" t="s">
        <v>18685</v>
      </c>
    </row>
    <row r="2824" spans="1:50">
      <c r="A2824" s="1" t="s">
        <v>101</v>
      </c>
      <c r="B2824" t="s">
        <v>164</v>
      </c>
      <c r="C2824" t="s">
        <v>6034</v>
      </c>
      <c r="D2824" t="s">
        <v>243</v>
      </c>
      <c r="E2824" t="s">
        <v>223</v>
      </c>
      <c r="F2824" t="s">
        <v>1085</v>
      </c>
      <c r="G2824" t="s">
        <v>8323</v>
      </c>
      <c r="H2824" t="s">
        <v>10680</v>
      </c>
      <c r="I2824">
        <v>8</v>
      </c>
      <c r="J2824" t="s">
        <v>1643</v>
      </c>
      <c r="K2824">
        <v>10034</v>
      </c>
      <c r="L2824" t="s">
        <v>1670</v>
      </c>
      <c r="M2824" t="s">
        <v>1671</v>
      </c>
      <c r="O2824" t="s">
        <v>1950</v>
      </c>
      <c r="P2824" t="s">
        <v>1959</v>
      </c>
      <c r="Q2824" t="s">
        <v>1966</v>
      </c>
      <c r="R2824" t="s">
        <v>50</v>
      </c>
      <c r="S2824" t="s">
        <v>1671</v>
      </c>
      <c r="U2824" t="s">
        <v>1976</v>
      </c>
      <c r="V2824" t="s">
        <v>1984</v>
      </c>
      <c r="W2824" t="s">
        <v>243</v>
      </c>
      <c r="X2824">
        <v>1668</v>
      </c>
      <c r="Y2824" t="s">
        <v>2008</v>
      </c>
      <c r="Z2824" t="s">
        <v>2016</v>
      </c>
      <c r="AA2824" t="s">
        <v>2040</v>
      </c>
      <c r="AB2824" t="s">
        <v>15006</v>
      </c>
      <c r="AC2824" t="s">
        <v>15308</v>
      </c>
      <c r="AD2824" t="s">
        <v>17414</v>
      </c>
      <c r="AE2824">
        <v>23</v>
      </c>
      <c r="AF2824" t="s">
        <v>2902</v>
      </c>
      <c r="AG2824" t="s">
        <v>1754</v>
      </c>
      <c r="AH2824">
        <v>20</v>
      </c>
      <c r="AI2824">
        <v>2</v>
      </c>
      <c r="AJ2824">
        <v>0</v>
      </c>
      <c r="AK2824">
        <v>194.41</v>
      </c>
      <c r="AN2824" t="s">
        <v>2926</v>
      </c>
      <c r="AO2824">
        <v>32000</v>
      </c>
      <c r="AP2824" t="s">
        <v>18380</v>
      </c>
      <c r="AQ2824" t="s">
        <v>2979</v>
      </c>
      <c r="AR2824" t="s">
        <v>2982</v>
      </c>
      <c r="AS2824" t="s">
        <v>2992</v>
      </c>
      <c r="AT2824" t="s">
        <v>18609</v>
      </c>
      <c r="AU2824">
        <v>0.2</v>
      </c>
      <c r="AV2824" t="s">
        <v>243</v>
      </c>
      <c r="AW2824" t="s">
        <v>101</v>
      </c>
    </row>
    <row r="2825" spans="1:50">
      <c r="A2825" s="1" t="s">
        <v>129</v>
      </c>
      <c r="B2825" t="s">
        <v>163</v>
      </c>
      <c r="C2825" t="s">
        <v>6035</v>
      </c>
      <c r="D2825" t="s">
        <v>2005</v>
      </c>
      <c r="F2825" t="s">
        <v>7830</v>
      </c>
      <c r="G2825" t="s">
        <v>7055</v>
      </c>
      <c r="H2825" t="s">
        <v>9401</v>
      </c>
      <c r="I2825">
        <v>7</v>
      </c>
      <c r="J2825" t="s">
        <v>1644</v>
      </c>
      <c r="K2825">
        <v>11213</v>
      </c>
      <c r="L2825" t="s">
        <v>1670</v>
      </c>
      <c r="M2825" t="s">
        <v>1670</v>
      </c>
      <c r="N2825" t="s">
        <v>1865</v>
      </c>
      <c r="O2825" t="s">
        <v>1939</v>
      </c>
      <c r="P2825" t="s">
        <v>1960</v>
      </c>
      <c r="R2825" t="s">
        <v>50</v>
      </c>
      <c r="S2825" t="s">
        <v>1670</v>
      </c>
      <c r="U2825" t="s">
        <v>1972</v>
      </c>
      <c r="V2825" t="s">
        <v>1984</v>
      </c>
      <c r="W2825" t="s">
        <v>6770</v>
      </c>
      <c r="X2825">
        <v>931.36</v>
      </c>
      <c r="Y2825" t="s">
        <v>2009</v>
      </c>
      <c r="Z2825" t="s">
        <v>2015</v>
      </c>
      <c r="AB2825" t="s">
        <v>14984</v>
      </c>
      <c r="AC2825" t="s">
        <v>1754</v>
      </c>
      <c r="AE2825">
        <v>31</v>
      </c>
      <c r="AF2825" t="s">
        <v>2902</v>
      </c>
      <c r="AG2825" t="s">
        <v>1754</v>
      </c>
      <c r="AH2825">
        <v>35</v>
      </c>
      <c r="AI2825">
        <v>2</v>
      </c>
      <c r="AJ2825">
        <v>0</v>
      </c>
      <c r="AK2825">
        <v>194.41</v>
      </c>
      <c r="AN2825" t="s">
        <v>2926</v>
      </c>
      <c r="AO2825">
        <v>32000</v>
      </c>
      <c r="AU2825">
        <v>1.15</v>
      </c>
      <c r="AV2825" t="s">
        <v>171</v>
      </c>
      <c r="AW2825" t="s">
        <v>3060</v>
      </c>
    </row>
    <row r="2826" spans="1:50">
      <c r="A2826" s="1" t="s">
        <v>119</v>
      </c>
      <c r="B2826" t="s">
        <v>163</v>
      </c>
      <c r="C2826" t="s">
        <v>6036</v>
      </c>
      <c r="D2826" t="s">
        <v>360</v>
      </c>
      <c r="F2826" t="s">
        <v>7836</v>
      </c>
      <c r="G2826" t="s">
        <v>9116</v>
      </c>
      <c r="H2826" t="s">
        <v>10681</v>
      </c>
      <c r="I2826" t="s">
        <v>1511</v>
      </c>
      <c r="J2826" t="s">
        <v>1644</v>
      </c>
      <c r="K2826">
        <v>11207</v>
      </c>
      <c r="L2826" t="s">
        <v>1670</v>
      </c>
      <c r="M2826" t="s">
        <v>1670</v>
      </c>
      <c r="N2826" t="s">
        <v>12700</v>
      </c>
      <c r="O2826" t="s">
        <v>1939</v>
      </c>
      <c r="P2826" t="s">
        <v>1960</v>
      </c>
      <c r="R2826" t="s">
        <v>50</v>
      </c>
      <c r="U2826" t="s">
        <v>1972</v>
      </c>
      <c r="W2826" t="s">
        <v>351</v>
      </c>
      <c r="X2826">
        <v>1100</v>
      </c>
      <c r="Y2826" t="s">
        <v>2009</v>
      </c>
      <c r="Z2826" t="s">
        <v>2014</v>
      </c>
      <c r="AB2826" t="s">
        <v>13542</v>
      </c>
      <c r="AC2826" t="s">
        <v>15309</v>
      </c>
      <c r="AD2826" t="s">
        <v>17415</v>
      </c>
      <c r="AE2826">
        <v>6</v>
      </c>
      <c r="AF2826" t="s">
        <v>2909</v>
      </c>
      <c r="AG2826" t="s">
        <v>2915</v>
      </c>
      <c r="AH2826">
        <v>-8</v>
      </c>
      <c r="AI2826">
        <v>2</v>
      </c>
      <c r="AJ2826">
        <v>0</v>
      </c>
      <c r="AK2826">
        <v>194.41</v>
      </c>
      <c r="AN2826" t="s">
        <v>2926</v>
      </c>
      <c r="AO2826">
        <v>32000</v>
      </c>
      <c r="AU2826">
        <v>79</v>
      </c>
      <c r="AV2826" t="s">
        <v>396</v>
      </c>
      <c r="AW2826" t="s">
        <v>3074</v>
      </c>
      <c r="AX2826" t="s">
        <v>18686</v>
      </c>
    </row>
    <row r="2827" spans="1:50">
      <c r="A2827" s="1" t="s">
        <v>82</v>
      </c>
      <c r="B2827" t="s">
        <v>163</v>
      </c>
      <c r="C2827" t="s">
        <v>6037</v>
      </c>
      <c r="D2827" t="s">
        <v>181</v>
      </c>
      <c r="F2827" t="s">
        <v>7519</v>
      </c>
      <c r="G2827" t="s">
        <v>9117</v>
      </c>
      <c r="H2827" t="s">
        <v>1144</v>
      </c>
      <c r="I2827" t="s">
        <v>11444</v>
      </c>
      <c r="J2827" t="s">
        <v>1644</v>
      </c>
      <c r="K2827">
        <v>11233</v>
      </c>
      <c r="L2827" t="s">
        <v>1670</v>
      </c>
      <c r="M2827" t="s">
        <v>1671</v>
      </c>
      <c r="N2827" t="s">
        <v>1754</v>
      </c>
      <c r="O2827" t="s">
        <v>1937</v>
      </c>
      <c r="P2827" t="s">
        <v>1962</v>
      </c>
      <c r="R2827" t="s">
        <v>50</v>
      </c>
      <c r="S2827" t="s">
        <v>1670</v>
      </c>
      <c r="U2827" t="s">
        <v>1972</v>
      </c>
      <c r="V2827" t="s">
        <v>1984</v>
      </c>
      <c r="W2827" t="s">
        <v>221</v>
      </c>
      <c r="X2827">
        <v>1442</v>
      </c>
      <c r="Y2827" t="s">
        <v>2009</v>
      </c>
      <c r="AB2827" t="s">
        <v>15007</v>
      </c>
      <c r="AE2827">
        <v>359</v>
      </c>
      <c r="AF2827" t="s">
        <v>2902</v>
      </c>
      <c r="AH2827">
        <v>28</v>
      </c>
      <c r="AI2827">
        <v>2</v>
      </c>
      <c r="AJ2827">
        <v>0</v>
      </c>
      <c r="AK2827">
        <v>195.15</v>
      </c>
      <c r="AN2827" t="s">
        <v>2926</v>
      </c>
      <c r="AO2827">
        <v>33000</v>
      </c>
      <c r="AP2827" t="s">
        <v>18381</v>
      </c>
      <c r="AU2827" t="s">
        <v>13051</v>
      </c>
      <c r="AW2827" t="s">
        <v>3060</v>
      </c>
    </row>
    <row r="2828" spans="1:50">
      <c r="A2828" s="1" t="s">
        <v>82</v>
      </c>
      <c r="B2828" t="s">
        <v>163</v>
      </c>
      <c r="C2828" t="s">
        <v>6038</v>
      </c>
      <c r="D2828" t="s">
        <v>181</v>
      </c>
      <c r="F2828" t="s">
        <v>7519</v>
      </c>
      <c r="G2828" t="s">
        <v>9117</v>
      </c>
      <c r="H2828" t="s">
        <v>1144</v>
      </c>
      <c r="I2828" t="s">
        <v>11444</v>
      </c>
      <c r="J2828" t="s">
        <v>1644</v>
      </c>
      <c r="K2828">
        <v>11233</v>
      </c>
      <c r="L2828" t="s">
        <v>1670</v>
      </c>
      <c r="M2828" t="s">
        <v>1671</v>
      </c>
      <c r="N2828" t="s">
        <v>1754</v>
      </c>
      <c r="O2828" t="s">
        <v>1938</v>
      </c>
      <c r="P2828" t="s">
        <v>1961</v>
      </c>
      <c r="R2828" t="s">
        <v>50</v>
      </c>
      <c r="S2828" t="s">
        <v>1670</v>
      </c>
      <c r="U2828" t="s">
        <v>1972</v>
      </c>
      <c r="V2828" t="s">
        <v>1984</v>
      </c>
      <c r="W2828" t="s">
        <v>248</v>
      </c>
      <c r="X2828">
        <v>1442</v>
      </c>
      <c r="Y2828" t="s">
        <v>2009</v>
      </c>
      <c r="AB2828" t="s">
        <v>15007</v>
      </c>
      <c r="AE2828">
        <v>359</v>
      </c>
      <c r="AF2828" t="s">
        <v>2902</v>
      </c>
      <c r="AH2828">
        <v>28</v>
      </c>
      <c r="AI2828">
        <v>2</v>
      </c>
      <c r="AJ2828">
        <v>0</v>
      </c>
      <c r="AK2828">
        <v>195.15</v>
      </c>
      <c r="AN2828" t="s">
        <v>2926</v>
      </c>
      <c r="AO2828">
        <v>33000</v>
      </c>
      <c r="AP2828" t="s">
        <v>18076</v>
      </c>
      <c r="AU2828" t="s">
        <v>13051</v>
      </c>
      <c r="AW2828" t="s">
        <v>3060</v>
      </c>
    </row>
    <row r="2829" spans="1:50">
      <c r="A2829" s="1" t="s">
        <v>94</v>
      </c>
      <c r="B2829" t="s">
        <v>163</v>
      </c>
      <c r="C2829" t="s">
        <v>6039</v>
      </c>
      <c r="D2829" t="s">
        <v>348</v>
      </c>
      <c r="F2829" t="s">
        <v>7837</v>
      </c>
      <c r="G2829" t="s">
        <v>8585</v>
      </c>
      <c r="H2829" t="s">
        <v>9407</v>
      </c>
      <c r="I2829" t="s">
        <v>1584</v>
      </c>
      <c r="J2829" t="s">
        <v>1643</v>
      </c>
      <c r="K2829">
        <v>10040</v>
      </c>
      <c r="L2829" t="s">
        <v>1670</v>
      </c>
      <c r="M2829" t="s">
        <v>1670</v>
      </c>
      <c r="O2829" t="s">
        <v>1938</v>
      </c>
      <c r="P2829" t="s">
        <v>1960</v>
      </c>
      <c r="R2829" t="s">
        <v>50</v>
      </c>
      <c r="S2829" t="s">
        <v>1670</v>
      </c>
      <c r="U2829" t="s">
        <v>1972</v>
      </c>
      <c r="W2829" t="s">
        <v>348</v>
      </c>
      <c r="X2829">
        <v>1120.85</v>
      </c>
      <c r="Y2829" t="s">
        <v>2008</v>
      </c>
      <c r="Z2829" t="s">
        <v>2016</v>
      </c>
      <c r="AB2829" t="s">
        <v>15008</v>
      </c>
      <c r="AD2829" t="s">
        <v>17416</v>
      </c>
      <c r="AE2829">
        <v>88</v>
      </c>
      <c r="AF2829" t="s">
        <v>2902</v>
      </c>
      <c r="AG2829" t="s">
        <v>1754</v>
      </c>
      <c r="AH2829">
        <v>23</v>
      </c>
      <c r="AI2829">
        <v>4</v>
      </c>
      <c r="AJ2829">
        <v>0</v>
      </c>
      <c r="AK2829">
        <v>195.22</v>
      </c>
      <c r="AN2829" t="s">
        <v>2926</v>
      </c>
      <c r="AO2829">
        <v>49000</v>
      </c>
      <c r="AU2829" t="s">
        <v>13051</v>
      </c>
      <c r="AW2829" t="s">
        <v>3042</v>
      </c>
    </row>
    <row r="2830" spans="1:50">
      <c r="A2830" s="1" t="s">
        <v>3150</v>
      </c>
      <c r="B2830" t="s">
        <v>163</v>
      </c>
      <c r="C2830" t="s">
        <v>6040</v>
      </c>
      <c r="D2830" t="s">
        <v>206</v>
      </c>
      <c r="F2830" t="s">
        <v>7590</v>
      </c>
      <c r="G2830" t="s">
        <v>892</v>
      </c>
      <c r="H2830" t="s">
        <v>10682</v>
      </c>
      <c r="I2830" t="s">
        <v>11044</v>
      </c>
      <c r="J2830" t="s">
        <v>1643</v>
      </c>
      <c r="K2830">
        <v>10039</v>
      </c>
      <c r="L2830" t="s">
        <v>1670</v>
      </c>
      <c r="M2830" t="s">
        <v>1672</v>
      </c>
      <c r="N2830" t="s">
        <v>12701</v>
      </c>
      <c r="O2830" t="s">
        <v>1936</v>
      </c>
      <c r="P2830" t="s">
        <v>1963</v>
      </c>
      <c r="R2830" t="s">
        <v>50</v>
      </c>
      <c r="S2830" t="s">
        <v>1671</v>
      </c>
      <c r="U2830" t="s">
        <v>1972</v>
      </c>
      <c r="V2830" t="s">
        <v>1984</v>
      </c>
      <c r="W2830" t="s">
        <v>206</v>
      </c>
      <c r="X2830">
        <v>1100.48</v>
      </c>
      <c r="Y2830" t="s">
        <v>2008</v>
      </c>
      <c r="Z2830" t="s">
        <v>2014</v>
      </c>
      <c r="AB2830" t="s">
        <v>15009</v>
      </c>
      <c r="AD2830" t="s">
        <v>17417</v>
      </c>
      <c r="AE2830">
        <v>96</v>
      </c>
      <c r="AF2830" t="s">
        <v>2902</v>
      </c>
      <c r="AG2830" t="s">
        <v>1754</v>
      </c>
      <c r="AH2830">
        <v>42</v>
      </c>
      <c r="AI2830">
        <v>4</v>
      </c>
      <c r="AJ2830">
        <v>0</v>
      </c>
      <c r="AK2830">
        <v>195.31</v>
      </c>
      <c r="AN2830" t="s">
        <v>2926</v>
      </c>
      <c r="AO2830">
        <v>50292</v>
      </c>
      <c r="AU2830">
        <v>0.7</v>
      </c>
      <c r="AV2830" t="s">
        <v>206</v>
      </c>
      <c r="AW2830" t="s">
        <v>3051</v>
      </c>
      <c r="AX2830" t="s">
        <v>18685</v>
      </c>
    </row>
    <row r="2831" spans="1:50">
      <c r="A2831" s="1" t="s">
        <v>57</v>
      </c>
      <c r="B2831" t="s">
        <v>163</v>
      </c>
      <c r="C2831" t="s">
        <v>6041</v>
      </c>
      <c r="D2831" t="s">
        <v>347</v>
      </c>
      <c r="F2831" t="s">
        <v>7432</v>
      </c>
      <c r="G2831" t="s">
        <v>8363</v>
      </c>
      <c r="H2831" t="s">
        <v>1434</v>
      </c>
      <c r="I2831">
        <v>55</v>
      </c>
      <c r="J2831" t="s">
        <v>1641</v>
      </c>
      <c r="K2831">
        <v>10453</v>
      </c>
      <c r="L2831" t="s">
        <v>1670</v>
      </c>
      <c r="M2831" t="s">
        <v>1670</v>
      </c>
      <c r="N2831" t="s">
        <v>1911</v>
      </c>
      <c r="O2831" t="s">
        <v>1938</v>
      </c>
      <c r="P2831" t="s">
        <v>1961</v>
      </c>
      <c r="R2831" t="s">
        <v>50</v>
      </c>
      <c r="S2831" t="s">
        <v>1670</v>
      </c>
      <c r="U2831" t="s">
        <v>1972</v>
      </c>
      <c r="W2831" t="s">
        <v>283</v>
      </c>
      <c r="X2831">
        <v>1136.42</v>
      </c>
      <c r="Y2831" t="s">
        <v>2006</v>
      </c>
      <c r="Z2831" t="s">
        <v>2016</v>
      </c>
      <c r="AB2831" t="s">
        <v>15010</v>
      </c>
      <c r="AD2831" t="s">
        <v>17418</v>
      </c>
      <c r="AE2831">
        <v>46</v>
      </c>
      <c r="AF2831" t="s">
        <v>2902</v>
      </c>
      <c r="AG2831" t="s">
        <v>2919</v>
      </c>
      <c r="AH2831">
        <v>21</v>
      </c>
      <c r="AI2831">
        <v>1</v>
      </c>
      <c r="AJ2831">
        <v>0</v>
      </c>
      <c r="AK2831">
        <v>195.58</v>
      </c>
      <c r="AN2831" t="s">
        <v>2927</v>
      </c>
      <c r="AO2831">
        <v>23744</v>
      </c>
      <c r="AU2831" t="s">
        <v>13051</v>
      </c>
      <c r="AW2831" t="s">
        <v>3054</v>
      </c>
    </row>
    <row r="2832" spans="1:50">
      <c r="A2832" s="1" t="s">
        <v>128</v>
      </c>
      <c r="B2832" t="s">
        <v>163</v>
      </c>
      <c r="C2832" t="s">
        <v>6042</v>
      </c>
      <c r="D2832" t="s">
        <v>3038</v>
      </c>
      <c r="F2832" t="s">
        <v>7096</v>
      </c>
      <c r="G2832" t="s">
        <v>877</v>
      </c>
      <c r="H2832" t="s">
        <v>10683</v>
      </c>
      <c r="I2832" t="s">
        <v>1580</v>
      </c>
      <c r="J2832" t="s">
        <v>1641</v>
      </c>
      <c r="K2832">
        <v>10451</v>
      </c>
      <c r="L2832" t="s">
        <v>1670</v>
      </c>
      <c r="M2832" t="s">
        <v>1670</v>
      </c>
      <c r="O2832" t="s">
        <v>1945</v>
      </c>
      <c r="P2832" t="s">
        <v>1962</v>
      </c>
      <c r="R2832" t="s">
        <v>50</v>
      </c>
      <c r="U2832" t="s">
        <v>1980</v>
      </c>
      <c r="V2832" t="s">
        <v>1984</v>
      </c>
      <c r="W2832" t="s">
        <v>3038</v>
      </c>
      <c r="X2832" t="s">
        <v>13051</v>
      </c>
      <c r="Y2832" t="s">
        <v>2006</v>
      </c>
      <c r="AB2832" t="s">
        <v>15011</v>
      </c>
      <c r="AD2832" t="s">
        <v>17419</v>
      </c>
      <c r="AE2832" t="s">
        <v>13051</v>
      </c>
      <c r="AG2832" t="s">
        <v>2919</v>
      </c>
      <c r="AH2832" t="s">
        <v>13051</v>
      </c>
      <c r="AI2832">
        <v>1</v>
      </c>
      <c r="AJ2832">
        <v>0</v>
      </c>
      <c r="AK2832">
        <v>195.61</v>
      </c>
      <c r="AN2832" t="s">
        <v>2926</v>
      </c>
      <c r="AO2832">
        <v>24432</v>
      </c>
      <c r="AU2832" t="s">
        <v>13051</v>
      </c>
      <c r="AW2832" t="s">
        <v>128</v>
      </c>
    </row>
    <row r="2833" spans="1:50">
      <c r="A2833" s="1" t="s">
        <v>54</v>
      </c>
      <c r="B2833" t="s">
        <v>164</v>
      </c>
      <c r="C2833" t="s">
        <v>6043</v>
      </c>
      <c r="D2833" t="s">
        <v>270</v>
      </c>
      <c r="E2833" t="s">
        <v>320</v>
      </c>
      <c r="F2833" t="s">
        <v>7838</v>
      </c>
      <c r="G2833" t="s">
        <v>8222</v>
      </c>
      <c r="H2833" t="s">
        <v>10684</v>
      </c>
      <c r="I2833">
        <v>31</v>
      </c>
      <c r="J2833" t="s">
        <v>1643</v>
      </c>
      <c r="K2833">
        <v>10032</v>
      </c>
      <c r="L2833" t="s">
        <v>1670</v>
      </c>
      <c r="M2833" t="s">
        <v>1670</v>
      </c>
      <c r="P2833" t="s">
        <v>1958</v>
      </c>
      <c r="Q2833" t="s">
        <v>1965</v>
      </c>
      <c r="R2833" t="s">
        <v>50</v>
      </c>
      <c r="U2833" t="s">
        <v>1972</v>
      </c>
      <c r="W2833" t="s">
        <v>270</v>
      </c>
      <c r="X2833">
        <v>1042.85</v>
      </c>
      <c r="Y2833" t="s">
        <v>2008</v>
      </c>
      <c r="Z2833" t="s">
        <v>2013</v>
      </c>
      <c r="AA2833" t="s">
        <v>2029</v>
      </c>
      <c r="AB2833" t="s">
        <v>15012</v>
      </c>
      <c r="AD2833" t="s">
        <v>17420</v>
      </c>
      <c r="AE2833">
        <v>44</v>
      </c>
      <c r="AF2833" t="s">
        <v>2902</v>
      </c>
      <c r="AG2833" t="s">
        <v>1754</v>
      </c>
      <c r="AH2833">
        <v>23</v>
      </c>
      <c r="AI2833">
        <v>3</v>
      </c>
      <c r="AJ2833">
        <v>0</v>
      </c>
      <c r="AK2833">
        <v>196.44</v>
      </c>
      <c r="AN2833" t="s">
        <v>2927</v>
      </c>
      <c r="AO2833">
        <v>40820</v>
      </c>
      <c r="AU2833">
        <v>0.2</v>
      </c>
      <c r="AV2833" t="s">
        <v>320</v>
      </c>
      <c r="AW2833" t="s">
        <v>3042</v>
      </c>
    </row>
    <row r="2834" spans="1:50">
      <c r="A2834" s="1" t="s">
        <v>3155</v>
      </c>
      <c r="B2834" t="s">
        <v>163</v>
      </c>
      <c r="C2834" t="s">
        <v>6044</v>
      </c>
      <c r="D2834" t="s">
        <v>312</v>
      </c>
      <c r="F2834" t="s">
        <v>7012</v>
      </c>
      <c r="G2834" t="s">
        <v>892</v>
      </c>
      <c r="H2834" t="s">
        <v>10685</v>
      </c>
      <c r="I2834" t="s">
        <v>1534</v>
      </c>
      <c r="J2834" t="s">
        <v>1644</v>
      </c>
      <c r="K2834">
        <v>11212</v>
      </c>
      <c r="L2834" t="s">
        <v>1670</v>
      </c>
      <c r="M2834" t="s">
        <v>1670</v>
      </c>
      <c r="N2834" t="s">
        <v>12702</v>
      </c>
      <c r="O2834" t="s">
        <v>1936</v>
      </c>
      <c r="P2834" t="s">
        <v>1960</v>
      </c>
      <c r="R2834" t="s">
        <v>50</v>
      </c>
      <c r="S2834" t="s">
        <v>1671</v>
      </c>
      <c r="U2834" t="s">
        <v>1972</v>
      </c>
      <c r="W2834" t="s">
        <v>312</v>
      </c>
      <c r="X2834">
        <v>1225</v>
      </c>
      <c r="Y2834" t="s">
        <v>2009</v>
      </c>
      <c r="Z2834" t="s">
        <v>2020</v>
      </c>
      <c r="AB2834" t="s">
        <v>15013</v>
      </c>
      <c r="AC2834" t="s">
        <v>1754</v>
      </c>
      <c r="AD2834" t="s">
        <v>17421</v>
      </c>
      <c r="AE2834">
        <v>32</v>
      </c>
      <c r="AF2834" t="s">
        <v>2902</v>
      </c>
      <c r="AG2834" t="s">
        <v>1754</v>
      </c>
      <c r="AH2834">
        <v>8</v>
      </c>
      <c r="AI2834">
        <v>1</v>
      </c>
      <c r="AJ2834">
        <v>0</v>
      </c>
      <c r="AK2834">
        <v>196.51</v>
      </c>
      <c r="AN2834" t="s">
        <v>2926</v>
      </c>
      <c r="AO2834">
        <v>23856</v>
      </c>
      <c r="AP2834" t="s">
        <v>18069</v>
      </c>
      <c r="AU2834">
        <v>3.3</v>
      </c>
      <c r="AV2834" t="s">
        <v>219</v>
      </c>
      <c r="AW2834" t="s">
        <v>3060</v>
      </c>
    </row>
    <row r="2835" spans="1:50">
      <c r="A2835" s="1" t="s">
        <v>57</v>
      </c>
      <c r="B2835" t="s">
        <v>163</v>
      </c>
      <c r="C2835" t="s">
        <v>6045</v>
      </c>
      <c r="D2835" t="s">
        <v>182</v>
      </c>
      <c r="F2835" t="s">
        <v>7839</v>
      </c>
      <c r="G2835" t="s">
        <v>9118</v>
      </c>
      <c r="H2835" t="s">
        <v>1112</v>
      </c>
      <c r="I2835" t="s">
        <v>1580</v>
      </c>
      <c r="J2835" t="s">
        <v>1641</v>
      </c>
      <c r="K2835">
        <v>10453</v>
      </c>
      <c r="L2835" t="s">
        <v>1670</v>
      </c>
      <c r="M2835" t="s">
        <v>1670</v>
      </c>
      <c r="O2835" t="s">
        <v>1938</v>
      </c>
      <c r="P2835" t="s">
        <v>1961</v>
      </c>
      <c r="R2835" t="s">
        <v>50</v>
      </c>
      <c r="S2835" t="s">
        <v>1670</v>
      </c>
      <c r="U2835" t="s">
        <v>1972</v>
      </c>
      <c r="W2835" t="s">
        <v>283</v>
      </c>
      <c r="X2835">
        <v>685.84</v>
      </c>
      <c r="Y2835" t="s">
        <v>2006</v>
      </c>
      <c r="Z2835" t="s">
        <v>2015</v>
      </c>
      <c r="AB2835" t="s">
        <v>15014</v>
      </c>
      <c r="AE2835">
        <v>170</v>
      </c>
      <c r="AF2835" t="s">
        <v>2902</v>
      </c>
      <c r="AG2835" t="s">
        <v>1754</v>
      </c>
      <c r="AH2835">
        <v>40</v>
      </c>
      <c r="AI2835">
        <v>2</v>
      </c>
      <c r="AJ2835">
        <v>0</v>
      </c>
      <c r="AK2835">
        <v>196.57</v>
      </c>
      <c r="AN2835" t="s">
        <v>2926</v>
      </c>
      <c r="AO2835">
        <v>33240</v>
      </c>
      <c r="AU2835" t="s">
        <v>13051</v>
      </c>
      <c r="AW2835" t="s">
        <v>3047</v>
      </c>
    </row>
    <row r="2836" spans="1:50">
      <c r="A2836" s="1" t="s">
        <v>65</v>
      </c>
      <c r="B2836" t="s">
        <v>163</v>
      </c>
      <c r="C2836" t="s">
        <v>6046</v>
      </c>
      <c r="D2836" t="s">
        <v>285</v>
      </c>
      <c r="F2836" t="s">
        <v>6851</v>
      </c>
      <c r="G2836" t="s">
        <v>8894</v>
      </c>
      <c r="H2836" t="s">
        <v>10413</v>
      </c>
      <c r="J2836" t="s">
        <v>1644</v>
      </c>
      <c r="K2836">
        <v>11215</v>
      </c>
      <c r="L2836" t="s">
        <v>1670</v>
      </c>
      <c r="M2836" t="s">
        <v>1670</v>
      </c>
      <c r="N2836" t="s">
        <v>12703</v>
      </c>
      <c r="O2836" t="s">
        <v>1940</v>
      </c>
      <c r="P2836" t="s">
        <v>1960</v>
      </c>
      <c r="R2836" t="s">
        <v>50</v>
      </c>
      <c r="S2836" t="s">
        <v>1671</v>
      </c>
      <c r="U2836" t="s">
        <v>1972</v>
      </c>
      <c r="W2836" t="s">
        <v>367</v>
      </c>
      <c r="X2836">
        <v>153.7</v>
      </c>
      <c r="Y2836" t="s">
        <v>2009</v>
      </c>
      <c r="AB2836" t="s">
        <v>14852</v>
      </c>
      <c r="AD2836" t="s">
        <v>17422</v>
      </c>
      <c r="AE2836" t="s">
        <v>13051</v>
      </c>
      <c r="AH2836">
        <v>60</v>
      </c>
      <c r="AI2836">
        <v>2</v>
      </c>
      <c r="AJ2836">
        <v>0</v>
      </c>
      <c r="AK2836">
        <v>196.57</v>
      </c>
      <c r="AO2836">
        <v>33240</v>
      </c>
      <c r="AU2836">
        <v>2.7</v>
      </c>
      <c r="AV2836" t="s">
        <v>268</v>
      </c>
      <c r="AW2836" t="s">
        <v>158</v>
      </c>
    </row>
    <row r="2837" spans="1:50">
      <c r="A2837" s="1" t="s">
        <v>65</v>
      </c>
      <c r="B2837" t="s">
        <v>163</v>
      </c>
      <c r="C2837" t="s">
        <v>6047</v>
      </c>
      <c r="D2837" t="s">
        <v>313</v>
      </c>
      <c r="F2837" t="s">
        <v>6851</v>
      </c>
      <c r="G2837" t="s">
        <v>8894</v>
      </c>
      <c r="H2837" t="s">
        <v>10413</v>
      </c>
      <c r="I2837">
        <v>1</v>
      </c>
      <c r="J2837" t="s">
        <v>1644</v>
      </c>
      <c r="K2837">
        <v>11215</v>
      </c>
      <c r="L2837" t="s">
        <v>1670</v>
      </c>
      <c r="M2837" t="s">
        <v>1670</v>
      </c>
      <c r="O2837" t="s">
        <v>1675</v>
      </c>
      <c r="P2837" t="s">
        <v>1960</v>
      </c>
      <c r="R2837" t="s">
        <v>50</v>
      </c>
      <c r="U2837" t="s">
        <v>1972</v>
      </c>
      <c r="W2837" t="s">
        <v>367</v>
      </c>
      <c r="X2837">
        <v>153.7</v>
      </c>
      <c r="Y2837" t="s">
        <v>2009</v>
      </c>
      <c r="AB2837" t="s">
        <v>14852</v>
      </c>
      <c r="AD2837" t="s">
        <v>17422</v>
      </c>
      <c r="AE2837" t="s">
        <v>13051</v>
      </c>
      <c r="AH2837">
        <v>60</v>
      </c>
      <c r="AI2837">
        <v>2</v>
      </c>
      <c r="AJ2837">
        <v>0</v>
      </c>
      <c r="AK2837">
        <v>196.57</v>
      </c>
      <c r="AN2837" t="s">
        <v>2926</v>
      </c>
      <c r="AO2837">
        <v>33240</v>
      </c>
      <c r="AU2837">
        <v>2.6</v>
      </c>
      <c r="AV2837" t="s">
        <v>3035</v>
      </c>
      <c r="AW2837" t="s">
        <v>158</v>
      </c>
    </row>
    <row r="2838" spans="1:50">
      <c r="A2838" s="1" t="s">
        <v>57</v>
      </c>
      <c r="B2838" t="s">
        <v>163</v>
      </c>
      <c r="C2838" t="s">
        <v>6048</v>
      </c>
      <c r="D2838" t="s">
        <v>182</v>
      </c>
      <c r="F2838" t="s">
        <v>7839</v>
      </c>
      <c r="G2838" t="s">
        <v>9118</v>
      </c>
      <c r="H2838" t="s">
        <v>1112</v>
      </c>
      <c r="I2838" t="s">
        <v>1580</v>
      </c>
      <c r="J2838" t="s">
        <v>1641</v>
      </c>
      <c r="K2838">
        <v>10453</v>
      </c>
      <c r="L2838" t="s">
        <v>1670</v>
      </c>
      <c r="M2838" t="s">
        <v>1670</v>
      </c>
      <c r="N2838" t="s">
        <v>1677</v>
      </c>
      <c r="O2838" t="s">
        <v>1939</v>
      </c>
      <c r="P2838" t="s">
        <v>1960</v>
      </c>
      <c r="R2838" t="s">
        <v>50</v>
      </c>
      <c r="S2838" t="s">
        <v>1670</v>
      </c>
      <c r="U2838" t="s">
        <v>1972</v>
      </c>
      <c r="W2838" t="s">
        <v>283</v>
      </c>
      <c r="X2838">
        <v>685.84</v>
      </c>
      <c r="Y2838" t="s">
        <v>2006</v>
      </c>
      <c r="Z2838" t="s">
        <v>2015</v>
      </c>
      <c r="AB2838" t="s">
        <v>15014</v>
      </c>
      <c r="AE2838">
        <v>170</v>
      </c>
      <c r="AF2838" t="s">
        <v>2902</v>
      </c>
      <c r="AG2838" t="s">
        <v>1754</v>
      </c>
      <c r="AH2838">
        <v>40</v>
      </c>
      <c r="AI2838">
        <v>2</v>
      </c>
      <c r="AJ2838">
        <v>0</v>
      </c>
      <c r="AK2838">
        <v>196.57</v>
      </c>
      <c r="AN2838" t="s">
        <v>2926</v>
      </c>
      <c r="AO2838">
        <v>33240</v>
      </c>
      <c r="AU2838" t="s">
        <v>13051</v>
      </c>
      <c r="AW2838" t="s">
        <v>3047</v>
      </c>
    </row>
    <row r="2839" spans="1:50">
      <c r="A2839" s="1" t="s">
        <v>74</v>
      </c>
      <c r="B2839" t="s">
        <v>163</v>
      </c>
      <c r="C2839" t="s">
        <v>6049</v>
      </c>
      <c r="D2839" t="s">
        <v>230</v>
      </c>
      <c r="F2839" t="s">
        <v>6814</v>
      </c>
      <c r="G2839" t="s">
        <v>7900</v>
      </c>
      <c r="H2839" t="s">
        <v>1131</v>
      </c>
      <c r="I2839" t="s">
        <v>1486</v>
      </c>
      <c r="J2839" t="s">
        <v>1641</v>
      </c>
      <c r="K2839">
        <v>10460</v>
      </c>
      <c r="L2839" t="s">
        <v>1670</v>
      </c>
      <c r="M2839" t="s">
        <v>1672</v>
      </c>
      <c r="O2839" t="s">
        <v>1675</v>
      </c>
      <c r="P2839" t="s">
        <v>1959</v>
      </c>
      <c r="R2839" t="s">
        <v>50</v>
      </c>
      <c r="S2839" t="s">
        <v>1670</v>
      </c>
      <c r="U2839" t="s">
        <v>1972</v>
      </c>
      <c r="W2839" t="s">
        <v>1991</v>
      </c>
      <c r="X2839">
        <v>582</v>
      </c>
      <c r="Y2839" t="s">
        <v>2006</v>
      </c>
      <c r="Z2839" t="s">
        <v>2015</v>
      </c>
      <c r="AB2839" t="s">
        <v>13108</v>
      </c>
      <c r="AE2839">
        <v>168</v>
      </c>
      <c r="AF2839" t="s">
        <v>2902</v>
      </c>
      <c r="AG2839" t="s">
        <v>2915</v>
      </c>
      <c r="AH2839">
        <v>3</v>
      </c>
      <c r="AI2839">
        <v>1</v>
      </c>
      <c r="AJ2839">
        <v>0</v>
      </c>
      <c r="AK2839">
        <v>196.77</v>
      </c>
      <c r="AN2839" t="s">
        <v>2926</v>
      </c>
      <c r="AO2839">
        <v>24576</v>
      </c>
      <c r="AU2839" t="s">
        <v>13051</v>
      </c>
      <c r="AW2839" t="s">
        <v>3054</v>
      </c>
      <c r="AX2839" t="s">
        <v>18685</v>
      </c>
    </row>
    <row r="2840" spans="1:50">
      <c r="A2840" s="1" t="s">
        <v>61</v>
      </c>
      <c r="B2840" t="s">
        <v>164</v>
      </c>
      <c r="C2840" t="s">
        <v>6050</v>
      </c>
      <c r="D2840" t="s">
        <v>2005</v>
      </c>
      <c r="E2840" t="s">
        <v>330</v>
      </c>
      <c r="F2840" t="s">
        <v>7268</v>
      </c>
      <c r="G2840" t="s">
        <v>8382</v>
      </c>
      <c r="H2840" t="s">
        <v>9802</v>
      </c>
      <c r="J2840" t="s">
        <v>1644</v>
      </c>
      <c r="K2840">
        <v>11226</v>
      </c>
      <c r="L2840" t="s">
        <v>1670</v>
      </c>
      <c r="M2840" t="s">
        <v>1670</v>
      </c>
      <c r="O2840" t="s">
        <v>1675</v>
      </c>
      <c r="P2840" t="s">
        <v>1962</v>
      </c>
      <c r="Q2840" t="s">
        <v>1968</v>
      </c>
      <c r="R2840" t="s">
        <v>50</v>
      </c>
      <c r="S2840" t="s">
        <v>1671</v>
      </c>
      <c r="U2840" t="s">
        <v>1972</v>
      </c>
      <c r="W2840" t="s">
        <v>2005</v>
      </c>
      <c r="X2840">
        <v>784.1900000000001</v>
      </c>
      <c r="Y2840" t="s">
        <v>2009</v>
      </c>
      <c r="Z2840" t="s">
        <v>2020</v>
      </c>
      <c r="AA2840" t="s">
        <v>2029</v>
      </c>
      <c r="AB2840" t="s">
        <v>13448</v>
      </c>
      <c r="AD2840" t="s">
        <v>16229</v>
      </c>
      <c r="AE2840">
        <v>54</v>
      </c>
      <c r="AF2840" t="s">
        <v>2902</v>
      </c>
      <c r="AG2840" t="s">
        <v>1754</v>
      </c>
      <c r="AH2840">
        <v>40</v>
      </c>
      <c r="AI2840">
        <v>2</v>
      </c>
      <c r="AJ2840">
        <v>0</v>
      </c>
      <c r="AK2840">
        <v>196.84</v>
      </c>
      <c r="AN2840" t="s">
        <v>2926</v>
      </c>
      <c r="AO2840">
        <v>32400</v>
      </c>
      <c r="AS2840" t="s">
        <v>2992</v>
      </c>
      <c r="AT2840" t="s">
        <v>18610</v>
      </c>
      <c r="AU2840">
        <v>3.3</v>
      </c>
      <c r="AV2840" t="s">
        <v>296</v>
      </c>
      <c r="AW2840" t="s">
        <v>3049</v>
      </c>
    </row>
    <row r="2841" spans="1:50">
      <c r="A2841" s="1" t="s">
        <v>61</v>
      </c>
      <c r="B2841" t="s">
        <v>164</v>
      </c>
      <c r="C2841" t="s">
        <v>6051</v>
      </c>
      <c r="D2841" t="s">
        <v>360</v>
      </c>
      <c r="E2841" t="s">
        <v>330</v>
      </c>
      <c r="F2841" t="s">
        <v>7268</v>
      </c>
      <c r="G2841" t="s">
        <v>8382</v>
      </c>
      <c r="H2841" t="s">
        <v>9802</v>
      </c>
      <c r="J2841" t="s">
        <v>1644</v>
      </c>
      <c r="K2841">
        <v>11226</v>
      </c>
      <c r="L2841" t="s">
        <v>1670</v>
      </c>
      <c r="M2841" t="s">
        <v>1670</v>
      </c>
      <c r="N2841" t="s">
        <v>12704</v>
      </c>
      <c r="O2841" t="s">
        <v>1936</v>
      </c>
      <c r="P2841" t="s">
        <v>1960</v>
      </c>
      <c r="Q2841" t="s">
        <v>1969</v>
      </c>
      <c r="R2841" t="s">
        <v>50</v>
      </c>
      <c r="S2841" t="s">
        <v>1671</v>
      </c>
      <c r="U2841" t="s">
        <v>1972</v>
      </c>
      <c r="V2841" t="s">
        <v>1984</v>
      </c>
      <c r="W2841" t="s">
        <v>318</v>
      </c>
      <c r="X2841">
        <v>784.1900000000001</v>
      </c>
      <c r="Y2841" t="s">
        <v>2009</v>
      </c>
      <c r="AA2841" t="s">
        <v>2032</v>
      </c>
      <c r="AB2841" t="s">
        <v>13448</v>
      </c>
      <c r="AD2841" t="s">
        <v>16229</v>
      </c>
      <c r="AE2841">
        <v>54</v>
      </c>
      <c r="AF2841" t="s">
        <v>2902</v>
      </c>
      <c r="AG2841" t="s">
        <v>1754</v>
      </c>
      <c r="AH2841">
        <v>40</v>
      </c>
      <c r="AI2841">
        <v>2</v>
      </c>
      <c r="AJ2841">
        <v>0</v>
      </c>
      <c r="AK2841">
        <v>196.84</v>
      </c>
      <c r="AN2841" t="s">
        <v>2926</v>
      </c>
      <c r="AO2841">
        <v>32400</v>
      </c>
      <c r="AR2841" t="s">
        <v>2982</v>
      </c>
      <c r="AS2841" t="s">
        <v>2992</v>
      </c>
      <c r="AT2841" t="s">
        <v>18504</v>
      </c>
      <c r="AU2841">
        <v>23.2</v>
      </c>
      <c r="AV2841" t="s">
        <v>376</v>
      </c>
      <c r="AW2841" t="s">
        <v>69</v>
      </c>
    </row>
    <row r="2842" spans="1:50">
      <c r="A2842" s="1" t="s">
        <v>136</v>
      </c>
      <c r="B2842" t="s">
        <v>163</v>
      </c>
      <c r="C2842" t="s">
        <v>6052</v>
      </c>
      <c r="D2842" t="s">
        <v>311</v>
      </c>
      <c r="F2842" t="s">
        <v>585</v>
      </c>
      <c r="G2842" t="s">
        <v>1002</v>
      </c>
      <c r="H2842" t="s">
        <v>1117</v>
      </c>
      <c r="I2842" t="s">
        <v>1513</v>
      </c>
      <c r="J2842" t="s">
        <v>1644</v>
      </c>
      <c r="K2842">
        <v>11221</v>
      </c>
      <c r="L2842" t="s">
        <v>1670</v>
      </c>
      <c r="M2842" t="s">
        <v>1670</v>
      </c>
      <c r="N2842" t="s">
        <v>12240</v>
      </c>
      <c r="O2842" t="s">
        <v>1939</v>
      </c>
      <c r="P2842" t="s">
        <v>1960</v>
      </c>
      <c r="R2842" t="s">
        <v>50</v>
      </c>
      <c r="U2842" t="s">
        <v>1972</v>
      </c>
      <c r="W2842" t="s">
        <v>214</v>
      </c>
      <c r="X2842">
        <v>130</v>
      </c>
      <c r="Y2842" t="s">
        <v>2009</v>
      </c>
      <c r="Z2842" t="s">
        <v>2020</v>
      </c>
      <c r="AB2842" t="s">
        <v>14993</v>
      </c>
      <c r="AD2842" t="s">
        <v>17400</v>
      </c>
      <c r="AE2842">
        <v>7</v>
      </c>
      <c r="AH2842">
        <v>31</v>
      </c>
      <c r="AI2842">
        <v>1</v>
      </c>
      <c r="AJ2842">
        <v>0</v>
      </c>
      <c r="AK2842">
        <v>197.03</v>
      </c>
      <c r="AN2842" t="s">
        <v>2926</v>
      </c>
      <c r="AO2842">
        <v>23920</v>
      </c>
      <c r="AU2842">
        <v>0.3</v>
      </c>
      <c r="AV2842" t="s">
        <v>203</v>
      </c>
      <c r="AW2842" t="s">
        <v>3063</v>
      </c>
    </row>
    <row r="2843" spans="1:50">
      <c r="A2843" s="1" t="s">
        <v>3182</v>
      </c>
      <c r="B2843" t="s">
        <v>163</v>
      </c>
      <c r="C2843" t="s">
        <v>6053</v>
      </c>
      <c r="D2843" t="s">
        <v>243</v>
      </c>
      <c r="F2843" t="s">
        <v>674</v>
      </c>
      <c r="G2843" t="s">
        <v>868</v>
      </c>
      <c r="H2843" t="s">
        <v>10197</v>
      </c>
      <c r="I2843" t="s">
        <v>11002</v>
      </c>
      <c r="J2843" t="s">
        <v>1641</v>
      </c>
      <c r="K2843">
        <v>10453</v>
      </c>
      <c r="L2843" t="s">
        <v>1670</v>
      </c>
      <c r="M2843" t="s">
        <v>1670</v>
      </c>
      <c r="O2843" t="s">
        <v>1945</v>
      </c>
      <c r="P2843" t="s">
        <v>1959</v>
      </c>
      <c r="R2843" t="s">
        <v>50</v>
      </c>
      <c r="S2843" t="s">
        <v>1671</v>
      </c>
      <c r="U2843" t="s">
        <v>1980</v>
      </c>
      <c r="W2843" t="s">
        <v>243</v>
      </c>
      <c r="X2843">
        <v>900.16</v>
      </c>
      <c r="Y2843" t="s">
        <v>2006</v>
      </c>
      <c r="Z2843" t="s">
        <v>2021</v>
      </c>
      <c r="AB2843" t="s">
        <v>15015</v>
      </c>
      <c r="AC2843" t="s">
        <v>15310</v>
      </c>
      <c r="AD2843" t="s">
        <v>17423</v>
      </c>
      <c r="AE2843">
        <v>72</v>
      </c>
      <c r="AF2843" t="s">
        <v>2902</v>
      </c>
      <c r="AG2843" t="s">
        <v>2919</v>
      </c>
      <c r="AH2843">
        <v>36</v>
      </c>
      <c r="AI2843">
        <v>4</v>
      </c>
      <c r="AJ2843">
        <v>0</v>
      </c>
      <c r="AK2843">
        <v>197.15</v>
      </c>
      <c r="AN2843" t="s">
        <v>2926</v>
      </c>
      <c r="AO2843">
        <v>49484</v>
      </c>
      <c r="AP2843" t="s">
        <v>18382</v>
      </c>
      <c r="AU2843">
        <v>4.6</v>
      </c>
      <c r="AV2843" t="s">
        <v>337</v>
      </c>
      <c r="AW2843" t="s">
        <v>3054</v>
      </c>
    </row>
    <row r="2844" spans="1:50">
      <c r="A2844" s="1" t="s">
        <v>59</v>
      </c>
      <c r="B2844" t="s">
        <v>163</v>
      </c>
      <c r="C2844" t="s">
        <v>6054</v>
      </c>
      <c r="D2844" t="s">
        <v>250</v>
      </c>
      <c r="F2844" t="s">
        <v>7840</v>
      </c>
      <c r="G2844" t="s">
        <v>9119</v>
      </c>
      <c r="H2844" t="s">
        <v>10529</v>
      </c>
      <c r="I2844" t="s">
        <v>11445</v>
      </c>
      <c r="J2844" t="s">
        <v>1641</v>
      </c>
      <c r="K2844">
        <v>10453</v>
      </c>
      <c r="L2844" t="s">
        <v>1670</v>
      </c>
      <c r="M2844" t="s">
        <v>1670</v>
      </c>
      <c r="N2844" t="s">
        <v>12705</v>
      </c>
      <c r="O2844" t="s">
        <v>1936</v>
      </c>
      <c r="P2844" t="s">
        <v>1960</v>
      </c>
      <c r="R2844" t="s">
        <v>50</v>
      </c>
      <c r="U2844" t="s">
        <v>1972</v>
      </c>
      <c r="V2844" t="s">
        <v>13035</v>
      </c>
      <c r="W2844" t="s">
        <v>196</v>
      </c>
      <c r="X2844">
        <v>820</v>
      </c>
      <c r="Y2844" t="s">
        <v>2006</v>
      </c>
      <c r="Z2844" t="s">
        <v>2017</v>
      </c>
      <c r="AB2844" t="s">
        <v>15016</v>
      </c>
      <c r="AD2844" t="s">
        <v>17424</v>
      </c>
      <c r="AE2844">
        <v>111</v>
      </c>
      <c r="AF2844" t="s">
        <v>2904</v>
      </c>
      <c r="AG2844" t="s">
        <v>1754</v>
      </c>
      <c r="AH2844">
        <v>40</v>
      </c>
      <c r="AI2844">
        <v>1</v>
      </c>
      <c r="AJ2844">
        <v>0</v>
      </c>
      <c r="AK2844">
        <v>197.36</v>
      </c>
      <c r="AN2844" t="s">
        <v>2926</v>
      </c>
      <c r="AO2844">
        <v>23959.2</v>
      </c>
      <c r="AT2844" t="s">
        <v>18606</v>
      </c>
      <c r="AU2844">
        <v>10.1</v>
      </c>
      <c r="AV2844" t="s">
        <v>324</v>
      </c>
      <c r="AW2844" t="s">
        <v>3071</v>
      </c>
    </row>
    <row r="2845" spans="1:50">
      <c r="A2845" s="1" t="s">
        <v>3176</v>
      </c>
      <c r="B2845" t="s">
        <v>164</v>
      </c>
      <c r="C2845" t="s">
        <v>6055</v>
      </c>
      <c r="D2845" t="s">
        <v>207</v>
      </c>
      <c r="E2845" t="s">
        <v>351</v>
      </c>
      <c r="F2845" t="s">
        <v>427</v>
      </c>
      <c r="G2845" t="s">
        <v>1082</v>
      </c>
      <c r="H2845" t="s">
        <v>10686</v>
      </c>
      <c r="J2845" t="s">
        <v>1645</v>
      </c>
      <c r="K2845">
        <v>11691</v>
      </c>
      <c r="L2845" t="s">
        <v>1670</v>
      </c>
      <c r="M2845" t="s">
        <v>1670</v>
      </c>
      <c r="N2845" t="s">
        <v>1691</v>
      </c>
      <c r="O2845" t="s">
        <v>1941</v>
      </c>
      <c r="P2845" t="s">
        <v>1958</v>
      </c>
      <c r="Q2845" t="s">
        <v>1965</v>
      </c>
      <c r="R2845" t="s">
        <v>50</v>
      </c>
      <c r="S2845" t="s">
        <v>1671</v>
      </c>
      <c r="U2845" t="s">
        <v>1972</v>
      </c>
      <c r="V2845" t="s">
        <v>1984</v>
      </c>
      <c r="W2845" t="s">
        <v>351</v>
      </c>
      <c r="X2845">
        <v>850</v>
      </c>
      <c r="Y2845" t="s">
        <v>2007</v>
      </c>
      <c r="Z2845" t="s">
        <v>2024</v>
      </c>
      <c r="AA2845" t="s">
        <v>2029</v>
      </c>
      <c r="AB2845" t="s">
        <v>14908</v>
      </c>
      <c r="AC2845" t="s">
        <v>6055</v>
      </c>
      <c r="AD2845" t="s">
        <v>17316</v>
      </c>
      <c r="AE2845">
        <v>2</v>
      </c>
      <c r="AF2845" t="s">
        <v>2903</v>
      </c>
      <c r="AG2845" t="s">
        <v>1754</v>
      </c>
      <c r="AH2845">
        <v>1</v>
      </c>
      <c r="AI2845">
        <v>1</v>
      </c>
      <c r="AJ2845">
        <v>0</v>
      </c>
      <c r="AK2845">
        <v>197.69</v>
      </c>
      <c r="AN2845" t="s">
        <v>2926</v>
      </c>
      <c r="AO2845">
        <v>24000</v>
      </c>
      <c r="AU2845">
        <v>1.9</v>
      </c>
      <c r="AV2845" t="s">
        <v>351</v>
      </c>
      <c r="AW2845" t="s">
        <v>3066</v>
      </c>
    </row>
    <row r="2846" spans="1:50">
      <c r="A2846" s="1" t="s">
        <v>91</v>
      </c>
      <c r="B2846" t="s">
        <v>164</v>
      </c>
      <c r="C2846" t="s">
        <v>6056</v>
      </c>
      <c r="D2846" t="s">
        <v>176</v>
      </c>
      <c r="E2846" t="s">
        <v>208</v>
      </c>
      <c r="F2846" t="s">
        <v>7841</v>
      </c>
      <c r="G2846" t="s">
        <v>865</v>
      </c>
      <c r="H2846" t="s">
        <v>10687</v>
      </c>
      <c r="I2846" t="s">
        <v>1517</v>
      </c>
      <c r="J2846" t="s">
        <v>1643</v>
      </c>
      <c r="K2846">
        <v>10034</v>
      </c>
      <c r="L2846" t="s">
        <v>1670</v>
      </c>
      <c r="M2846" t="s">
        <v>1670</v>
      </c>
      <c r="O2846" t="s">
        <v>1941</v>
      </c>
      <c r="P2846" t="s">
        <v>1958</v>
      </c>
      <c r="Q2846" t="s">
        <v>1965</v>
      </c>
      <c r="R2846" t="s">
        <v>50</v>
      </c>
      <c r="S2846" t="s">
        <v>1671</v>
      </c>
      <c r="U2846" t="s">
        <v>1972</v>
      </c>
      <c r="W2846" t="s">
        <v>176</v>
      </c>
      <c r="X2846">
        <v>802</v>
      </c>
      <c r="Y2846" t="s">
        <v>2008</v>
      </c>
      <c r="Z2846" t="s">
        <v>2013</v>
      </c>
      <c r="AA2846" t="s">
        <v>2029</v>
      </c>
      <c r="AB2846" t="s">
        <v>15017</v>
      </c>
      <c r="AD2846" t="s">
        <v>17425</v>
      </c>
      <c r="AE2846" t="s">
        <v>13051</v>
      </c>
      <c r="AF2846" t="s">
        <v>2902</v>
      </c>
      <c r="AG2846" t="s">
        <v>2915</v>
      </c>
      <c r="AH2846">
        <v>27</v>
      </c>
      <c r="AI2846">
        <v>1</v>
      </c>
      <c r="AJ2846">
        <v>0</v>
      </c>
      <c r="AK2846">
        <v>197.69</v>
      </c>
      <c r="AN2846" t="s">
        <v>2927</v>
      </c>
      <c r="AO2846">
        <v>24000</v>
      </c>
      <c r="AU2846">
        <v>7.4</v>
      </c>
      <c r="AV2846" t="s">
        <v>202</v>
      </c>
      <c r="AW2846" t="s">
        <v>3042</v>
      </c>
      <c r="AX2846" t="s">
        <v>18685</v>
      </c>
    </row>
    <row r="2847" spans="1:50">
      <c r="A2847" s="1" t="s">
        <v>92</v>
      </c>
      <c r="B2847" t="s">
        <v>164</v>
      </c>
      <c r="C2847" t="s">
        <v>6057</v>
      </c>
      <c r="D2847" t="s">
        <v>2004</v>
      </c>
      <c r="E2847" t="s">
        <v>323</v>
      </c>
      <c r="F2847" t="s">
        <v>567</v>
      </c>
      <c r="G2847" t="s">
        <v>9120</v>
      </c>
      <c r="H2847" t="s">
        <v>10688</v>
      </c>
      <c r="I2847" t="s">
        <v>1570</v>
      </c>
      <c r="J2847" t="s">
        <v>1643</v>
      </c>
      <c r="K2847">
        <v>10003</v>
      </c>
      <c r="L2847" t="s">
        <v>1670</v>
      </c>
      <c r="M2847" t="s">
        <v>1672</v>
      </c>
      <c r="N2847" t="s">
        <v>12706</v>
      </c>
      <c r="O2847" t="s">
        <v>1940</v>
      </c>
      <c r="P2847" t="s">
        <v>1958</v>
      </c>
      <c r="Q2847" t="s">
        <v>1965</v>
      </c>
      <c r="R2847" t="s">
        <v>50</v>
      </c>
      <c r="S2847" t="s">
        <v>1671</v>
      </c>
      <c r="U2847" t="s">
        <v>1972</v>
      </c>
      <c r="W2847" t="s">
        <v>2004</v>
      </c>
      <c r="X2847">
        <v>1366.14</v>
      </c>
      <c r="Y2847" t="s">
        <v>2008</v>
      </c>
      <c r="Z2847" t="s">
        <v>2020</v>
      </c>
      <c r="AA2847" t="s">
        <v>2029</v>
      </c>
      <c r="AB2847" t="s">
        <v>15018</v>
      </c>
      <c r="AD2847" t="s">
        <v>17426</v>
      </c>
      <c r="AE2847" t="s">
        <v>13051</v>
      </c>
      <c r="AF2847" t="s">
        <v>2902</v>
      </c>
      <c r="AG2847" t="s">
        <v>1754</v>
      </c>
      <c r="AH2847">
        <v>20</v>
      </c>
      <c r="AI2847">
        <v>1</v>
      </c>
      <c r="AJ2847">
        <v>0</v>
      </c>
      <c r="AK2847">
        <v>197.69</v>
      </c>
      <c r="AN2847" t="s">
        <v>2926</v>
      </c>
      <c r="AO2847">
        <v>24000</v>
      </c>
      <c r="AU2847">
        <v>2.1</v>
      </c>
      <c r="AV2847" t="s">
        <v>323</v>
      </c>
      <c r="AW2847" t="s">
        <v>3048</v>
      </c>
    </row>
    <row r="2848" spans="1:50">
      <c r="A2848" s="1" t="s">
        <v>132</v>
      </c>
      <c r="B2848" t="s">
        <v>164</v>
      </c>
      <c r="C2848" t="s">
        <v>6058</v>
      </c>
      <c r="D2848" t="s">
        <v>6216</v>
      </c>
      <c r="E2848" t="s">
        <v>394</v>
      </c>
      <c r="F2848" t="s">
        <v>658</v>
      </c>
      <c r="G2848" t="s">
        <v>9121</v>
      </c>
      <c r="H2848" t="s">
        <v>10360</v>
      </c>
      <c r="I2848" t="s">
        <v>11261</v>
      </c>
      <c r="J2848" t="s">
        <v>1644</v>
      </c>
      <c r="K2848">
        <v>11212</v>
      </c>
      <c r="L2848" t="s">
        <v>1670</v>
      </c>
      <c r="M2848" t="s">
        <v>1671</v>
      </c>
      <c r="O2848" t="s">
        <v>1949</v>
      </c>
      <c r="P2848" t="s">
        <v>1962</v>
      </c>
      <c r="Q2848" t="s">
        <v>1968</v>
      </c>
      <c r="R2848" t="s">
        <v>50</v>
      </c>
      <c r="S2848" t="s">
        <v>1670</v>
      </c>
      <c r="U2848" t="s">
        <v>1972</v>
      </c>
      <c r="V2848" t="s">
        <v>1984</v>
      </c>
      <c r="W2848" t="s">
        <v>1989</v>
      </c>
      <c r="X2848">
        <v>920.21</v>
      </c>
      <c r="Y2848" t="s">
        <v>2009</v>
      </c>
      <c r="Z2848" t="s">
        <v>2021</v>
      </c>
      <c r="AA2848" t="s">
        <v>13060</v>
      </c>
      <c r="AB2848" t="s">
        <v>15019</v>
      </c>
      <c r="AD2848" t="s">
        <v>17427</v>
      </c>
      <c r="AE2848">
        <v>32</v>
      </c>
      <c r="AF2848" t="s">
        <v>2902</v>
      </c>
      <c r="AH2848">
        <v>18</v>
      </c>
      <c r="AI2848">
        <v>1</v>
      </c>
      <c r="AJ2848">
        <v>0</v>
      </c>
      <c r="AK2848">
        <v>197.69</v>
      </c>
      <c r="AN2848" t="s">
        <v>2926</v>
      </c>
      <c r="AO2848">
        <v>24000</v>
      </c>
      <c r="AU2848">
        <v>0.08</v>
      </c>
      <c r="AV2848" t="s">
        <v>332</v>
      </c>
      <c r="AW2848" t="s">
        <v>18659</v>
      </c>
    </row>
    <row r="2849" spans="1:50">
      <c r="A2849" s="1" t="s">
        <v>3202</v>
      </c>
      <c r="B2849" t="s">
        <v>164</v>
      </c>
      <c r="C2849" t="s">
        <v>6059</v>
      </c>
      <c r="D2849" t="s">
        <v>6138</v>
      </c>
      <c r="E2849" t="s">
        <v>359</v>
      </c>
      <c r="F2849" t="s">
        <v>7435</v>
      </c>
      <c r="G2849" t="s">
        <v>7949</v>
      </c>
      <c r="H2849" t="s">
        <v>9446</v>
      </c>
      <c r="I2849" t="s">
        <v>1534</v>
      </c>
      <c r="J2849" t="s">
        <v>1644</v>
      </c>
      <c r="K2849">
        <v>11206</v>
      </c>
      <c r="L2849" t="s">
        <v>1670</v>
      </c>
      <c r="M2849" t="s">
        <v>1670</v>
      </c>
      <c r="N2849" t="s">
        <v>12707</v>
      </c>
      <c r="O2849" t="s">
        <v>1936</v>
      </c>
      <c r="P2849" t="s">
        <v>1960</v>
      </c>
      <c r="Q2849" t="s">
        <v>1967</v>
      </c>
      <c r="R2849" t="s">
        <v>50</v>
      </c>
      <c r="S2849" t="s">
        <v>1671</v>
      </c>
      <c r="U2849" t="s">
        <v>1972</v>
      </c>
      <c r="W2849" t="s">
        <v>6138</v>
      </c>
      <c r="X2849">
        <v>1157.82</v>
      </c>
      <c r="Y2849" t="s">
        <v>2009</v>
      </c>
      <c r="Z2849" t="s">
        <v>2020</v>
      </c>
      <c r="AA2849" t="s">
        <v>2032</v>
      </c>
      <c r="AB2849" t="s">
        <v>15020</v>
      </c>
      <c r="AD2849" t="s">
        <v>17428</v>
      </c>
      <c r="AE2849">
        <v>25</v>
      </c>
      <c r="AF2849" t="s">
        <v>2913</v>
      </c>
      <c r="AG2849" t="s">
        <v>1754</v>
      </c>
      <c r="AH2849">
        <v>25</v>
      </c>
      <c r="AI2849">
        <v>1</v>
      </c>
      <c r="AJ2849">
        <v>0</v>
      </c>
      <c r="AK2849">
        <v>197.69</v>
      </c>
      <c r="AN2849" t="s">
        <v>2926</v>
      </c>
      <c r="AO2849">
        <v>24000</v>
      </c>
      <c r="AP2849" t="s">
        <v>18383</v>
      </c>
      <c r="AU2849">
        <v>11.9</v>
      </c>
      <c r="AV2849" t="s">
        <v>331</v>
      </c>
      <c r="AW2849" t="s">
        <v>3060</v>
      </c>
    </row>
    <row r="2850" spans="1:50">
      <c r="A2850" s="1" t="s">
        <v>54</v>
      </c>
      <c r="B2850" t="s">
        <v>164</v>
      </c>
      <c r="C2850" t="s">
        <v>6060</v>
      </c>
      <c r="D2850" t="s">
        <v>370</v>
      </c>
      <c r="E2850" t="s">
        <v>6191</v>
      </c>
      <c r="F2850" t="s">
        <v>7673</v>
      </c>
      <c r="G2850" t="s">
        <v>8892</v>
      </c>
      <c r="H2850" t="s">
        <v>10411</v>
      </c>
      <c r="I2850" t="s">
        <v>1484</v>
      </c>
      <c r="J2850" t="s">
        <v>1643</v>
      </c>
      <c r="K2850">
        <v>10035</v>
      </c>
      <c r="L2850" t="s">
        <v>1670</v>
      </c>
      <c r="M2850" t="s">
        <v>1670</v>
      </c>
      <c r="O2850" t="s">
        <v>1675</v>
      </c>
      <c r="P2850" t="s">
        <v>1960</v>
      </c>
      <c r="Q2850" t="s">
        <v>1969</v>
      </c>
      <c r="R2850" t="s">
        <v>50</v>
      </c>
      <c r="S2850" t="s">
        <v>1671</v>
      </c>
      <c r="U2850" t="s">
        <v>1972</v>
      </c>
      <c r="V2850" t="s">
        <v>1984</v>
      </c>
      <c r="W2850" t="s">
        <v>362</v>
      </c>
      <c r="X2850">
        <v>1657</v>
      </c>
      <c r="Y2850" t="s">
        <v>2008</v>
      </c>
      <c r="Z2850" t="s">
        <v>2020</v>
      </c>
      <c r="AA2850" t="s">
        <v>2031</v>
      </c>
      <c r="AB2850" t="s">
        <v>14639</v>
      </c>
      <c r="AD2850" t="s">
        <v>17045</v>
      </c>
      <c r="AE2850">
        <v>16</v>
      </c>
      <c r="AF2850" t="s">
        <v>2902</v>
      </c>
      <c r="AG2850" t="s">
        <v>1754</v>
      </c>
      <c r="AH2850">
        <v>2</v>
      </c>
      <c r="AI2850">
        <v>1</v>
      </c>
      <c r="AJ2850">
        <v>0</v>
      </c>
      <c r="AK2850">
        <v>197.69</v>
      </c>
      <c r="AN2850" t="s">
        <v>2926</v>
      </c>
      <c r="AO2850">
        <v>24000</v>
      </c>
      <c r="AS2850" t="s">
        <v>2992</v>
      </c>
      <c r="AT2850" t="s">
        <v>18611</v>
      </c>
      <c r="AU2850">
        <v>26.3</v>
      </c>
      <c r="AV2850" t="s">
        <v>6191</v>
      </c>
      <c r="AW2850" t="s">
        <v>3058</v>
      </c>
      <c r="AX2850" t="s">
        <v>18685</v>
      </c>
    </row>
    <row r="2851" spans="1:50">
      <c r="A2851" s="1" t="s">
        <v>126</v>
      </c>
      <c r="B2851" t="s">
        <v>163</v>
      </c>
      <c r="C2851" t="s">
        <v>6061</v>
      </c>
      <c r="D2851" t="s">
        <v>280</v>
      </c>
      <c r="F2851" t="s">
        <v>7696</v>
      </c>
      <c r="G2851" t="s">
        <v>7616</v>
      </c>
      <c r="H2851" t="s">
        <v>10689</v>
      </c>
      <c r="I2851" t="s">
        <v>11446</v>
      </c>
      <c r="J2851" t="s">
        <v>1641</v>
      </c>
      <c r="K2851">
        <v>10460</v>
      </c>
      <c r="L2851" t="s">
        <v>1670</v>
      </c>
      <c r="M2851" t="s">
        <v>1672</v>
      </c>
      <c r="N2851" t="s">
        <v>12708</v>
      </c>
      <c r="O2851" t="s">
        <v>1936</v>
      </c>
      <c r="P2851" t="s">
        <v>1960</v>
      </c>
      <c r="R2851" t="s">
        <v>50</v>
      </c>
      <c r="U2851" t="s">
        <v>1972</v>
      </c>
      <c r="V2851" t="s">
        <v>1984</v>
      </c>
      <c r="W2851" t="s">
        <v>216</v>
      </c>
      <c r="X2851">
        <v>1250</v>
      </c>
      <c r="Y2851" t="s">
        <v>2006</v>
      </c>
      <c r="Z2851" t="s">
        <v>2017</v>
      </c>
      <c r="AB2851" t="s">
        <v>15021</v>
      </c>
      <c r="AD2851" t="s">
        <v>17429</v>
      </c>
      <c r="AE2851">
        <v>25</v>
      </c>
      <c r="AF2851" t="s">
        <v>2902</v>
      </c>
      <c r="AG2851" t="s">
        <v>1754</v>
      </c>
      <c r="AH2851">
        <v>4</v>
      </c>
      <c r="AI2851">
        <v>1</v>
      </c>
      <c r="AJ2851">
        <v>0</v>
      </c>
      <c r="AK2851">
        <v>197.69</v>
      </c>
      <c r="AN2851" t="s">
        <v>2926</v>
      </c>
      <c r="AO2851">
        <v>24000</v>
      </c>
      <c r="AU2851">
        <v>49.2</v>
      </c>
      <c r="AV2851" t="s">
        <v>1995</v>
      </c>
      <c r="AW2851" t="s">
        <v>3066</v>
      </c>
    </row>
    <row r="2852" spans="1:50">
      <c r="A2852" s="1" t="s">
        <v>52</v>
      </c>
      <c r="B2852" t="s">
        <v>163</v>
      </c>
      <c r="C2852" t="s">
        <v>6062</v>
      </c>
      <c r="D2852" t="s">
        <v>6150</v>
      </c>
      <c r="F2852" t="s">
        <v>689</v>
      </c>
      <c r="G2852" t="s">
        <v>843</v>
      </c>
      <c r="H2852" t="s">
        <v>1416</v>
      </c>
      <c r="I2852" t="s">
        <v>11447</v>
      </c>
      <c r="J2852" t="s">
        <v>1641</v>
      </c>
      <c r="K2852">
        <v>10458</v>
      </c>
      <c r="L2852" t="s">
        <v>1670</v>
      </c>
      <c r="M2852" t="s">
        <v>1670</v>
      </c>
      <c r="N2852" t="s">
        <v>1896</v>
      </c>
      <c r="O2852" t="s">
        <v>1939</v>
      </c>
      <c r="P2852" t="s">
        <v>1960</v>
      </c>
      <c r="R2852" t="s">
        <v>50</v>
      </c>
      <c r="S2852" t="s">
        <v>1670</v>
      </c>
      <c r="U2852" t="s">
        <v>1972</v>
      </c>
      <c r="W2852" t="s">
        <v>1991</v>
      </c>
      <c r="X2852">
        <v>1129.54</v>
      </c>
      <c r="Y2852" t="s">
        <v>2006</v>
      </c>
      <c r="Z2852" t="s">
        <v>2015</v>
      </c>
      <c r="AB2852" t="s">
        <v>13727</v>
      </c>
      <c r="AD2852" t="s">
        <v>17430</v>
      </c>
      <c r="AE2852" t="s">
        <v>13051</v>
      </c>
      <c r="AF2852" t="s">
        <v>2902</v>
      </c>
      <c r="AG2852" t="s">
        <v>1754</v>
      </c>
      <c r="AH2852">
        <v>4</v>
      </c>
      <c r="AI2852">
        <v>1</v>
      </c>
      <c r="AJ2852">
        <v>0</v>
      </c>
      <c r="AK2852">
        <v>197.69</v>
      </c>
      <c r="AN2852" t="s">
        <v>2926</v>
      </c>
      <c r="AO2852">
        <v>24000</v>
      </c>
      <c r="AU2852">
        <v>0.5</v>
      </c>
      <c r="AV2852" t="s">
        <v>406</v>
      </c>
      <c r="AW2852" t="s">
        <v>3047</v>
      </c>
      <c r="AX2852" t="s">
        <v>18685</v>
      </c>
    </row>
    <row r="2853" spans="1:50">
      <c r="A2853" s="1" t="s">
        <v>133</v>
      </c>
      <c r="B2853" t="s">
        <v>163</v>
      </c>
      <c r="C2853" t="s">
        <v>6063</v>
      </c>
      <c r="D2853" t="s">
        <v>328</v>
      </c>
      <c r="F2853" t="s">
        <v>492</v>
      </c>
      <c r="G2853" t="s">
        <v>7902</v>
      </c>
      <c r="H2853" t="s">
        <v>9401</v>
      </c>
      <c r="I2853">
        <v>24</v>
      </c>
      <c r="J2853" t="s">
        <v>1644</v>
      </c>
      <c r="K2853">
        <v>11213</v>
      </c>
      <c r="L2853" t="s">
        <v>1670</v>
      </c>
      <c r="M2853" t="s">
        <v>1672</v>
      </c>
      <c r="N2853" t="s">
        <v>1754</v>
      </c>
      <c r="O2853" t="s">
        <v>1675</v>
      </c>
      <c r="P2853" t="s">
        <v>1959</v>
      </c>
      <c r="R2853" t="s">
        <v>50</v>
      </c>
      <c r="S2853" t="s">
        <v>1670</v>
      </c>
      <c r="U2853" t="s">
        <v>1972</v>
      </c>
      <c r="V2853" t="s">
        <v>1984</v>
      </c>
      <c r="W2853" t="s">
        <v>213</v>
      </c>
      <c r="X2853">
        <v>917</v>
      </c>
      <c r="Y2853" t="s">
        <v>2009</v>
      </c>
      <c r="Z2853" t="s">
        <v>2015</v>
      </c>
      <c r="AB2853" t="s">
        <v>13110</v>
      </c>
      <c r="AD2853" t="s">
        <v>15732</v>
      </c>
      <c r="AE2853">
        <v>31</v>
      </c>
      <c r="AF2853" t="s">
        <v>2902</v>
      </c>
      <c r="AG2853" t="s">
        <v>1754</v>
      </c>
      <c r="AH2853">
        <v>18</v>
      </c>
      <c r="AI2853">
        <v>3</v>
      </c>
      <c r="AJ2853">
        <v>0</v>
      </c>
      <c r="AK2853">
        <v>197.84</v>
      </c>
      <c r="AN2853" t="s">
        <v>2926</v>
      </c>
      <c r="AO2853">
        <v>42200</v>
      </c>
      <c r="AP2853" t="s">
        <v>18384</v>
      </c>
      <c r="AU2853">
        <v>0.3</v>
      </c>
      <c r="AV2853" t="s">
        <v>272</v>
      </c>
      <c r="AW2853" t="s">
        <v>3060</v>
      </c>
      <c r="AX2853" t="s">
        <v>18685</v>
      </c>
    </row>
    <row r="2854" spans="1:50">
      <c r="A2854" s="1" t="s">
        <v>118</v>
      </c>
      <c r="B2854" t="s">
        <v>163</v>
      </c>
      <c r="C2854" t="s">
        <v>6064</v>
      </c>
      <c r="D2854" t="s">
        <v>256</v>
      </c>
      <c r="F2854" t="s">
        <v>7842</v>
      </c>
      <c r="G2854" t="s">
        <v>9122</v>
      </c>
      <c r="H2854" t="s">
        <v>10690</v>
      </c>
      <c r="I2854">
        <v>2</v>
      </c>
      <c r="J2854" t="s">
        <v>1641</v>
      </c>
      <c r="K2854">
        <v>10459</v>
      </c>
      <c r="L2854" t="s">
        <v>1670</v>
      </c>
      <c r="M2854" t="s">
        <v>1670</v>
      </c>
      <c r="N2854" t="s">
        <v>12709</v>
      </c>
      <c r="O2854" t="s">
        <v>1940</v>
      </c>
      <c r="P2854" t="s">
        <v>1958</v>
      </c>
      <c r="R2854" t="s">
        <v>50</v>
      </c>
      <c r="S2854" t="s">
        <v>1671</v>
      </c>
      <c r="U2854" t="s">
        <v>1972</v>
      </c>
      <c r="W2854" t="s">
        <v>256</v>
      </c>
      <c r="X2854">
        <v>750</v>
      </c>
      <c r="Y2854" t="s">
        <v>2006</v>
      </c>
      <c r="AB2854" t="s">
        <v>15022</v>
      </c>
      <c r="AD2854" t="s">
        <v>17431</v>
      </c>
      <c r="AE2854" t="s">
        <v>13051</v>
      </c>
      <c r="AH2854" t="s">
        <v>13051</v>
      </c>
      <c r="AI2854">
        <v>2</v>
      </c>
      <c r="AJ2854">
        <v>0</v>
      </c>
      <c r="AK2854">
        <v>197.85</v>
      </c>
      <c r="AN2854" t="s">
        <v>2926</v>
      </c>
      <c r="AO2854">
        <v>33456</v>
      </c>
      <c r="AP2854" t="s">
        <v>18385</v>
      </c>
      <c r="AU2854" t="s">
        <v>13051</v>
      </c>
      <c r="AW2854" t="s">
        <v>3053</v>
      </c>
      <c r="AX2854" t="s">
        <v>18685</v>
      </c>
    </row>
    <row r="2855" spans="1:50">
      <c r="A2855" s="1" t="s">
        <v>103</v>
      </c>
      <c r="B2855" t="s">
        <v>163</v>
      </c>
      <c r="C2855" t="s">
        <v>6065</v>
      </c>
      <c r="D2855" t="s">
        <v>218</v>
      </c>
      <c r="F2855" t="s">
        <v>7843</v>
      </c>
      <c r="G2855" t="s">
        <v>9123</v>
      </c>
      <c r="H2855" t="s">
        <v>10691</v>
      </c>
      <c r="I2855">
        <v>1</v>
      </c>
      <c r="J2855" t="s">
        <v>1644</v>
      </c>
      <c r="K2855">
        <v>11203</v>
      </c>
      <c r="L2855" t="s">
        <v>1670</v>
      </c>
      <c r="M2855" t="s">
        <v>1670</v>
      </c>
      <c r="N2855" t="s">
        <v>12710</v>
      </c>
      <c r="O2855" t="s">
        <v>1936</v>
      </c>
      <c r="P2855" t="s">
        <v>1960</v>
      </c>
      <c r="R2855" t="s">
        <v>50</v>
      </c>
      <c r="U2855" t="s">
        <v>1972</v>
      </c>
      <c r="W2855" t="s">
        <v>320</v>
      </c>
      <c r="X2855">
        <v>1829</v>
      </c>
      <c r="Y2855" t="s">
        <v>2009</v>
      </c>
      <c r="Z2855" t="s">
        <v>2014</v>
      </c>
      <c r="AB2855" t="s">
        <v>15023</v>
      </c>
      <c r="AD2855" t="s">
        <v>17432</v>
      </c>
      <c r="AE2855" t="s">
        <v>13051</v>
      </c>
      <c r="AG2855" t="s">
        <v>2915</v>
      </c>
      <c r="AH2855">
        <v>9</v>
      </c>
      <c r="AI2855">
        <v>3</v>
      </c>
      <c r="AJ2855">
        <v>0</v>
      </c>
      <c r="AK2855">
        <v>198.05</v>
      </c>
      <c r="AN2855" t="s">
        <v>2926</v>
      </c>
      <c r="AO2855">
        <v>41154.28</v>
      </c>
      <c r="AU2855">
        <v>10.75</v>
      </c>
      <c r="AV2855" t="s">
        <v>359</v>
      </c>
      <c r="AW2855" t="s">
        <v>3074</v>
      </c>
    </row>
    <row r="2856" spans="1:50">
      <c r="A2856" s="1" t="s">
        <v>122</v>
      </c>
      <c r="B2856" t="s">
        <v>164</v>
      </c>
      <c r="C2856" t="s">
        <v>6066</v>
      </c>
      <c r="D2856" t="s">
        <v>225</v>
      </c>
      <c r="E2856" t="s">
        <v>330</v>
      </c>
      <c r="F2856" t="s">
        <v>7844</v>
      </c>
      <c r="G2856" t="s">
        <v>8070</v>
      </c>
      <c r="H2856" t="s">
        <v>10692</v>
      </c>
      <c r="I2856" t="s">
        <v>11260</v>
      </c>
      <c r="J2856" t="s">
        <v>1641</v>
      </c>
      <c r="K2856">
        <v>10453</v>
      </c>
      <c r="L2856" t="s">
        <v>1670</v>
      </c>
      <c r="M2856" t="s">
        <v>1670</v>
      </c>
      <c r="N2856" t="s">
        <v>12711</v>
      </c>
      <c r="O2856" t="s">
        <v>1936</v>
      </c>
      <c r="P2856" t="s">
        <v>1958</v>
      </c>
      <c r="Q2856" t="s">
        <v>1965</v>
      </c>
      <c r="R2856" t="s">
        <v>50</v>
      </c>
      <c r="S2856" t="s">
        <v>1671</v>
      </c>
      <c r="U2856" t="s">
        <v>1972</v>
      </c>
      <c r="W2856" t="s">
        <v>330</v>
      </c>
      <c r="X2856">
        <v>835</v>
      </c>
      <c r="Y2856" t="s">
        <v>2006</v>
      </c>
      <c r="Z2856" t="s">
        <v>2015</v>
      </c>
      <c r="AA2856" t="s">
        <v>2029</v>
      </c>
      <c r="AB2856" t="s">
        <v>15024</v>
      </c>
      <c r="AD2856" t="s">
        <v>17433</v>
      </c>
      <c r="AE2856">
        <v>30</v>
      </c>
      <c r="AH2856">
        <v>3</v>
      </c>
      <c r="AI2856">
        <v>1</v>
      </c>
      <c r="AJ2856">
        <v>0</v>
      </c>
      <c r="AK2856">
        <v>198.32</v>
      </c>
      <c r="AN2856" t="s">
        <v>2926</v>
      </c>
      <c r="AO2856">
        <v>24076</v>
      </c>
      <c r="AU2856">
        <v>1.1</v>
      </c>
      <c r="AV2856" t="s">
        <v>330</v>
      </c>
      <c r="AW2856" t="s">
        <v>18654</v>
      </c>
    </row>
    <row r="2857" spans="1:50">
      <c r="A2857" s="1" t="s">
        <v>100</v>
      </c>
      <c r="B2857" t="s">
        <v>163</v>
      </c>
      <c r="C2857" t="s">
        <v>6067</v>
      </c>
      <c r="D2857" t="s">
        <v>213</v>
      </c>
      <c r="F2857" t="s">
        <v>7614</v>
      </c>
      <c r="G2857" t="s">
        <v>855</v>
      </c>
      <c r="H2857" t="s">
        <v>10693</v>
      </c>
      <c r="I2857" t="s">
        <v>11448</v>
      </c>
      <c r="J2857" t="s">
        <v>1643</v>
      </c>
      <c r="K2857">
        <v>10034</v>
      </c>
      <c r="L2857" t="s">
        <v>1670</v>
      </c>
      <c r="M2857" t="s">
        <v>1672</v>
      </c>
      <c r="O2857" t="s">
        <v>1675</v>
      </c>
      <c r="P2857" t="s">
        <v>1958</v>
      </c>
      <c r="R2857" t="s">
        <v>50</v>
      </c>
      <c r="S2857" t="s">
        <v>1671</v>
      </c>
      <c r="U2857" t="s">
        <v>1972</v>
      </c>
      <c r="W2857" t="s">
        <v>230</v>
      </c>
      <c r="X2857">
        <v>908.41</v>
      </c>
      <c r="Y2857" t="s">
        <v>2008</v>
      </c>
      <c r="Z2857" t="s">
        <v>2025</v>
      </c>
      <c r="AB2857" t="s">
        <v>15025</v>
      </c>
      <c r="AD2857" t="s">
        <v>17434</v>
      </c>
      <c r="AE2857">
        <v>80</v>
      </c>
      <c r="AF2857" t="s">
        <v>2902</v>
      </c>
      <c r="AG2857" t="s">
        <v>1754</v>
      </c>
      <c r="AH2857">
        <v>22</v>
      </c>
      <c r="AI2857">
        <v>1</v>
      </c>
      <c r="AJ2857">
        <v>0</v>
      </c>
      <c r="AK2857">
        <v>199.01</v>
      </c>
      <c r="AN2857" t="s">
        <v>2927</v>
      </c>
      <c r="AO2857">
        <v>24856</v>
      </c>
      <c r="AU2857">
        <v>0.6</v>
      </c>
      <c r="AV2857" t="s">
        <v>193</v>
      </c>
      <c r="AW2857" t="s">
        <v>3043</v>
      </c>
      <c r="AX2857" t="s">
        <v>18685</v>
      </c>
    </row>
    <row r="2858" spans="1:50">
      <c r="A2858" s="1" t="s">
        <v>100</v>
      </c>
      <c r="B2858" t="s">
        <v>164</v>
      </c>
      <c r="C2858" t="s">
        <v>6068</v>
      </c>
      <c r="D2858" t="s">
        <v>3029</v>
      </c>
      <c r="E2858" t="s">
        <v>354</v>
      </c>
      <c r="F2858" t="s">
        <v>6893</v>
      </c>
      <c r="G2858" t="s">
        <v>8518</v>
      </c>
      <c r="H2858" t="s">
        <v>10694</v>
      </c>
      <c r="I2858">
        <v>45</v>
      </c>
      <c r="J2858" t="s">
        <v>1643</v>
      </c>
      <c r="K2858">
        <v>10034</v>
      </c>
      <c r="L2858" t="s">
        <v>1670</v>
      </c>
      <c r="M2858" t="s">
        <v>1670</v>
      </c>
      <c r="P2858" t="s">
        <v>1958</v>
      </c>
      <c r="Q2858" t="s">
        <v>1965</v>
      </c>
      <c r="R2858" t="s">
        <v>50</v>
      </c>
      <c r="S2858" t="s">
        <v>1671</v>
      </c>
      <c r="U2858" t="s">
        <v>1972</v>
      </c>
      <c r="W2858" t="s">
        <v>3029</v>
      </c>
      <c r="X2858" t="s">
        <v>13051</v>
      </c>
      <c r="Y2858" t="s">
        <v>2008</v>
      </c>
      <c r="Z2858" t="s">
        <v>2013</v>
      </c>
      <c r="AA2858" t="s">
        <v>2030</v>
      </c>
      <c r="AE2858" t="s">
        <v>13051</v>
      </c>
      <c r="AF2858" t="s">
        <v>2902</v>
      </c>
      <c r="AG2858" t="s">
        <v>1754</v>
      </c>
      <c r="AH2858" t="s">
        <v>13051</v>
      </c>
      <c r="AI2858">
        <v>4</v>
      </c>
      <c r="AJ2858">
        <v>0</v>
      </c>
      <c r="AK2858">
        <v>199.2</v>
      </c>
      <c r="AN2858" t="s">
        <v>2927</v>
      </c>
      <c r="AO2858">
        <v>50000</v>
      </c>
      <c r="AU2858">
        <v>1.4</v>
      </c>
      <c r="AV2858" t="s">
        <v>354</v>
      </c>
      <c r="AW2858" t="s">
        <v>3042</v>
      </c>
    </row>
    <row r="2859" spans="1:50">
      <c r="A2859" s="1" t="s">
        <v>3210</v>
      </c>
      <c r="B2859" t="s">
        <v>163</v>
      </c>
      <c r="C2859" t="s">
        <v>6069</v>
      </c>
      <c r="D2859" t="s">
        <v>305</v>
      </c>
      <c r="F2859" t="s">
        <v>7245</v>
      </c>
      <c r="G2859" t="s">
        <v>943</v>
      </c>
      <c r="H2859" t="s">
        <v>10695</v>
      </c>
      <c r="I2859" t="s">
        <v>1543</v>
      </c>
      <c r="J2859" t="s">
        <v>1644</v>
      </c>
      <c r="K2859">
        <v>11215</v>
      </c>
      <c r="L2859" t="s">
        <v>1670</v>
      </c>
      <c r="M2859" t="s">
        <v>1670</v>
      </c>
      <c r="N2859" t="s">
        <v>12712</v>
      </c>
      <c r="O2859" t="s">
        <v>1950</v>
      </c>
      <c r="P2859" t="s">
        <v>1961</v>
      </c>
      <c r="R2859" t="s">
        <v>50</v>
      </c>
      <c r="U2859" t="s">
        <v>1974</v>
      </c>
      <c r="W2859" t="s">
        <v>214</v>
      </c>
      <c r="X2859">
        <v>1750</v>
      </c>
      <c r="Y2859" t="s">
        <v>2009</v>
      </c>
      <c r="Z2859" t="s">
        <v>2018</v>
      </c>
      <c r="AB2859" t="s">
        <v>15026</v>
      </c>
      <c r="AD2859" t="s">
        <v>17435</v>
      </c>
      <c r="AE2859">
        <v>6</v>
      </c>
      <c r="AH2859">
        <v>2</v>
      </c>
      <c r="AI2859">
        <v>2</v>
      </c>
      <c r="AJ2859">
        <v>0</v>
      </c>
      <c r="AK2859">
        <v>199.27</v>
      </c>
      <c r="AN2859" t="s">
        <v>2926</v>
      </c>
      <c r="AO2859">
        <v>32800</v>
      </c>
      <c r="AU2859">
        <v>8.9</v>
      </c>
      <c r="AV2859" t="s">
        <v>277</v>
      </c>
      <c r="AW2859" t="s">
        <v>3063</v>
      </c>
    </row>
    <row r="2860" spans="1:50">
      <c r="A2860" s="1" t="s">
        <v>3158</v>
      </c>
      <c r="B2860" t="s">
        <v>164</v>
      </c>
      <c r="C2860" t="s">
        <v>6070</v>
      </c>
      <c r="D2860" t="s">
        <v>314</v>
      </c>
      <c r="E2860" t="s">
        <v>228</v>
      </c>
      <c r="F2860" t="s">
        <v>7078</v>
      </c>
      <c r="G2860" t="s">
        <v>9124</v>
      </c>
      <c r="H2860" t="s">
        <v>10696</v>
      </c>
      <c r="I2860" t="s">
        <v>11190</v>
      </c>
      <c r="J2860" t="s">
        <v>1643</v>
      </c>
      <c r="K2860">
        <v>10040</v>
      </c>
      <c r="L2860" t="s">
        <v>1670</v>
      </c>
      <c r="M2860" t="s">
        <v>1670</v>
      </c>
      <c r="N2860" t="s">
        <v>12713</v>
      </c>
      <c r="O2860" t="s">
        <v>1940</v>
      </c>
      <c r="P2860" t="s">
        <v>1958</v>
      </c>
      <c r="Q2860" t="s">
        <v>1965</v>
      </c>
      <c r="R2860" t="s">
        <v>50</v>
      </c>
      <c r="S2860" t="s">
        <v>1671</v>
      </c>
      <c r="U2860" t="s">
        <v>1972</v>
      </c>
      <c r="W2860" t="s">
        <v>314</v>
      </c>
      <c r="X2860">
        <v>1238.12</v>
      </c>
      <c r="Y2860" t="s">
        <v>2008</v>
      </c>
      <c r="Z2860" t="s">
        <v>2013</v>
      </c>
      <c r="AA2860" t="s">
        <v>2029</v>
      </c>
      <c r="AB2860" t="s">
        <v>15027</v>
      </c>
      <c r="AD2860" t="s">
        <v>17436</v>
      </c>
      <c r="AE2860">
        <v>25</v>
      </c>
      <c r="AF2860" t="s">
        <v>2902</v>
      </c>
      <c r="AG2860" t="s">
        <v>1754</v>
      </c>
      <c r="AH2860">
        <v>4</v>
      </c>
      <c r="AI2860">
        <v>2</v>
      </c>
      <c r="AJ2860">
        <v>0</v>
      </c>
      <c r="AK2860">
        <v>199.37</v>
      </c>
      <c r="AN2860" t="s">
        <v>2927</v>
      </c>
      <c r="AO2860">
        <v>32816</v>
      </c>
      <c r="AU2860">
        <v>1.2</v>
      </c>
      <c r="AV2860" t="s">
        <v>228</v>
      </c>
      <c r="AW2860" t="s">
        <v>3042</v>
      </c>
    </row>
    <row r="2861" spans="1:50">
      <c r="A2861" s="1" t="s">
        <v>53</v>
      </c>
      <c r="B2861" t="s">
        <v>164</v>
      </c>
      <c r="C2861" t="s">
        <v>6071</v>
      </c>
      <c r="D2861" t="s">
        <v>293</v>
      </c>
      <c r="E2861" t="s">
        <v>409</v>
      </c>
      <c r="F2861" t="s">
        <v>7306</v>
      </c>
      <c r="G2861" t="s">
        <v>9125</v>
      </c>
      <c r="H2861" t="s">
        <v>10697</v>
      </c>
      <c r="I2861" t="s">
        <v>11066</v>
      </c>
      <c r="J2861" t="s">
        <v>1660</v>
      </c>
      <c r="K2861">
        <v>11377</v>
      </c>
      <c r="L2861" t="s">
        <v>1670</v>
      </c>
      <c r="M2861" t="s">
        <v>1670</v>
      </c>
      <c r="N2861" t="s">
        <v>1687</v>
      </c>
      <c r="O2861" t="s">
        <v>1675</v>
      </c>
      <c r="P2861" t="s">
        <v>1958</v>
      </c>
      <c r="Q2861" t="s">
        <v>1965</v>
      </c>
      <c r="R2861" t="s">
        <v>51</v>
      </c>
      <c r="S2861" t="s">
        <v>1671</v>
      </c>
      <c r="U2861" t="s">
        <v>1972</v>
      </c>
      <c r="V2861" t="s">
        <v>1984</v>
      </c>
      <c r="W2861" t="s">
        <v>293</v>
      </c>
      <c r="X2861">
        <v>1160</v>
      </c>
      <c r="Y2861" t="s">
        <v>2007</v>
      </c>
      <c r="Z2861" t="s">
        <v>2012</v>
      </c>
      <c r="AA2861" t="s">
        <v>2029</v>
      </c>
      <c r="AB2861" t="s">
        <v>15028</v>
      </c>
      <c r="AD2861" t="s">
        <v>17437</v>
      </c>
      <c r="AE2861">
        <v>40</v>
      </c>
      <c r="AF2861" t="s">
        <v>2902</v>
      </c>
      <c r="AG2861" t="s">
        <v>1754</v>
      </c>
      <c r="AH2861">
        <v>7</v>
      </c>
      <c r="AI2861">
        <v>2</v>
      </c>
      <c r="AJ2861">
        <v>0</v>
      </c>
      <c r="AK2861">
        <v>199.88</v>
      </c>
      <c r="AL2861" t="s">
        <v>2923</v>
      </c>
      <c r="AM2861" t="s">
        <v>2924</v>
      </c>
      <c r="AN2861" t="s">
        <v>2926</v>
      </c>
      <c r="AO2861">
        <v>33800</v>
      </c>
      <c r="AU2861">
        <v>1.1</v>
      </c>
      <c r="AV2861" t="s">
        <v>1999</v>
      </c>
      <c r="AW2861" t="s">
        <v>53</v>
      </c>
    </row>
    <row r="2862" spans="1:50">
      <c r="A2862" s="1" t="s">
        <v>103</v>
      </c>
      <c r="B2862" t="s">
        <v>163</v>
      </c>
      <c r="C2862" t="s">
        <v>6072</v>
      </c>
      <c r="D2862" t="s">
        <v>190</v>
      </c>
      <c r="F2862" t="s">
        <v>7443</v>
      </c>
      <c r="G2862" t="s">
        <v>9126</v>
      </c>
      <c r="H2862" t="s">
        <v>10698</v>
      </c>
      <c r="I2862" t="s">
        <v>10963</v>
      </c>
      <c r="J2862" t="s">
        <v>1644</v>
      </c>
      <c r="K2862">
        <v>11212</v>
      </c>
      <c r="L2862" t="s">
        <v>1670</v>
      </c>
      <c r="M2862" t="s">
        <v>1670</v>
      </c>
      <c r="N2862" t="s">
        <v>12714</v>
      </c>
      <c r="O2862" t="s">
        <v>1936</v>
      </c>
      <c r="P2862" t="s">
        <v>1958</v>
      </c>
      <c r="R2862" t="s">
        <v>50</v>
      </c>
      <c r="S2862" t="s">
        <v>1671</v>
      </c>
      <c r="U2862" t="s">
        <v>1972</v>
      </c>
      <c r="W2862" t="s">
        <v>190</v>
      </c>
      <c r="X2862">
        <v>1049.49</v>
      </c>
      <c r="Y2862" t="s">
        <v>2009</v>
      </c>
      <c r="Z2862" t="s">
        <v>2020</v>
      </c>
      <c r="AB2862" t="s">
        <v>15029</v>
      </c>
      <c r="AD2862" t="s">
        <v>17438</v>
      </c>
      <c r="AE2862">
        <v>54</v>
      </c>
      <c r="AF2862" t="s">
        <v>2902</v>
      </c>
      <c r="AG2862" t="s">
        <v>1754</v>
      </c>
      <c r="AH2862">
        <v>15</v>
      </c>
      <c r="AI2862">
        <v>1</v>
      </c>
      <c r="AJ2862">
        <v>0</v>
      </c>
      <c r="AK2862">
        <v>200.16</v>
      </c>
      <c r="AN2862" t="s">
        <v>2926</v>
      </c>
      <c r="AO2862">
        <v>25000</v>
      </c>
      <c r="AU2862">
        <v>1.25</v>
      </c>
      <c r="AV2862" t="s">
        <v>189</v>
      </c>
      <c r="AW2862" t="s">
        <v>3059</v>
      </c>
    </row>
    <row r="2863" spans="1:50">
      <c r="A2863" s="1" t="s">
        <v>154</v>
      </c>
      <c r="B2863" t="s">
        <v>163</v>
      </c>
      <c r="C2863" t="s">
        <v>6073</v>
      </c>
      <c r="D2863" t="s">
        <v>361</v>
      </c>
      <c r="F2863" t="s">
        <v>7845</v>
      </c>
      <c r="G2863" t="s">
        <v>9127</v>
      </c>
      <c r="H2863" t="s">
        <v>10380</v>
      </c>
      <c r="I2863" t="s">
        <v>1489</v>
      </c>
      <c r="J2863" t="s">
        <v>1643</v>
      </c>
      <c r="K2863">
        <v>10029</v>
      </c>
      <c r="L2863" t="s">
        <v>1670</v>
      </c>
      <c r="M2863" t="s">
        <v>1672</v>
      </c>
      <c r="N2863" t="s">
        <v>12715</v>
      </c>
      <c r="O2863" t="s">
        <v>1940</v>
      </c>
      <c r="P2863" t="s">
        <v>1963</v>
      </c>
      <c r="R2863" t="s">
        <v>50</v>
      </c>
      <c r="S2863" t="s">
        <v>1671</v>
      </c>
      <c r="U2863" t="s">
        <v>1973</v>
      </c>
      <c r="W2863" t="s">
        <v>361</v>
      </c>
      <c r="X2863">
        <v>1124</v>
      </c>
      <c r="Y2863" t="s">
        <v>2008</v>
      </c>
      <c r="AB2863" t="s">
        <v>15030</v>
      </c>
      <c r="AD2863" t="s">
        <v>17439</v>
      </c>
      <c r="AE2863" t="s">
        <v>13051</v>
      </c>
      <c r="AF2863" t="s">
        <v>2909</v>
      </c>
      <c r="AG2863" t="s">
        <v>2915</v>
      </c>
      <c r="AH2863">
        <v>2</v>
      </c>
      <c r="AI2863">
        <v>1</v>
      </c>
      <c r="AJ2863">
        <v>0</v>
      </c>
      <c r="AK2863">
        <v>200.16</v>
      </c>
      <c r="AN2863" t="s">
        <v>2926</v>
      </c>
      <c r="AO2863">
        <v>25000</v>
      </c>
      <c r="AU2863">
        <v>1.7</v>
      </c>
      <c r="AV2863" t="s">
        <v>1994</v>
      </c>
      <c r="AW2863" t="s">
        <v>3048</v>
      </c>
      <c r="AX2863" t="s">
        <v>18685</v>
      </c>
    </row>
    <row r="2864" spans="1:50">
      <c r="A2864" s="1" t="s">
        <v>62</v>
      </c>
      <c r="B2864" t="s">
        <v>163</v>
      </c>
      <c r="C2864" t="s">
        <v>6074</v>
      </c>
      <c r="D2864" t="s">
        <v>191</v>
      </c>
      <c r="F2864" t="s">
        <v>7390</v>
      </c>
      <c r="G2864" t="s">
        <v>8017</v>
      </c>
      <c r="H2864" t="s">
        <v>9933</v>
      </c>
      <c r="I2864" t="s">
        <v>11097</v>
      </c>
      <c r="J2864" t="s">
        <v>1644</v>
      </c>
      <c r="K2864">
        <v>11226</v>
      </c>
      <c r="L2864" t="s">
        <v>1670</v>
      </c>
      <c r="M2864" t="s">
        <v>1672</v>
      </c>
      <c r="P2864" t="s">
        <v>1959</v>
      </c>
      <c r="R2864" t="s">
        <v>50</v>
      </c>
      <c r="U2864" t="s">
        <v>1972</v>
      </c>
      <c r="W2864" t="s">
        <v>191</v>
      </c>
      <c r="X2864" t="s">
        <v>13051</v>
      </c>
      <c r="Y2864" t="s">
        <v>2009</v>
      </c>
      <c r="AB2864" t="s">
        <v>14012</v>
      </c>
      <c r="AD2864" t="s">
        <v>16448</v>
      </c>
      <c r="AE2864" t="s">
        <v>13051</v>
      </c>
      <c r="AH2864" t="s">
        <v>13051</v>
      </c>
      <c r="AI2864">
        <v>1</v>
      </c>
      <c r="AJ2864">
        <v>0</v>
      </c>
      <c r="AK2864">
        <v>200.16</v>
      </c>
      <c r="AN2864" t="s">
        <v>2926</v>
      </c>
      <c r="AO2864">
        <v>25000</v>
      </c>
      <c r="AU2864">
        <v>41.5</v>
      </c>
      <c r="AV2864" t="s">
        <v>3030</v>
      </c>
      <c r="AW2864" t="s">
        <v>158</v>
      </c>
      <c r="AX2864" t="s">
        <v>18685</v>
      </c>
    </row>
    <row r="2865" spans="1:50">
      <c r="A2865" s="1" t="s">
        <v>66</v>
      </c>
      <c r="B2865" t="s">
        <v>164</v>
      </c>
      <c r="C2865" t="s">
        <v>6075</v>
      </c>
      <c r="D2865" t="s">
        <v>293</v>
      </c>
      <c r="E2865" t="s">
        <v>1994</v>
      </c>
      <c r="F2865" t="s">
        <v>7846</v>
      </c>
      <c r="G2865" t="s">
        <v>9128</v>
      </c>
      <c r="H2865" t="s">
        <v>10699</v>
      </c>
      <c r="I2865" t="s">
        <v>1511</v>
      </c>
      <c r="J2865" t="s">
        <v>1644</v>
      </c>
      <c r="K2865">
        <v>11208</v>
      </c>
      <c r="L2865" t="s">
        <v>1670</v>
      </c>
      <c r="M2865" t="s">
        <v>1671</v>
      </c>
      <c r="N2865" t="s">
        <v>12716</v>
      </c>
      <c r="O2865" t="s">
        <v>1936</v>
      </c>
      <c r="P2865" t="s">
        <v>1960</v>
      </c>
      <c r="Q2865" t="s">
        <v>1969</v>
      </c>
      <c r="R2865" t="s">
        <v>50</v>
      </c>
      <c r="S2865" t="s">
        <v>1671</v>
      </c>
      <c r="U2865" t="s">
        <v>1972</v>
      </c>
      <c r="V2865" t="s">
        <v>1984</v>
      </c>
      <c r="W2865" t="s">
        <v>409</v>
      </c>
      <c r="X2865">
        <v>867</v>
      </c>
      <c r="Y2865" t="s">
        <v>2009</v>
      </c>
      <c r="Z2865" t="s">
        <v>2017</v>
      </c>
      <c r="AA2865" t="s">
        <v>2029</v>
      </c>
      <c r="AB2865" t="s">
        <v>15031</v>
      </c>
      <c r="AD2865" t="s">
        <v>17440</v>
      </c>
      <c r="AE2865" t="s">
        <v>13051</v>
      </c>
      <c r="AF2865" t="s">
        <v>2902</v>
      </c>
      <c r="AG2865" t="s">
        <v>1754</v>
      </c>
      <c r="AH2865">
        <v>23</v>
      </c>
      <c r="AI2865">
        <v>1</v>
      </c>
      <c r="AJ2865">
        <v>0</v>
      </c>
      <c r="AK2865">
        <v>200.16</v>
      </c>
      <c r="AN2865" t="s">
        <v>2926</v>
      </c>
      <c r="AO2865">
        <v>25000</v>
      </c>
      <c r="AU2865">
        <v>4.9</v>
      </c>
      <c r="AV2865" t="s">
        <v>3039</v>
      </c>
      <c r="AW2865" t="s">
        <v>3059</v>
      </c>
      <c r="AX2865" t="s">
        <v>18685</v>
      </c>
    </row>
    <row r="2866" spans="1:50">
      <c r="A2866" s="1" t="s">
        <v>65</v>
      </c>
      <c r="B2866" t="s">
        <v>163</v>
      </c>
      <c r="C2866" t="s">
        <v>6076</v>
      </c>
      <c r="D2866" t="s">
        <v>195</v>
      </c>
      <c r="F2866" t="s">
        <v>7847</v>
      </c>
      <c r="G2866" t="s">
        <v>936</v>
      </c>
      <c r="H2866" t="s">
        <v>9391</v>
      </c>
      <c r="I2866" t="s">
        <v>1506</v>
      </c>
      <c r="J2866" t="s">
        <v>1644</v>
      </c>
      <c r="K2866">
        <v>11225</v>
      </c>
      <c r="L2866" t="s">
        <v>1670</v>
      </c>
      <c r="M2866" t="s">
        <v>1670</v>
      </c>
      <c r="O2866" t="s">
        <v>1952</v>
      </c>
      <c r="P2866" t="s">
        <v>1960</v>
      </c>
      <c r="R2866" t="s">
        <v>50</v>
      </c>
      <c r="S2866" t="s">
        <v>1670</v>
      </c>
      <c r="U2866" t="s">
        <v>1972</v>
      </c>
      <c r="W2866" t="s">
        <v>274</v>
      </c>
      <c r="X2866">
        <v>1928.63</v>
      </c>
      <c r="Y2866" t="s">
        <v>2009</v>
      </c>
      <c r="AB2866" t="s">
        <v>15032</v>
      </c>
      <c r="AE2866" t="s">
        <v>13051</v>
      </c>
      <c r="AH2866">
        <v>8</v>
      </c>
      <c r="AI2866">
        <v>1</v>
      </c>
      <c r="AJ2866">
        <v>0</v>
      </c>
      <c r="AK2866">
        <v>200.16</v>
      </c>
      <c r="AN2866" t="s">
        <v>2926</v>
      </c>
      <c r="AO2866">
        <v>25000</v>
      </c>
      <c r="AU2866" t="s">
        <v>13051</v>
      </c>
      <c r="AW2866" t="s">
        <v>158</v>
      </c>
      <c r="AX2866" t="s">
        <v>18685</v>
      </c>
    </row>
    <row r="2867" spans="1:50">
      <c r="A2867" s="1" t="s">
        <v>65</v>
      </c>
      <c r="B2867" t="s">
        <v>163</v>
      </c>
      <c r="C2867" t="s">
        <v>6077</v>
      </c>
      <c r="D2867" t="s">
        <v>195</v>
      </c>
      <c r="F2867" t="s">
        <v>7847</v>
      </c>
      <c r="G2867" t="s">
        <v>936</v>
      </c>
      <c r="H2867" t="s">
        <v>9391</v>
      </c>
      <c r="I2867" t="s">
        <v>1506</v>
      </c>
      <c r="J2867" t="s">
        <v>1644</v>
      </c>
      <c r="K2867">
        <v>11225</v>
      </c>
      <c r="L2867" t="s">
        <v>1670</v>
      </c>
      <c r="M2867" t="s">
        <v>1670</v>
      </c>
      <c r="O2867" t="s">
        <v>1952</v>
      </c>
      <c r="P2867" t="s">
        <v>1960</v>
      </c>
      <c r="R2867" t="s">
        <v>50</v>
      </c>
      <c r="S2867" t="s">
        <v>1670</v>
      </c>
      <c r="U2867" t="s">
        <v>1972</v>
      </c>
      <c r="W2867" t="s">
        <v>274</v>
      </c>
      <c r="X2867">
        <v>1928.63</v>
      </c>
      <c r="Y2867" t="s">
        <v>2009</v>
      </c>
      <c r="AB2867" t="s">
        <v>15032</v>
      </c>
      <c r="AE2867" t="s">
        <v>13051</v>
      </c>
      <c r="AH2867">
        <v>8</v>
      </c>
      <c r="AI2867">
        <v>1</v>
      </c>
      <c r="AJ2867">
        <v>0</v>
      </c>
      <c r="AK2867">
        <v>200.16</v>
      </c>
      <c r="AN2867" t="s">
        <v>2926</v>
      </c>
      <c r="AO2867">
        <v>25000</v>
      </c>
      <c r="AU2867" t="s">
        <v>13051</v>
      </c>
      <c r="AW2867" t="s">
        <v>158</v>
      </c>
      <c r="AX2867" t="s">
        <v>18685</v>
      </c>
    </row>
    <row r="2868" spans="1:50">
      <c r="A2868" s="1" t="s">
        <v>65</v>
      </c>
      <c r="B2868" t="s">
        <v>163</v>
      </c>
      <c r="C2868" t="s">
        <v>6078</v>
      </c>
      <c r="D2868" t="s">
        <v>240</v>
      </c>
      <c r="F2868" t="s">
        <v>7847</v>
      </c>
      <c r="G2868" t="s">
        <v>936</v>
      </c>
      <c r="H2868" t="s">
        <v>9391</v>
      </c>
      <c r="I2868" t="s">
        <v>1506</v>
      </c>
      <c r="J2868" t="s">
        <v>1644</v>
      </c>
      <c r="K2868">
        <v>11225</v>
      </c>
      <c r="L2868" t="s">
        <v>1670</v>
      </c>
      <c r="M2868" t="s">
        <v>1670</v>
      </c>
      <c r="O2868" t="s">
        <v>1952</v>
      </c>
      <c r="P2868" t="s">
        <v>1960</v>
      </c>
      <c r="R2868" t="s">
        <v>50</v>
      </c>
      <c r="S2868" t="s">
        <v>1670</v>
      </c>
      <c r="U2868" t="s">
        <v>1972</v>
      </c>
      <c r="W2868" t="s">
        <v>240</v>
      </c>
      <c r="X2868">
        <v>1928.63</v>
      </c>
      <c r="Y2868" t="s">
        <v>2009</v>
      </c>
      <c r="AB2868" t="s">
        <v>15032</v>
      </c>
      <c r="AE2868" t="s">
        <v>13051</v>
      </c>
      <c r="AH2868">
        <v>8</v>
      </c>
      <c r="AI2868">
        <v>1</v>
      </c>
      <c r="AJ2868">
        <v>0</v>
      </c>
      <c r="AK2868">
        <v>200.16</v>
      </c>
      <c r="AN2868" t="s">
        <v>2926</v>
      </c>
      <c r="AO2868">
        <v>25000</v>
      </c>
      <c r="AU2868" t="s">
        <v>13051</v>
      </c>
      <c r="AW2868" t="s">
        <v>158</v>
      </c>
    </row>
    <row r="2869" spans="1:50">
      <c r="A2869" s="1" t="s">
        <v>58</v>
      </c>
      <c r="B2869" t="s">
        <v>164</v>
      </c>
      <c r="C2869" t="s">
        <v>6079</v>
      </c>
      <c r="D2869" t="s">
        <v>290</v>
      </c>
      <c r="E2869" t="s">
        <v>334</v>
      </c>
      <c r="F2869" t="s">
        <v>7203</v>
      </c>
      <c r="G2869" t="s">
        <v>8308</v>
      </c>
      <c r="H2869" t="s">
        <v>9713</v>
      </c>
      <c r="I2869" t="s">
        <v>1489</v>
      </c>
      <c r="J2869" t="s">
        <v>1641</v>
      </c>
      <c r="K2869">
        <v>10452</v>
      </c>
      <c r="L2869" t="s">
        <v>1670</v>
      </c>
      <c r="M2869" t="s">
        <v>1672</v>
      </c>
      <c r="O2869" t="s">
        <v>1675</v>
      </c>
      <c r="P2869" t="s">
        <v>1958</v>
      </c>
      <c r="Q2869" t="s">
        <v>1965</v>
      </c>
      <c r="R2869" t="s">
        <v>50</v>
      </c>
      <c r="S2869" t="s">
        <v>1671</v>
      </c>
      <c r="U2869" t="s">
        <v>1972</v>
      </c>
      <c r="W2869" t="s">
        <v>1994</v>
      </c>
      <c r="X2869">
        <v>1085</v>
      </c>
      <c r="Y2869" t="s">
        <v>2006</v>
      </c>
      <c r="Z2869" t="s">
        <v>2016</v>
      </c>
      <c r="AA2869" t="s">
        <v>2029</v>
      </c>
      <c r="AB2869" t="s">
        <v>13685</v>
      </c>
      <c r="AD2869" t="s">
        <v>16156</v>
      </c>
      <c r="AE2869">
        <v>39</v>
      </c>
      <c r="AG2869" t="s">
        <v>1754</v>
      </c>
      <c r="AH2869">
        <v>20</v>
      </c>
      <c r="AI2869">
        <v>1</v>
      </c>
      <c r="AJ2869">
        <v>0</v>
      </c>
      <c r="AK2869">
        <v>200.32</v>
      </c>
      <c r="AN2869" t="s">
        <v>2926</v>
      </c>
      <c r="AO2869">
        <v>25020</v>
      </c>
      <c r="AU2869">
        <v>1</v>
      </c>
      <c r="AV2869" t="s">
        <v>249</v>
      </c>
      <c r="AW2869" t="s">
        <v>3045</v>
      </c>
      <c r="AX2869" t="s">
        <v>18685</v>
      </c>
    </row>
    <row r="2870" spans="1:50">
      <c r="A2870" s="1" t="s">
        <v>59</v>
      </c>
      <c r="B2870" t="s">
        <v>163</v>
      </c>
      <c r="C2870" t="s">
        <v>6080</v>
      </c>
      <c r="D2870" t="s">
        <v>198</v>
      </c>
      <c r="F2870" t="s">
        <v>7007</v>
      </c>
      <c r="G2870" t="s">
        <v>8598</v>
      </c>
      <c r="H2870" t="s">
        <v>10700</v>
      </c>
      <c r="I2870" t="s">
        <v>1489</v>
      </c>
      <c r="J2870" t="s">
        <v>1641</v>
      </c>
      <c r="K2870">
        <v>10452</v>
      </c>
      <c r="L2870" t="s">
        <v>1670</v>
      </c>
      <c r="M2870" t="s">
        <v>1672</v>
      </c>
      <c r="O2870" t="s">
        <v>1675</v>
      </c>
      <c r="P2870" t="s">
        <v>1958</v>
      </c>
      <c r="R2870" t="s">
        <v>50</v>
      </c>
      <c r="S2870" t="s">
        <v>1671</v>
      </c>
      <c r="U2870" t="s">
        <v>1972</v>
      </c>
      <c r="W2870" t="s">
        <v>1991</v>
      </c>
      <c r="X2870">
        <v>1153</v>
      </c>
      <c r="Y2870" t="s">
        <v>2006</v>
      </c>
      <c r="Z2870" t="s">
        <v>2015</v>
      </c>
      <c r="AB2870" t="s">
        <v>15033</v>
      </c>
      <c r="AD2870" t="s">
        <v>17441</v>
      </c>
      <c r="AE2870">
        <v>61</v>
      </c>
      <c r="AF2870" t="s">
        <v>2904</v>
      </c>
      <c r="AG2870" t="s">
        <v>2915</v>
      </c>
      <c r="AH2870">
        <v>4</v>
      </c>
      <c r="AI2870">
        <v>1</v>
      </c>
      <c r="AJ2870">
        <v>0</v>
      </c>
      <c r="AK2870">
        <v>200.62</v>
      </c>
      <c r="AN2870" t="s">
        <v>2927</v>
      </c>
      <c r="AO2870">
        <v>25057.2</v>
      </c>
      <c r="AP2870" t="s">
        <v>18386</v>
      </c>
      <c r="AU2870">
        <v>0.5</v>
      </c>
      <c r="AV2870" t="s">
        <v>400</v>
      </c>
      <c r="AW2870" t="s">
        <v>3047</v>
      </c>
      <c r="AX2870" t="s">
        <v>18685</v>
      </c>
    </row>
    <row r="2871" spans="1:50">
      <c r="A2871" s="1" t="s">
        <v>89</v>
      </c>
      <c r="B2871" t="s">
        <v>164</v>
      </c>
      <c r="C2871" t="s">
        <v>6081</v>
      </c>
      <c r="D2871" t="s">
        <v>303</v>
      </c>
      <c r="E2871" t="s">
        <v>275</v>
      </c>
      <c r="F2871" t="s">
        <v>6935</v>
      </c>
      <c r="G2871" t="s">
        <v>9129</v>
      </c>
      <c r="H2871" t="s">
        <v>10701</v>
      </c>
      <c r="I2871">
        <v>1</v>
      </c>
      <c r="J2871" t="s">
        <v>1649</v>
      </c>
      <c r="K2871">
        <v>11692</v>
      </c>
      <c r="L2871" t="s">
        <v>1670</v>
      </c>
      <c r="M2871" t="s">
        <v>1670</v>
      </c>
      <c r="N2871" t="s">
        <v>12717</v>
      </c>
      <c r="O2871" t="s">
        <v>1939</v>
      </c>
      <c r="P2871" t="s">
        <v>1958</v>
      </c>
      <c r="Q2871" t="s">
        <v>1965</v>
      </c>
      <c r="R2871" t="s">
        <v>50</v>
      </c>
      <c r="S2871" t="s">
        <v>1671</v>
      </c>
      <c r="U2871" t="s">
        <v>1972</v>
      </c>
      <c r="V2871" t="s">
        <v>1984</v>
      </c>
      <c r="W2871" t="s">
        <v>183</v>
      </c>
      <c r="X2871">
        <v>1800</v>
      </c>
      <c r="Y2871" t="s">
        <v>2007</v>
      </c>
      <c r="Z2871" t="s">
        <v>2014</v>
      </c>
      <c r="AA2871" t="s">
        <v>2029</v>
      </c>
      <c r="AB2871" t="s">
        <v>15034</v>
      </c>
      <c r="AC2871" t="s">
        <v>15311</v>
      </c>
      <c r="AD2871" t="s">
        <v>17442</v>
      </c>
      <c r="AE2871">
        <v>2</v>
      </c>
      <c r="AF2871" t="s">
        <v>2903</v>
      </c>
      <c r="AG2871" t="s">
        <v>2915</v>
      </c>
      <c r="AH2871">
        <v>1</v>
      </c>
      <c r="AI2871">
        <v>1</v>
      </c>
      <c r="AJ2871">
        <v>1</v>
      </c>
      <c r="AK2871">
        <v>0</v>
      </c>
      <c r="AN2871" t="s">
        <v>2926</v>
      </c>
      <c r="AO2871" t="s">
        <v>13051</v>
      </c>
      <c r="AU2871">
        <v>2</v>
      </c>
      <c r="AV2871" t="s">
        <v>183</v>
      </c>
      <c r="AW2871" t="s">
        <v>89</v>
      </c>
    </row>
    <row r="2872" spans="1:50">
      <c r="A2872" s="1" t="s">
        <v>3147</v>
      </c>
      <c r="B2872" t="s">
        <v>164</v>
      </c>
      <c r="C2872" t="s">
        <v>6082</v>
      </c>
      <c r="D2872" t="s">
        <v>229</v>
      </c>
      <c r="E2872" t="s">
        <v>330</v>
      </c>
      <c r="F2872" t="s">
        <v>636</v>
      </c>
      <c r="G2872" t="s">
        <v>9130</v>
      </c>
      <c r="H2872" t="s">
        <v>10702</v>
      </c>
      <c r="I2872" t="s">
        <v>1491</v>
      </c>
      <c r="J2872" t="s">
        <v>1645</v>
      </c>
      <c r="K2872">
        <v>11691</v>
      </c>
      <c r="L2872" t="s">
        <v>1670</v>
      </c>
      <c r="M2872" t="s">
        <v>1670</v>
      </c>
      <c r="N2872" t="s">
        <v>12718</v>
      </c>
      <c r="O2872" t="s">
        <v>1940</v>
      </c>
      <c r="P2872" t="s">
        <v>1958</v>
      </c>
      <c r="Q2872" t="s">
        <v>1965</v>
      </c>
      <c r="R2872" t="s">
        <v>50</v>
      </c>
      <c r="S2872" t="s">
        <v>1671</v>
      </c>
      <c r="U2872" t="s">
        <v>1972</v>
      </c>
      <c r="V2872" t="s">
        <v>1985</v>
      </c>
      <c r="W2872" t="s">
        <v>229</v>
      </c>
      <c r="X2872">
        <v>1200</v>
      </c>
      <c r="Y2872" t="s">
        <v>2007</v>
      </c>
      <c r="Z2872" t="s">
        <v>2014</v>
      </c>
      <c r="AA2872" t="s">
        <v>2029</v>
      </c>
      <c r="AB2872" t="s">
        <v>15035</v>
      </c>
      <c r="AD2872" t="s">
        <v>17443</v>
      </c>
      <c r="AE2872">
        <v>1</v>
      </c>
      <c r="AF2872" t="s">
        <v>2903</v>
      </c>
      <c r="AG2872" t="s">
        <v>2916</v>
      </c>
      <c r="AH2872">
        <v>3</v>
      </c>
      <c r="AI2872">
        <v>1</v>
      </c>
      <c r="AJ2872">
        <v>1</v>
      </c>
      <c r="AK2872">
        <v>0</v>
      </c>
      <c r="AN2872" t="s">
        <v>2926</v>
      </c>
      <c r="AO2872" t="s">
        <v>13051</v>
      </c>
      <c r="AU2872">
        <v>0.55</v>
      </c>
      <c r="AV2872" t="s">
        <v>329</v>
      </c>
      <c r="AW2872" t="s">
        <v>85</v>
      </c>
    </row>
    <row r="2873" spans="1:50">
      <c r="A2873" s="1" t="s">
        <v>155</v>
      </c>
      <c r="B2873" t="s">
        <v>164</v>
      </c>
      <c r="C2873" t="s">
        <v>6083</v>
      </c>
      <c r="D2873" t="s">
        <v>352</v>
      </c>
      <c r="E2873" t="s">
        <v>323</v>
      </c>
      <c r="F2873" t="s">
        <v>7848</v>
      </c>
      <c r="G2873" t="s">
        <v>9131</v>
      </c>
      <c r="H2873" t="s">
        <v>10703</v>
      </c>
      <c r="I2873">
        <v>18</v>
      </c>
      <c r="J2873" t="s">
        <v>1654</v>
      </c>
      <c r="K2873">
        <v>11103</v>
      </c>
      <c r="L2873" t="s">
        <v>1670</v>
      </c>
      <c r="M2873" t="s">
        <v>1670</v>
      </c>
      <c r="N2873" t="s">
        <v>12235</v>
      </c>
      <c r="O2873" t="s">
        <v>1675</v>
      </c>
      <c r="P2873" t="s">
        <v>1958</v>
      </c>
      <c r="Q2873" t="s">
        <v>1965</v>
      </c>
      <c r="R2873" t="s">
        <v>51</v>
      </c>
      <c r="S2873" t="s">
        <v>1671</v>
      </c>
      <c r="U2873" t="s">
        <v>1972</v>
      </c>
      <c r="V2873" t="s">
        <v>1984</v>
      </c>
      <c r="W2873" t="s">
        <v>352</v>
      </c>
      <c r="X2873">
        <v>1300</v>
      </c>
      <c r="Y2873" t="s">
        <v>2007</v>
      </c>
      <c r="Z2873" t="s">
        <v>2012</v>
      </c>
      <c r="AA2873" t="s">
        <v>2029</v>
      </c>
      <c r="AB2873" t="s">
        <v>15036</v>
      </c>
      <c r="AD2873" t="s">
        <v>17444</v>
      </c>
      <c r="AE2873">
        <v>24</v>
      </c>
      <c r="AF2873" t="s">
        <v>2902</v>
      </c>
      <c r="AG2873" t="s">
        <v>1754</v>
      </c>
      <c r="AH2873">
        <v>1</v>
      </c>
      <c r="AI2873">
        <v>1</v>
      </c>
      <c r="AJ2873">
        <v>1</v>
      </c>
      <c r="AK2873">
        <v>0</v>
      </c>
      <c r="AL2873" t="s">
        <v>2923</v>
      </c>
      <c r="AM2873" t="s">
        <v>2924</v>
      </c>
      <c r="AN2873" t="s">
        <v>2930</v>
      </c>
      <c r="AO2873" t="s">
        <v>13051</v>
      </c>
      <c r="AU2873">
        <v>1.3</v>
      </c>
      <c r="AV2873" t="s">
        <v>323</v>
      </c>
      <c r="AW2873" t="s">
        <v>155</v>
      </c>
    </row>
    <row r="2874" spans="1:50">
      <c r="A2874" s="1" t="s">
        <v>53</v>
      </c>
      <c r="B2874" t="s">
        <v>164</v>
      </c>
      <c r="C2874" t="s">
        <v>6084</v>
      </c>
      <c r="D2874" t="s">
        <v>293</v>
      </c>
      <c r="E2874" t="s">
        <v>191</v>
      </c>
      <c r="F2874" t="s">
        <v>7849</v>
      </c>
      <c r="G2874" t="s">
        <v>9132</v>
      </c>
      <c r="H2874" t="s">
        <v>10704</v>
      </c>
      <c r="I2874" t="s">
        <v>1553</v>
      </c>
      <c r="J2874" t="s">
        <v>1661</v>
      </c>
      <c r="K2874">
        <v>11423</v>
      </c>
      <c r="L2874" t="s">
        <v>1670</v>
      </c>
      <c r="M2874" t="s">
        <v>1670</v>
      </c>
      <c r="N2874" t="s">
        <v>1687</v>
      </c>
      <c r="O2874" t="s">
        <v>1675</v>
      </c>
      <c r="P2874" t="s">
        <v>1958</v>
      </c>
      <c r="Q2874" t="s">
        <v>1965</v>
      </c>
      <c r="R2874" t="s">
        <v>51</v>
      </c>
      <c r="S2874" t="s">
        <v>1671</v>
      </c>
      <c r="U2874" t="s">
        <v>1972</v>
      </c>
      <c r="V2874" t="s">
        <v>1984</v>
      </c>
      <c r="W2874" t="s">
        <v>293</v>
      </c>
      <c r="X2874">
        <v>1900</v>
      </c>
      <c r="Y2874" t="s">
        <v>2007</v>
      </c>
      <c r="Z2874" t="s">
        <v>2012</v>
      </c>
      <c r="AA2874" t="s">
        <v>2029</v>
      </c>
      <c r="AB2874" t="s">
        <v>15037</v>
      </c>
      <c r="AC2874" t="s">
        <v>15077</v>
      </c>
      <c r="AD2874" t="s">
        <v>15077</v>
      </c>
      <c r="AE2874">
        <v>2</v>
      </c>
      <c r="AF2874" t="s">
        <v>2903</v>
      </c>
      <c r="AG2874" t="s">
        <v>1754</v>
      </c>
      <c r="AH2874">
        <v>1</v>
      </c>
      <c r="AI2874">
        <v>1</v>
      </c>
      <c r="AJ2874">
        <v>1</v>
      </c>
      <c r="AK2874">
        <v>0</v>
      </c>
      <c r="AL2874" t="s">
        <v>2923</v>
      </c>
      <c r="AM2874" t="s">
        <v>2924</v>
      </c>
      <c r="AN2874" t="s">
        <v>2931</v>
      </c>
      <c r="AO2874" t="s">
        <v>13051</v>
      </c>
      <c r="AU2874">
        <v>1.3</v>
      </c>
      <c r="AV2874" t="s">
        <v>291</v>
      </c>
      <c r="AW2874" t="s">
        <v>53</v>
      </c>
      <c r="AX2874" t="s">
        <v>18685</v>
      </c>
    </row>
    <row r="2875" spans="1:50">
      <c r="A2875" s="1" t="s">
        <v>99</v>
      </c>
      <c r="B2875" t="s">
        <v>164</v>
      </c>
      <c r="C2875" t="s">
        <v>6085</v>
      </c>
      <c r="D2875" t="s">
        <v>231</v>
      </c>
      <c r="E2875" t="s">
        <v>223</v>
      </c>
      <c r="F2875" t="s">
        <v>7850</v>
      </c>
      <c r="G2875" t="s">
        <v>840</v>
      </c>
      <c r="H2875" t="s">
        <v>10705</v>
      </c>
      <c r="I2875" t="s">
        <v>1542</v>
      </c>
      <c r="J2875" t="s">
        <v>11746</v>
      </c>
      <c r="K2875">
        <v>11417</v>
      </c>
      <c r="L2875" t="s">
        <v>1670</v>
      </c>
      <c r="M2875" t="s">
        <v>1670</v>
      </c>
      <c r="N2875" t="s">
        <v>12719</v>
      </c>
      <c r="O2875" t="s">
        <v>1940</v>
      </c>
      <c r="P2875" t="s">
        <v>1958</v>
      </c>
      <c r="Q2875" t="s">
        <v>1965</v>
      </c>
      <c r="R2875" t="s">
        <v>50</v>
      </c>
      <c r="S2875" t="s">
        <v>1671</v>
      </c>
      <c r="U2875" t="s">
        <v>1972</v>
      </c>
      <c r="V2875" t="s">
        <v>1984</v>
      </c>
      <c r="W2875" t="s">
        <v>231</v>
      </c>
      <c r="X2875">
        <v>1750</v>
      </c>
      <c r="Y2875" t="s">
        <v>2007</v>
      </c>
      <c r="Z2875" t="s">
        <v>2014</v>
      </c>
      <c r="AA2875" t="s">
        <v>2029</v>
      </c>
      <c r="AB2875" t="s">
        <v>15038</v>
      </c>
      <c r="AC2875" t="s">
        <v>15312</v>
      </c>
      <c r="AD2875" t="s">
        <v>17445</v>
      </c>
      <c r="AE2875">
        <v>2</v>
      </c>
      <c r="AF2875" t="s">
        <v>2903</v>
      </c>
      <c r="AG2875" t="s">
        <v>1754</v>
      </c>
      <c r="AH2875">
        <v>1</v>
      </c>
      <c r="AI2875">
        <v>1</v>
      </c>
      <c r="AJ2875">
        <v>1</v>
      </c>
      <c r="AK2875">
        <v>0</v>
      </c>
      <c r="AN2875" t="s">
        <v>2926</v>
      </c>
      <c r="AO2875" t="s">
        <v>13051</v>
      </c>
      <c r="AU2875">
        <v>0.88</v>
      </c>
      <c r="AV2875" t="s">
        <v>223</v>
      </c>
      <c r="AW2875" t="s">
        <v>85</v>
      </c>
    </row>
    <row r="2876" spans="1:50">
      <c r="A2876" s="1" t="s">
        <v>85</v>
      </c>
      <c r="B2876" t="s">
        <v>164</v>
      </c>
      <c r="C2876" t="s">
        <v>6086</v>
      </c>
      <c r="D2876" t="s">
        <v>323</v>
      </c>
      <c r="E2876" t="s">
        <v>323</v>
      </c>
      <c r="F2876" t="s">
        <v>419</v>
      </c>
      <c r="G2876" t="s">
        <v>9133</v>
      </c>
      <c r="H2876" t="s">
        <v>10706</v>
      </c>
      <c r="I2876" t="s">
        <v>11381</v>
      </c>
      <c r="J2876" t="s">
        <v>11759</v>
      </c>
      <c r="K2876">
        <v>11378</v>
      </c>
      <c r="L2876" t="s">
        <v>1670</v>
      </c>
      <c r="M2876" t="s">
        <v>1670</v>
      </c>
      <c r="N2876" t="s">
        <v>12720</v>
      </c>
      <c r="O2876" t="s">
        <v>1939</v>
      </c>
      <c r="P2876" t="s">
        <v>1958</v>
      </c>
      <c r="Q2876" t="s">
        <v>1965</v>
      </c>
      <c r="R2876" t="s">
        <v>50</v>
      </c>
      <c r="S2876" t="s">
        <v>1671</v>
      </c>
      <c r="U2876" t="s">
        <v>1972</v>
      </c>
      <c r="V2876" t="s">
        <v>1984</v>
      </c>
      <c r="W2876" t="s">
        <v>323</v>
      </c>
      <c r="X2876">
        <v>1850</v>
      </c>
      <c r="Y2876" t="s">
        <v>2007</v>
      </c>
      <c r="Z2876" t="s">
        <v>2014</v>
      </c>
      <c r="AA2876" t="s">
        <v>2029</v>
      </c>
      <c r="AB2876" t="s">
        <v>15039</v>
      </c>
      <c r="AC2876" t="s">
        <v>15313</v>
      </c>
      <c r="AD2876" t="s">
        <v>15077</v>
      </c>
      <c r="AE2876">
        <v>3</v>
      </c>
      <c r="AF2876" t="s">
        <v>2903</v>
      </c>
      <c r="AG2876" t="s">
        <v>1754</v>
      </c>
      <c r="AH2876">
        <v>7</v>
      </c>
      <c r="AI2876">
        <v>1</v>
      </c>
      <c r="AJ2876">
        <v>1</v>
      </c>
      <c r="AK2876">
        <v>0</v>
      </c>
      <c r="AN2876" t="s">
        <v>2926</v>
      </c>
      <c r="AO2876" t="s">
        <v>13051</v>
      </c>
      <c r="AU2876">
        <v>1.45</v>
      </c>
      <c r="AV2876" t="s">
        <v>244</v>
      </c>
      <c r="AW2876" t="s">
        <v>85</v>
      </c>
    </row>
    <row r="2877" spans="1:50">
      <c r="A2877" s="1" t="s">
        <v>119</v>
      </c>
      <c r="B2877" t="s">
        <v>164</v>
      </c>
      <c r="C2877" t="s">
        <v>6087</v>
      </c>
      <c r="D2877" t="s">
        <v>1993</v>
      </c>
      <c r="E2877" t="s">
        <v>277</v>
      </c>
      <c r="F2877" t="s">
        <v>7851</v>
      </c>
      <c r="G2877" t="s">
        <v>9134</v>
      </c>
      <c r="H2877" t="s">
        <v>10632</v>
      </c>
      <c r="I2877" t="s">
        <v>11449</v>
      </c>
      <c r="J2877" t="s">
        <v>1644</v>
      </c>
      <c r="K2877">
        <v>11233</v>
      </c>
      <c r="L2877" t="s">
        <v>1670</v>
      </c>
      <c r="M2877" t="s">
        <v>1670</v>
      </c>
      <c r="N2877" t="s">
        <v>12721</v>
      </c>
      <c r="O2877" t="s">
        <v>1936</v>
      </c>
      <c r="P2877" t="s">
        <v>1958</v>
      </c>
      <c r="Q2877" t="s">
        <v>1965</v>
      </c>
      <c r="R2877" t="s">
        <v>50</v>
      </c>
      <c r="S2877" t="s">
        <v>1671</v>
      </c>
      <c r="U2877" t="s">
        <v>1972</v>
      </c>
      <c r="W2877" t="s">
        <v>277</v>
      </c>
      <c r="X2877">
        <v>2400</v>
      </c>
      <c r="Y2877" t="s">
        <v>2009</v>
      </c>
      <c r="Z2877" t="s">
        <v>2011</v>
      </c>
      <c r="AA2877" t="s">
        <v>2029</v>
      </c>
      <c r="AB2877" t="s">
        <v>15040</v>
      </c>
      <c r="AC2877" t="s">
        <v>15314</v>
      </c>
      <c r="AD2877" t="s">
        <v>17446</v>
      </c>
      <c r="AE2877">
        <v>119</v>
      </c>
      <c r="AF2877" t="s">
        <v>2911</v>
      </c>
      <c r="AH2877">
        <v>1</v>
      </c>
      <c r="AI2877">
        <v>1</v>
      </c>
      <c r="AJ2877">
        <v>1</v>
      </c>
      <c r="AK2877">
        <v>0</v>
      </c>
      <c r="AM2877" t="s">
        <v>18031</v>
      </c>
      <c r="AN2877" t="s">
        <v>2926</v>
      </c>
      <c r="AO2877" t="s">
        <v>13051</v>
      </c>
      <c r="AU2877">
        <v>3.5</v>
      </c>
      <c r="AV2877" t="s">
        <v>299</v>
      </c>
      <c r="AW2877" t="s">
        <v>18667</v>
      </c>
    </row>
    <row r="2878" spans="1:50">
      <c r="A2878" s="1" t="s">
        <v>119</v>
      </c>
      <c r="B2878" t="s">
        <v>164</v>
      </c>
      <c r="C2878" t="s">
        <v>6088</v>
      </c>
      <c r="D2878" t="s">
        <v>2004</v>
      </c>
      <c r="E2878" t="s">
        <v>229</v>
      </c>
      <c r="F2878" t="s">
        <v>7852</v>
      </c>
      <c r="G2878" t="s">
        <v>9135</v>
      </c>
      <c r="H2878" t="s">
        <v>10707</v>
      </c>
      <c r="I2878" t="s">
        <v>11450</v>
      </c>
      <c r="J2878" t="s">
        <v>1644</v>
      </c>
      <c r="K2878">
        <v>11212</v>
      </c>
      <c r="L2878" t="s">
        <v>1670</v>
      </c>
      <c r="M2878" t="s">
        <v>1670</v>
      </c>
      <c r="N2878" t="s">
        <v>12722</v>
      </c>
      <c r="O2878" t="s">
        <v>1940</v>
      </c>
      <c r="P2878" t="s">
        <v>1958</v>
      </c>
      <c r="Q2878" t="s">
        <v>1965</v>
      </c>
      <c r="R2878" t="s">
        <v>50</v>
      </c>
      <c r="S2878" t="s">
        <v>1671</v>
      </c>
      <c r="U2878" t="s">
        <v>1972</v>
      </c>
      <c r="W2878" t="s">
        <v>352</v>
      </c>
      <c r="X2878">
        <v>850</v>
      </c>
      <c r="Y2878" t="s">
        <v>2009</v>
      </c>
      <c r="Z2878" t="s">
        <v>2023</v>
      </c>
      <c r="AA2878" t="s">
        <v>2029</v>
      </c>
      <c r="AB2878" t="s">
        <v>13872</v>
      </c>
      <c r="AC2878" t="s">
        <v>15315</v>
      </c>
      <c r="AD2878" t="s">
        <v>17447</v>
      </c>
      <c r="AE2878">
        <v>2</v>
      </c>
      <c r="AF2878" t="s">
        <v>2902</v>
      </c>
      <c r="AG2878" t="s">
        <v>1754</v>
      </c>
      <c r="AH2878">
        <v>1</v>
      </c>
      <c r="AI2878">
        <v>1</v>
      </c>
      <c r="AJ2878">
        <v>1</v>
      </c>
      <c r="AK2878">
        <v>0</v>
      </c>
      <c r="AN2878" t="s">
        <v>2926</v>
      </c>
      <c r="AO2878" t="s">
        <v>13051</v>
      </c>
      <c r="AP2878" t="s">
        <v>18059</v>
      </c>
      <c r="AU2878">
        <v>2.4</v>
      </c>
      <c r="AV2878" t="s">
        <v>2004</v>
      </c>
      <c r="AW2878" t="s">
        <v>3079</v>
      </c>
    </row>
    <row r="2879" spans="1:50">
      <c r="A2879" s="1" t="s">
        <v>119</v>
      </c>
      <c r="B2879" t="s">
        <v>164</v>
      </c>
      <c r="C2879" t="s">
        <v>6089</v>
      </c>
      <c r="D2879" t="s">
        <v>244</v>
      </c>
      <c r="E2879" t="s">
        <v>262</v>
      </c>
      <c r="F2879" t="s">
        <v>573</v>
      </c>
      <c r="G2879" t="s">
        <v>8348</v>
      </c>
      <c r="H2879" t="s">
        <v>10708</v>
      </c>
      <c r="I2879" t="s">
        <v>11451</v>
      </c>
      <c r="J2879" t="s">
        <v>1644</v>
      </c>
      <c r="K2879">
        <v>11207</v>
      </c>
      <c r="L2879" t="s">
        <v>1670</v>
      </c>
      <c r="M2879" t="s">
        <v>1670</v>
      </c>
      <c r="N2879" t="s">
        <v>12723</v>
      </c>
      <c r="O2879" t="s">
        <v>1936</v>
      </c>
      <c r="P2879" t="s">
        <v>1958</v>
      </c>
      <c r="Q2879" t="s">
        <v>1965</v>
      </c>
      <c r="R2879" t="s">
        <v>50</v>
      </c>
      <c r="S2879" t="s">
        <v>1671</v>
      </c>
      <c r="U2879" t="s">
        <v>1972</v>
      </c>
      <c r="V2879" t="s">
        <v>13035</v>
      </c>
      <c r="W2879" t="s">
        <v>244</v>
      </c>
      <c r="X2879">
        <v>1500</v>
      </c>
      <c r="Y2879" t="s">
        <v>2009</v>
      </c>
      <c r="Z2879" t="s">
        <v>2019</v>
      </c>
      <c r="AA2879" t="s">
        <v>2029</v>
      </c>
      <c r="AB2879" t="s">
        <v>15041</v>
      </c>
      <c r="AD2879" t="s">
        <v>17448</v>
      </c>
      <c r="AE2879">
        <v>22</v>
      </c>
      <c r="AF2879" t="s">
        <v>2902</v>
      </c>
      <c r="AG2879" t="s">
        <v>2916</v>
      </c>
      <c r="AH2879">
        <v>3</v>
      </c>
      <c r="AI2879">
        <v>2</v>
      </c>
      <c r="AJ2879">
        <v>1</v>
      </c>
      <c r="AK2879">
        <v>0</v>
      </c>
      <c r="AN2879" t="s">
        <v>2926</v>
      </c>
      <c r="AO2879" t="s">
        <v>13051</v>
      </c>
      <c r="AU2879">
        <v>2.8</v>
      </c>
      <c r="AV2879" t="s">
        <v>262</v>
      </c>
      <c r="AW2879" t="s">
        <v>3052</v>
      </c>
    </row>
    <row r="2880" spans="1:50">
      <c r="A2880" s="1" t="s">
        <v>122</v>
      </c>
      <c r="B2880" t="s">
        <v>164</v>
      </c>
      <c r="C2880" t="s">
        <v>6090</v>
      </c>
      <c r="D2880" t="s">
        <v>351</v>
      </c>
      <c r="E2880" t="s">
        <v>326</v>
      </c>
      <c r="F2880" t="s">
        <v>612</v>
      </c>
      <c r="G2880" t="s">
        <v>9136</v>
      </c>
      <c r="H2880" t="s">
        <v>10709</v>
      </c>
      <c r="I2880" t="s">
        <v>1508</v>
      </c>
      <c r="J2880" t="s">
        <v>1641</v>
      </c>
      <c r="K2880">
        <v>10453</v>
      </c>
      <c r="L2880" t="s">
        <v>1670</v>
      </c>
      <c r="M2880" t="s">
        <v>1670</v>
      </c>
      <c r="O2880" t="s">
        <v>1939</v>
      </c>
      <c r="P2880" t="s">
        <v>1958</v>
      </c>
      <c r="Q2880" t="s">
        <v>1965</v>
      </c>
      <c r="R2880" t="s">
        <v>50</v>
      </c>
      <c r="S2880" t="s">
        <v>1671</v>
      </c>
      <c r="U2880" t="s">
        <v>1972</v>
      </c>
      <c r="W2880" t="s">
        <v>359</v>
      </c>
      <c r="X2880">
        <v>1020</v>
      </c>
      <c r="Y2880" t="s">
        <v>2006</v>
      </c>
      <c r="Z2880" t="s">
        <v>2015</v>
      </c>
      <c r="AA2880" t="s">
        <v>2029</v>
      </c>
      <c r="AB2880" t="s">
        <v>15042</v>
      </c>
      <c r="AD2880" t="s">
        <v>17449</v>
      </c>
      <c r="AE2880" t="s">
        <v>13051</v>
      </c>
      <c r="AF2880" t="s">
        <v>2902</v>
      </c>
      <c r="AG2880" t="s">
        <v>1754</v>
      </c>
      <c r="AH2880">
        <v>6</v>
      </c>
      <c r="AI2880">
        <v>2</v>
      </c>
      <c r="AJ2880">
        <v>1</v>
      </c>
      <c r="AK2880">
        <v>0</v>
      </c>
      <c r="AN2880" t="s">
        <v>2926</v>
      </c>
      <c r="AO2880" t="s">
        <v>13051</v>
      </c>
      <c r="AU2880">
        <v>1</v>
      </c>
      <c r="AV2880" t="s">
        <v>351</v>
      </c>
      <c r="AW2880" t="s">
        <v>122</v>
      </c>
    </row>
    <row r="2881" spans="1:50">
      <c r="A2881" s="1" t="s">
        <v>115</v>
      </c>
      <c r="B2881" t="s">
        <v>164</v>
      </c>
      <c r="C2881" t="s">
        <v>6091</v>
      </c>
      <c r="D2881" t="s">
        <v>248</v>
      </c>
      <c r="E2881" t="s">
        <v>406</v>
      </c>
      <c r="F2881" t="s">
        <v>7853</v>
      </c>
      <c r="G2881" t="s">
        <v>9137</v>
      </c>
      <c r="H2881" t="s">
        <v>1118</v>
      </c>
      <c r="J2881" t="s">
        <v>1641</v>
      </c>
      <c r="K2881">
        <v>10452</v>
      </c>
      <c r="L2881" t="s">
        <v>1670</v>
      </c>
      <c r="M2881" t="s">
        <v>1670</v>
      </c>
      <c r="O2881" t="s">
        <v>1675</v>
      </c>
      <c r="P2881" t="s">
        <v>1958</v>
      </c>
      <c r="Q2881" t="s">
        <v>1965</v>
      </c>
      <c r="R2881" t="s">
        <v>50</v>
      </c>
      <c r="S2881" t="s">
        <v>1671</v>
      </c>
      <c r="U2881" t="s">
        <v>1972</v>
      </c>
      <c r="W2881" t="s">
        <v>248</v>
      </c>
      <c r="X2881">
        <v>1200</v>
      </c>
      <c r="Y2881" t="s">
        <v>2006</v>
      </c>
      <c r="Z2881" t="s">
        <v>2015</v>
      </c>
      <c r="AA2881" t="s">
        <v>2029</v>
      </c>
      <c r="AD2881" t="s">
        <v>17450</v>
      </c>
      <c r="AE2881">
        <v>59</v>
      </c>
      <c r="AF2881" t="s">
        <v>2902</v>
      </c>
      <c r="AG2881" t="s">
        <v>1754</v>
      </c>
      <c r="AH2881">
        <v>2</v>
      </c>
      <c r="AI2881">
        <v>2</v>
      </c>
      <c r="AJ2881">
        <v>1</v>
      </c>
      <c r="AK2881">
        <v>0</v>
      </c>
      <c r="AN2881" t="s">
        <v>2927</v>
      </c>
      <c r="AO2881" t="s">
        <v>13051</v>
      </c>
      <c r="AU2881">
        <v>1.2</v>
      </c>
      <c r="AV2881" t="s">
        <v>406</v>
      </c>
      <c r="AW2881" t="s">
        <v>115</v>
      </c>
    </row>
    <row r="2882" spans="1:50">
      <c r="A2882" s="1" t="s">
        <v>104</v>
      </c>
      <c r="B2882" t="s">
        <v>164</v>
      </c>
      <c r="C2882" t="s">
        <v>6092</v>
      </c>
      <c r="D2882" t="s">
        <v>258</v>
      </c>
      <c r="E2882" t="s">
        <v>258</v>
      </c>
      <c r="F2882" t="s">
        <v>7199</v>
      </c>
      <c r="G2882" t="s">
        <v>9138</v>
      </c>
      <c r="H2882" t="s">
        <v>10710</v>
      </c>
      <c r="J2882" t="s">
        <v>1646</v>
      </c>
      <c r="K2882">
        <v>10304</v>
      </c>
      <c r="L2882" t="s">
        <v>1670</v>
      </c>
      <c r="M2882" t="s">
        <v>1670</v>
      </c>
      <c r="N2882" t="s">
        <v>12724</v>
      </c>
      <c r="O2882" t="s">
        <v>1940</v>
      </c>
      <c r="P2882" t="s">
        <v>1958</v>
      </c>
      <c r="Q2882" t="s">
        <v>1965</v>
      </c>
      <c r="R2882" t="s">
        <v>50</v>
      </c>
      <c r="S2882" t="s">
        <v>1671</v>
      </c>
      <c r="U2882" t="s">
        <v>1972</v>
      </c>
      <c r="V2882" t="s">
        <v>1984</v>
      </c>
      <c r="W2882" t="s">
        <v>258</v>
      </c>
      <c r="X2882">
        <v>2000</v>
      </c>
      <c r="Y2882" t="s">
        <v>2010</v>
      </c>
      <c r="Z2882" t="s">
        <v>2011</v>
      </c>
      <c r="AA2882" t="s">
        <v>2029</v>
      </c>
      <c r="AB2882" t="s">
        <v>15043</v>
      </c>
      <c r="AD2882" t="s">
        <v>17451</v>
      </c>
      <c r="AE2882">
        <v>1</v>
      </c>
      <c r="AF2882" t="s">
        <v>2903</v>
      </c>
      <c r="AG2882" t="s">
        <v>1754</v>
      </c>
      <c r="AH2882">
        <v>23</v>
      </c>
      <c r="AI2882">
        <v>4</v>
      </c>
      <c r="AJ2882">
        <v>1</v>
      </c>
      <c r="AK2882">
        <v>0</v>
      </c>
      <c r="AN2882" t="s">
        <v>2926</v>
      </c>
      <c r="AO2882" t="s">
        <v>13051</v>
      </c>
      <c r="AU2882">
        <v>2.5</v>
      </c>
      <c r="AV2882" t="s">
        <v>258</v>
      </c>
      <c r="AW2882" t="s">
        <v>3050</v>
      </c>
      <c r="AX2882" t="s">
        <v>18685</v>
      </c>
    </row>
    <row r="2883" spans="1:50">
      <c r="A2883" s="1" t="s">
        <v>54</v>
      </c>
      <c r="B2883" t="s">
        <v>164</v>
      </c>
      <c r="C2883" t="s">
        <v>6093</v>
      </c>
      <c r="D2883" t="s">
        <v>173</v>
      </c>
      <c r="E2883" t="s">
        <v>372</v>
      </c>
      <c r="F2883" t="s">
        <v>7854</v>
      </c>
      <c r="G2883" t="s">
        <v>1060</v>
      </c>
      <c r="H2883" t="s">
        <v>10711</v>
      </c>
      <c r="I2883">
        <v>1</v>
      </c>
      <c r="J2883" t="s">
        <v>1643</v>
      </c>
      <c r="K2883">
        <v>10033</v>
      </c>
      <c r="L2883" t="s">
        <v>1670</v>
      </c>
      <c r="M2883" t="s">
        <v>1670</v>
      </c>
      <c r="O2883" t="s">
        <v>1675</v>
      </c>
      <c r="P2883" t="s">
        <v>1958</v>
      </c>
      <c r="Q2883" t="s">
        <v>1965</v>
      </c>
      <c r="R2883" t="s">
        <v>50</v>
      </c>
      <c r="S2883" t="s">
        <v>1671</v>
      </c>
      <c r="U2883" t="s">
        <v>1972</v>
      </c>
      <c r="W2883" t="s">
        <v>173</v>
      </c>
      <c r="X2883">
        <v>2051</v>
      </c>
      <c r="Y2883" t="s">
        <v>2008</v>
      </c>
      <c r="Z2883" t="s">
        <v>2013</v>
      </c>
      <c r="AA2883" t="s">
        <v>2029</v>
      </c>
      <c r="AB2883" t="s">
        <v>15044</v>
      </c>
      <c r="AE2883">
        <v>49</v>
      </c>
      <c r="AF2883" t="s">
        <v>2902</v>
      </c>
      <c r="AG2883" t="s">
        <v>1754</v>
      </c>
      <c r="AH2883">
        <v>1</v>
      </c>
      <c r="AI2883">
        <v>3</v>
      </c>
      <c r="AJ2883">
        <v>1</v>
      </c>
      <c r="AK2883">
        <v>0</v>
      </c>
      <c r="AN2883" t="s">
        <v>2926</v>
      </c>
      <c r="AO2883" t="s">
        <v>13051</v>
      </c>
      <c r="AU2883">
        <v>1.2</v>
      </c>
      <c r="AV2883" t="s">
        <v>204</v>
      </c>
      <c r="AW2883" t="s">
        <v>3042</v>
      </c>
    </row>
    <row r="2884" spans="1:50">
      <c r="A2884" s="1" t="s">
        <v>60</v>
      </c>
      <c r="B2884" t="s">
        <v>163</v>
      </c>
      <c r="C2884" t="s">
        <v>6094</v>
      </c>
      <c r="D2884" t="s">
        <v>6138</v>
      </c>
      <c r="F2884" t="s">
        <v>7577</v>
      </c>
      <c r="G2884" t="s">
        <v>9139</v>
      </c>
      <c r="H2884" t="s">
        <v>10712</v>
      </c>
      <c r="I2884" t="s">
        <v>1542</v>
      </c>
      <c r="J2884" t="s">
        <v>1649</v>
      </c>
      <c r="K2884">
        <v>11692</v>
      </c>
      <c r="L2884" t="s">
        <v>1670</v>
      </c>
      <c r="M2884" t="s">
        <v>1670</v>
      </c>
      <c r="N2884" t="s">
        <v>12725</v>
      </c>
      <c r="O2884" t="s">
        <v>1940</v>
      </c>
      <c r="P2884" t="s">
        <v>1958</v>
      </c>
      <c r="R2884" t="s">
        <v>50</v>
      </c>
      <c r="S2884" t="s">
        <v>1671</v>
      </c>
      <c r="U2884" t="s">
        <v>1972</v>
      </c>
      <c r="V2884" t="s">
        <v>1986</v>
      </c>
      <c r="W2884" t="s">
        <v>6138</v>
      </c>
      <c r="X2884">
        <v>2000</v>
      </c>
      <c r="Y2884" t="s">
        <v>2007</v>
      </c>
      <c r="Z2884" t="s">
        <v>2014</v>
      </c>
      <c r="AB2884" t="s">
        <v>15045</v>
      </c>
      <c r="AC2884" t="s">
        <v>1754</v>
      </c>
      <c r="AD2884" t="s">
        <v>17452</v>
      </c>
      <c r="AE2884">
        <v>2</v>
      </c>
      <c r="AF2884" t="s">
        <v>2903</v>
      </c>
      <c r="AG2884" t="s">
        <v>1754</v>
      </c>
      <c r="AH2884">
        <v>3</v>
      </c>
      <c r="AI2884">
        <v>3</v>
      </c>
      <c r="AJ2884">
        <v>1</v>
      </c>
      <c r="AK2884">
        <v>0</v>
      </c>
      <c r="AN2884" t="s">
        <v>2926</v>
      </c>
      <c r="AO2884" t="s">
        <v>13051</v>
      </c>
      <c r="AU2884">
        <v>1.5</v>
      </c>
      <c r="AV2884" t="s">
        <v>395</v>
      </c>
      <c r="AW2884" t="s">
        <v>85</v>
      </c>
    </row>
    <row r="2885" spans="1:50">
      <c r="A2885" s="1" t="s">
        <v>118</v>
      </c>
      <c r="B2885" t="s">
        <v>163</v>
      </c>
      <c r="C2885" t="s">
        <v>6095</v>
      </c>
      <c r="D2885" t="s">
        <v>203</v>
      </c>
      <c r="F2885" t="s">
        <v>7855</v>
      </c>
      <c r="G2885" t="s">
        <v>7999</v>
      </c>
      <c r="H2885" t="s">
        <v>1136</v>
      </c>
      <c r="I2885" t="s">
        <v>10946</v>
      </c>
      <c r="J2885" t="s">
        <v>1641</v>
      </c>
      <c r="K2885">
        <v>10457</v>
      </c>
      <c r="L2885" t="s">
        <v>1670</v>
      </c>
      <c r="M2885" t="s">
        <v>1670</v>
      </c>
      <c r="O2885" t="s">
        <v>1938</v>
      </c>
      <c r="P2885" t="s">
        <v>1958</v>
      </c>
      <c r="R2885" t="s">
        <v>50</v>
      </c>
      <c r="S2885" t="s">
        <v>1671</v>
      </c>
      <c r="U2885" t="s">
        <v>1972</v>
      </c>
      <c r="W2885" t="s">
        <v>220</v>
      </c>
      <c r="X2885">
        <v>1750</v>
      </c>
      <c r="Y2885" t="s">
        <v>2006</v>
      </c>
      <c r="AD2885" t="s">
        <v>17453</v>
      </c>
      <c r="AE2885" t="s">
        <v>13051</v>
      </c>
      <c r="AF2885" t="s">
        <v>2902</v>
      </c>
      <c r="AH2885" t="s">
        <v>13051</v>
      </c>
      <c r="AI2885">
        <v>2</v>
      </c>
      <c r="AJ2885">
        <v>1</v>
      </c>
      <c r="AK2885">
        <v>0</v>
      </c>
      <c r="AN2885" t="s">
        <v>2927</v>
      </c>
      <c r="AO2885" t="s">
        <v>13051</v>
      </c>
      <c r="AU2885">
        <v>1.2</v>
      </c>
      <c r="AV2885" t="s">
        <v>269</v>
      </c>
      <c r="AW2885" t="s">
        <v>118</v>
      </c>
    </row>
    <row r="2886" spans="1:50">
      <c r="A2886" s="1" t="s">
        <v>90</v>
      </c>
      <c r="B2886" t="s">
        <v>164</v>
      </c>
      <c r="C2886" t="s">
        <v>6096</v>
      </c>
      <c r="D2886" t="s">
        <v>181</v>
      </c>
      <c r="E2886" t="s">
        <v>301</v>
      </c>
      <c r="F2886" t="s">
        <v>7856</v>
      </c>
      <c r="G2886" t="s">
        <v>9140</v>
      </c>
      <c r="H2886" t="s">
        <v>10713</v>
      </c>
      <c r="J2886" t="s">
        <v>1646</v>
      </c>
      <c r="K2886">
        <v>10304</v>
      </c>
      <c r="L2886" t="s">
        <v>1670</v>
      </c>
      <c r="M2886" t="s">
        <v>1670</v>
      </c>
      <c r="O2886" t="s">
        <v>1675</v>
      </c>
      <c r="P2886" t="s">
        <v>1962</v>
      </c>
      <c r="Q2886" t="s">
        <v>1968</v>
      </c>
      <c r="R2886" t="s">
        <v>51</v>
      </c>
      <c r="S2886" t="s">
        <v>1671</v>
      </c>
      <c r="U2886" t="s">
        <v>1972</v>
      </c>
      <c r="V2886" t="s">
        <v>1984</v>
      </c>
      <c r="W2886" t="s">
        <v>347</v>
      </c>
      <c r="X2886" t="s">
        <v>13051</v>
      </c>
      <c r="Y2886" t="s">
        <v>2010</v>
      </c>
      <c r="Z2886" t="s">
        <v>2012</v>
      </c>
      <c r="AA2886" t="s">
        <v>2029</v>
      </c>
      <c r="AB2886" t="s">
        <v>15046</v>
      </c>
      <c r="AD2886" t="s">
        <v>17454</v>
      </c>
      <c r="AE2886" t="s">
        <v>13051</v>
      </c>
      <c r="AH2886">
        <v>20</v>
      </c>
      <c r="AI2886">
        <v>1</v>
      </c>
      <c r="AJ2886">
        <v>1</v>
      </c>
      <c r="AK2886">
        <v>0</v>
      </c>
      <c r="AL2886" t="s">
        <v>2923</v>
      </c>
      <c r="AM2886" t="s">
        <v>2924</v>
      </c>
      <c r="AN2886" t="s">
        <v>2926</v>
      </c>
      <c r="AO2886" t="s">
        <v>13051</v>
      </c>
      <c r="AU2886">
        <v>3</v>
      </c>
      <c r="AV2886" t="s">
        <v>255</v>
      </c>
      <c r="AW2886" t="s">
        <v>90</v>
      </c>
    </row>
    <row r="2887" spans="1:50">
      <c r="A2887" s="1" t="s">
        <v>122</v>
      </c>
      <c r="B2887" t="s">
        <v>164</v>
      </c>
      <c r="C2887" t="s">
        <v>6097</v>
      </c>
      <c r="D2887" t="s">
        <v>301</v>
      </c>
      <c r="E2887" t="s">
        <v>326</v>
      </c>
      <c r="F2887" t="s">
        <v>564</v>
      </c>
      <c r="G2887" t="s">
        <v>8191</v>
      </c>
      <c r="H2887" t="s">
        <v>10714</v>
      </c>
      <c r="I2887" t="s">
        <v>1550</v>
      </c>
      <c r="J2887" t="s">
        <v>1641</v>
      </c>
      <c r="K2887">
        <v>10459</v>
      </c>
      <c r="L2887" t="s">
        <v>1670</v>
      </c>
      <c r="M2887" t="s">
        <v>1670</v>
      </c>
      <c r="N2887" t="s">
        <v>12726</v>
      </c>
      <c r="O2887" t="s">
        <v>1940</v>
      </c>
      <c r="P2887" t="s">
        <v>1962</v>
      </c>
      <c r="Q2887" t="s">
        <v>1965</v>
      </c>
      <c r="R2887" t="s">
        <v>50</v>
      </c>
      <c r="S2887" t="s">
        <v>1671</v>
      </c>
      <c r="U2887" t="s">
        <v>1972</v>
      </c>
      <c r="V2887" t="s">
        <v>13035</v>
      </c>
      <c r="W2887" t="s">
        <v>326</v>
      </c>
      <c r="X2887">
        <v>1160</v>
      </c>
      <c r="Y2887" t="s">
        <v>2006</v>
      </c>
      <c r="Z2887" t="s">
        <v>2015</v>
      </c>
      <c r="AA2887" t="s">
        <v>2029</v>
      </c>
      <c r="AB2887" t="s">
        <v>15047</v>
      </c>
      <c r="AD2887" t="s">
        <v>17455</v>
      </c>
      <c r="AE2887" t="s">
        <v>13051</v>
      </c>
      <c r="AF2887" t="s">
        <v>2902</v>
      </c>
      <c r="AG2887" t="s">
        <v>2917</v>
      </c>
      <c r="AH2887">
        <v>12</v>
      </c>
      <c r="AI2887">
        <v>2</v>
      </c>
      <c r="AJ2887">
        <v>1</v>
      </c>
      <c r="AK2887">
        <v>0</v>
      </c>
      <c r="AN2887" t="s">
        <v>2926</v>
      </c>
      <c r="AO2887" t="s">
        <v>13051</v>
      </c>
      <c r="AU2887">
        <v>1</v>
      </c>
      <c r="AV2887" t="s">
        <v>301</v>
      </c>
      <c r="AW2887" t="s">
        <v>122</v>
      </c>
    </row>
    <row r="2888" spans="1:50">
      <c r="A2888" s="1" t="s">
        <v>107</v>
      </c>
      <c r="B2888" t="s">
        <v>164</v>
      </c>
      <c r="C2888" t="s">
        <v>6098</v>
      </c>
      <c r="D2888" t="s">
        <v>353</v>
      </c>
      <c r="E2888" t="s">
        <v>217</v>
      </c>
      <c r="F2888" t="s">
        <v>6858</v>
      </c>
      <c r="G2888" t="s">
        <v>7944</v>
      </c>
      <c r="H2888" t="s">
        <v>10715</v>
      </c>
      <c r="I2888">
        <v>3</v>
      </c>
      <c r="J2888" t="s">
        <v>1644</v>
      </c>
      <c r="K2888">
        <v>11233</v>
      </c>
      <c r="L2888" t="s">
        <v>1670</v>
      </c>
      <c r="M2888" t="s">
        <v>1670</v>
      </c>
      <c r="N2888" t="s">
        <v>12727</v>
      </c>
      <c r="O2888" t="s">
        <v>1940</v>
      </c>
      <c r="P2888" t="s">
        <v>1962</v>
      </c>
      <c r="Q2888" t="s">
        <v>1968</v>
      </c>
      <c r="R2888" t="s">
        <v>50</v>
      </c>
      <c r="S2888" t="s">
        <v>1671</v>
      </c>
      <c r="U2888" t="s">
        <v>1972</v>
      </c>
      <c r="V2888" t="s">
        <v>1983</v>
      </c>
      <c r="W2888" t="s">
        <v>353</v>
      </c>
      <c r="X2888" t="s">
        <v>13051</v>
      </c>
      <c r="Y2888" t="s">
        <v>2009</v>
      </c>
      <c r="Z2888" t="s">
        <v>2026</v>
      </c>
      <c r="AA2888" t="s">
        <v>2032</v>
      </c>
      <c r="AB2888" t="s">
        <v>13170</v>
      </c>
      <c r="AD2888" t="s">
        <v>15781</v>
      </c>
      <c r="AE2888">
        <v>3</v>
      </c>
      <c r="AF2888" t="s">
        <v>2908</v>
      </c>
      <c r="AH2888">
        <v>13</v>
      </c>
      <c r="AI2888">
        <v>2</v>
      </c>
      <c r="AJ2888">
        <v>1</v>
      </c>
      <c r="AK2888">
        <v>0</v>
      </c>
      <c r="AN2888" t="s">
        <v>2926</v>
      </c>
      <c r="AO2888" t="s">
        <v>13051</v>
      </c>
      <c r="AU2888">
        <v>1.5</v>
      </c>
      <c r="AV2888" t="s">
        <v>353</v>
      </c>
      <c r="AW2888" t="s">
        <v>3049</v>
      </c>
      <c r="AX2888" t="s">
        <v>18685</v>
      </c>
    </row>
    <row r="2889" spans="1:50">
      <c r="A2889" s="1" t="s">
        <v>127</v>
      </c>
      <c r="B2889" t="s">
        <v>164</v>
      </c>
      <c r="C2889" t="s">
        <v>6099</v>
      </c>
      <c r="D2889" t="s">
        <v>336</v>
      </c>
      <c r="E2889" t="s">
        <v>256</v>
      </c>
      <c r="F2889" t="s">
        <v>530</v>
      </c>
      <c r="G2889" t="s">
        <v>8117</v>
      </c>
      <c r="H2889" t="s">
        <v>10716</v>
      </c>
      <c r="I2889">
        <v>2</v>
      </c>
      <c r="J2889" t="s">
        <v>1644</v>
      </c>
      <c r="K2889">
        <v>11233</v>
      </c>
      <c r="L2889" t="s">
        <v>1670</v>
      </c>
      <c r="M2889" t="s">
        <v>1670</v>
      </c>
      <c r="N2889" t="s">
        <v>12728</v>
      </c>
      <c r="O2889" t="s">
        <v>1940</v>
      </c>
      <c r="P2889" t="s">
        <v>1962</v>
      </c>
      <c r="Q2889" t="s">
        <v>1968</v>
      </c>
      <c r="R2889" t="s">
        <v>50</v>
      </c>
      <c r="S2889" t="s">
        <v>1671</v>
      </c>
      <c r="U2889" t="s">
        <v>1972</v>
      </c>
      <c r="W2889" t="s">
        <v>316</v>
      </c>
      <c r="X2889">
        <v>1500</v>
      </c>
      <c r="Y2889" t="s">
        <v>2009</v>
      </c>
      <c r="Z2889" t="s">
        <v>2011</v>
      </c>
      <c r="AA2889" t="s">
        <v>2034</v>
      </c>
      <c r="AB2889" t="s">
        <v>15048</v>
      </c>
      <c r="AC2889" t="s">
        <v>15155</v>
      </c>
      <c r="AD2889" t="s">
        <v>17456</v>
      </c>
      <c r="AE2889">
        <v>3</v>
      </c>
      <c r="AF2889" t="s">
        <v>2903</v>
      </c>
      <c r="AG2889" t="s">
        <v>1754</v>
      </c>
      <c r="AH2889">
        <v>3</v>
      </c>
      <c r="AI2889">
        <v>2</v>
      </c>
      <c r="AJ2889">
        <v>1</v>
      </c>
      <c r="AK2889">
        <v>0</v>
      </c>
      <c r="AN2889" t="s">
        <v>2926</v>
      </c>
      <c r="AO2889" t="s">
        <v>13051</v>
      </c>
      <c r="AU2889">
        <v>1.8</v>
      </c>
      <c r="AV2889" t="s">
        <v>316</v>
      </c>
      <c r="AW2889" t="s">
        <v>3060</v>
      </c>
    </row>
    <row r="2890" spans="1:50">
      <c r="A2890" s="1" t="s">
        <v>66</v>
      </c>
      <c r="B2890" t="s">
        <v>164</v>
      </c>
      <c r="C2890" t="s">
        <v>6100</v>
      </c>
      <c r="D2890" t="s">
        <v>317</v>
      </c>
      <c r="E2890" t="s">
        <v>258</v>
      </c>
      <c r="F2890" t="s">
        <v>6860</v>
      </c>
      <c r="G2890" t="s">
        <v>912</v>
      </c>
      <c r="H2890" t="s">
        <v>10717</v>
      </c>
      <c r="I2890">
        <v>2</v>
      </c>
      <c r="J2890" t="s">
        <v>1644</v>
      </c>
      <c r="K2890">
        <v>11233</v>
      </c>
      <c r="L2890" t="s">
        <v>1670</v>
      </c>
      <c r="M2890" t="s">
        <v>1670</v>
      </c>
      <c r="N2890" t="s">
        <v>12729</v>
      </c>
      <c r="O2890" t="s">
        <v>1936</v>
      </c>
      <c r="P2890" t="s">
        <v>1962</v>
      </c>
      <c r="Q2890" t="s">
        <v>1968</v>
      </c>
      <c r="R2890" t="s">
        <v>50</v>
      </c>
      <c r="S2890" t="s">
        <v>1671</v>
      </c>
      <c r="U2890" t="s">
        <v>1972</v>
      </c>
      <c r="W2890" t="s">
        <v>406</v>
      </c>
      <c r="X2890">
        <v>2400</v>
      </c>
      <c r="Y2890" t="s">
        <v>2009</v>
      </c>
      <c r="Z2890" t="s">
        <v>2014</v>
      </c>
      <c r="AA2890" t="s">
        <v>2029</v>
      </c>
      <c r="AB2890" t="s">
        <v>13424</v>
      </c>
      <c r="AD2890" t="s">
        <v>17457</v>
      </c>
      <c r="AE2890">
        <v>3</v>
      </c>
      <c r="AF2890" t="s">
        <v>2903</v>
      </c>
      <c r="AG2890" t="s">
        <v>1754</v>
      </c>
      <c r="AH2890">
        <v>2</v>
      </c>
      <c r="AI2890">
        <v>3</v>
      </c>
      <c r="AJ2890">
        <v>1</v>
      </c>
      <c r="AK2890">
        <v>0</v>
      </c>
      <c r="AN2890" t="s">
        <v>2926</v>
      </c>
      <c r="AO2890" t="s">
        <v>13051</v>
      </c>
      <c r="AU2890">
        <v>1.5</v>
      </c>
      <c r="AV2890" t="s">
        <v>195</v>
      </c>
      <c r="AW2890" t="s">
        <v>3059</v>
      </c>
    </row>
    <row r="2891" spans="1:50">
      <c r="A2891" s="1" t="s">
        <v>54</v>
      </c>
      <c r="B2891" t="s">
        <v>164</v>
      </c>
      <c r="C2891" t="s">
        <v>6101</v>
      </c>
      <c r="D2891" t="s">
        <v>337</v>
      </c>
      <c r="E2891" t="s">
        <v>337</v>
      </c>
      <c r="F2891" t="s">
        <v>7857</v>
      </c>
      <c r="G2891" t="s">
        <v>9141</v>
      </c>
      <c r="H2891" t="s">
        <v>10602</v>
      </c>
      <c r="I2891">
        <v>201</v>
      </c>
      <c r="J2891" t="s">
        <v>1643</v>
      </c>
      <c r="K2891">
        <v>10034</v>
      </c>
      <c r="L2891" t="s">
        <v>1670</v>
      </c>
      <c r="M2891" t="s">
        <v>1672</v>
      </c>
      <c r="O2891" t="s">
        <v>12742</v>
      </c>
      <c r="P2891" t="s">
        <v>1962</v>
      </c>
      <c r="Q2891" t="s">
        <v>1968</v>
      </c>
      <c r="R2891" t="s">
        <v>50</v>
      </c>
      <c r="S2891" t="s">
        <v>1671</v>
      </c>
      <c r="U2891" t="s">
        <v>1974</v>
      </c>
      <c r="W2891" t="s">
        <v>337</v>
      </c>
      <c r="X2891">
        <v>1374</v>
      </c>
      <c r="Y2891" t="s">
        <v>2008</v>
      </c>
      <c r="Z2891" t="s">
        <v>2020</v>
      </c>
      <c r="AA2891" t="s">
        <v>2039</v>
      </c>
      <c r="AB2891" t="s">
        <v>15049</v>
      </c>
      <c r="AD2891" t="s">
        <v>17458</v>
      </c>
      <c r="AE2891">
        <v>72</v>
      </c>
      <c r="AF2891" t="s">
        <v>2902</v>
      </c>
      <c r="AG2891" t="s">
        <v>2917</v>
      </c>
      <c r="AH2891">
        <v>11</v>
      </c>
      <c r="AI2891">
        <v>1</v>
      </c>
      <c r="AJ2891">
        <v>1</v>
      </c>
      <c r="AK2891">
        <v>0</v>
      </c>
      <c r="AN2891" t="s">
        <v>2927</v>
      </c>
      <c r="AO2891" t="s">
        <v>13051</v>
      </c>
      <c r="AU2891">
        <v>1.75</v>
      </c>
      <c r="AV2891" t="s">
        <v>1994</v>
      </c>
      <c r="AW2891" t="s">
        <v>3042</v>
      </c>
      <c r="AX2891" t="s">
        <v>18685</v>
      </c>
    </row>
    <row r="2892" spans="1:50">
      <c r="A2892" s="1" t="s">
        <v>124</v>
      </c>
      <c r="B2892" t="s">
        <v>163</v>
      </c>
      <c r="C2892" t="s">
        <v>6102</v>
      </c>
      <c r="D2892" t="s">
        <v>217</v>
      </c>
      <c r="F2892" t="s">
        <v>7858</v>
      </c>
      <c r="G2892" t="s">
        <v>6881</v>
      </c>
      <c r="H2892" t="s">
        <v>9394</v>
      </c>
      <c r="I2892">
        <v>8</v>
      </c>
      <c r="J2892" t="s">
        <v>1644</v>
      </c>
      <c r="K2892">
        <v>11226</v>
      </c>
      <c r="L2892" t="s">
        <v>1670</v>
      </c>
      <c r="M2892" t="s">
        <v>1671</v>
      </c>
      <c r="O2892" t="s">
        <v>1939</v>
      </c>
      <c r="P2892" t="s">
        <v>1962</v>
      </c>
      <c r="R2892" t="s">
        <v>50</v>
      </c>
      <c r="S2892" t="s">
        <v>1670</v>
      </c>
      <c r="U2892" t="s">
        <v>1972</v>
      </c>
      <c r="W2892" t="s">
        <v>339</v>
      </c>
      <c r="X2892" t="s">
        <v>13051</v>
      </c>
      <c r="Y2892" t="s">
        <v>2009</v>
      </c>
      <c r="AB2892" t="s">
        <v>2223</v>
      </c>
      <c r="AE2892" t="s">
        <v>13051</v>
      </c>
      <c r="AH2892" t="s">
        <v>13051</v>
      </c>
      <c r="AI2892">
        <v>2</v>
      </c>
      <c r="AJ2892">
        <v>1</v>
      </c>
      <c r="AK2892">
        <v>0</v>
      </c>
      <c r="AN2892" t="s">
        <v>2926</v>
      </c>
      <c r="AO2892" t="s">
        <v>13051</v>
      </c>
      <c r="AU2892">
        <v>0.7</v>
      </c>
      <c r="AV2892" t="s">
        <v>268</v>
      </c>
      <c r="AW2892" t="s">
        <v>69</v>
      </c>
    </row>
    <row r="2893" spans="1:50">
      <c r="A2893" s="1" t="s">
        <v>73</v>
      </c>
      <c r="B2893" t="s">
        <v>163</v>
      </c>
      <c r="C2893" t="s">
        <v>6103</v>
      </c>
      <c r="D2893" t="s">
        <v>213</v>
      </c>
      <c r="F2893" t="s">
        <v>7859</v>
      </c>
      <c r="G2893" t="s">
        <v>9142</v>
      </c>
      <c r="H2893" t="s">
        <v>10718</v>
      </c>
      <c r="I2893">
        <v>3</v>
      </c>
      <c r="J2893" t="s">
        <v>1660</v>
      </c>
      <c r="K2893">
        <v>11377</v>
      </c>
      <c r="L2893" t="s">
        <v>1670</v>
      </c>
      <c r="M2893" t="s">
        <v>1670</v>
      </c>
      <c r="O2893" t="s">
        <v>1675</v>
      </c>
      <c r="P2893" t="s">
        <v>1962</v>
      </c>
      <c r="R2893" t="s">
        <v>51</v>
      </c>
      <c r="S2893" t="s">
        <v>1671</v>
      </c>
      <c r="U2893" t="s">
        <v>1972</v>
      </c>
      <c r="W2893" t="s">
        <v>385</v>
      </c>
      <c r="X2893">
        <v>1700</v>
      </c>
      <c r="Y2893" t="s">
        <v>2007</v>
      </c>
      <c r="Z2893" t="s">
        <v>2012</v>
      </c>
      <c r="AB2893" t="s">
        <v>14813</v>
      </c>
      <c r="AE2893" t="s">
        <v>13051</v>
      </c>
      <c r="AF2893" t="s">
        <v>2903</v>
      </c>
      <c r="AH2893" t="s">
        <v>13051</v>
      </c>
      <c r="AI2893">
        <v>1</v>
      </c>
      <c r="AJ2893">
        <v>1</v>
      </c>
      <c r="AK2893">
        <v>0</v>
      </c>
      <c r="AL2893" t="s">
        <v>2923</v>
      </c>
      <c r="AM2893" t="s">
        <v>2924</v>
      </c>
      <c r="AO2893" t="s">
        <v>13051</v>
      </c>
      <c r="AU2893">
        <v>0.4</v>
      </c>
      <c r="AV2893" t="s">
        <v>213</v>
      </c>
      <c r="AW2893" t="s">
        <v>73</v>
      </c>
    </row>
    <row r="2894" spans="1:50">
      <c r="A2894" s="1" t="s">
        <v>71</v>
      </c>
      <c r="B2894" t="s">
        <v>163</v>
      </c>
      <c r="C2894" t="s">
        <v>6104</v>
      </c>
      <c r="D2894" t="s">
        <v>3031</v>
      </c>
      <c r="F2894" t="s">
        <v>7727</v>
      </c>
      <c r="G2894" t="s">
        <v>9143</v>
      </c>
      <c r="H2894" t="s">
        <v>10719</v>
      </c>
      <c r="I2894" t="s">
        <v>1542</v>
      </c>
      <c r="J2894" t="s">
        <v>1646</v>
      </c>
      <c r="K2894">
        <v>10304</v>
      </c>
      <c r="L2894" t="s">
        <v>1670</v>
      </c>
      <c r="M2894" t="s">
        <v>1672</v>
      </c>
      <c r="N2894" t="s">
        <v>12730</v>
      </c>
      <c r="O2894" t="s">
        <v>1940</v>
      </c>
      <c r="P2894" t="s">
        <v>1960</v>
      </c>
      <c r="R2894" t="s">
        <v>51</v>
      </c>
      <c r="S2894" t="s">
        <v>1671</v>
      </c>
      <c r="U2894" t="s">
        <v>1972</v>
      </c>
      <c r="V2894" t="s">
        <v>1984</v>
      </c>
      <c r="W2894" t="s">
        <v>3031</v>
      </c>
      <c r="X2894">
        <v>430</v>
      </c>
      <c r="Y2894" t="s">
        <v>2010</v>
      </c>
      <c r="Z2894" t="s">
        <v>2012</v>
      </c>
      <c r="AB2894" t="s">
        <v>15050</v>
      </c>
      <c r="AD2894" t="s">
        <v>17459</v>
      </c>
      <c r="AE2894">
        <v>2</v>
      </c>
      <c r="AF2894" t="s">
        <v>2903</v>
      </c>
      <c r="AG2894" t="s">
        <v>1754</v>
      </c>
      <c r="AH2894" t="s">
        <v>13051</v>
      </c>
      <c r="AI2894">
        <v>1</v>
      </c>
      <c r="AJ2894">
        <v>1</v>
      </c>
      <c r="AK2894">
        <v>0</v>
      </c>
      <c r="AL2894" t="s">
        <v>2923</v>
      </c>
      <c r="AM2894" t="s">
        <v>2924</v>
      </c>
      <c r="AN2894" t="s">
        <v>2926</v>
      </c>
      <c r="AO2894" t="s">
        <v>13051</v>
      </c>
      <c r="AU2894">
        <v>3.4</v>
      </c>
      <c r="AV2894" t="s">
        <v>379</v>
      </c>
      <c r="AW2894" t="s">
        <v>71</v>
      </c>
      <c r="AX2894" t="s">
        <v>18685</v>
      </c>
    </row>
    <row r="2895" spans="1:50">
      <c r="A2895" s="1" t="s">
        <v>69</v>
      </c>
      <c r="B2895" t="s">
        <v>164</v>
      </c>
      <c r="C2895" t="s">
        <v>6105</v>
      </c>
      <c r="D2895" t="s">
        <v>187</v>
      </c>
      <c r="E2895" t="s">
        <v>171</v>
      </c>
      <c r="F2895" t="s">
        <v>7860</v>
      </c>
      <c r="G2895" t="s">
        <v>8020</v>
      </c>
      <c r="H2895" t="s">
        <v>10720</v>
      </c>
      <c r="I2895" t="s">
        <v>11452</v>
      </c>
      <c r="J2895" t="s">
        <v>1644</v>
      </c>
      <c r="K2895">
        <v>11231</v>
      </c>
      <c r="L2895" t="s">
        <v>1670</v>
      </c>
      <c r="M2895" t="s">
        <v>1670</v>
      </c>
      <c r="O2895" t="s">
        <v>1942</v>
      </c>
      <c r="P2895" t="s">
        <v>1959</v>
      </c>
      <c r="Q2895" t="s">
        <v>1968</v>
      </c>
      <c r="R2895" t="s">
        <v>50</v>
      </c>
      <c r="U2895" t="s">
        <v>1972</v>
      </c>
      <c r="W2895" t="s">
        <v>187</v>
      </c>
      <c r="X2895" t="s">
        <v>13051</v>
      </c>
      <c r="Y2895" t="s">
        <v>2009</v>
      </c>
      <c r="AA2895" t="s">
        <v>2031</v>
      </c>
      <c r="AB2895" t="s">
        <v>15051</v>
      </c>
      <c r="AC2895" t="s">
        <v>15316</v>
      </c>
      <c r="AD2895" t="s">
        <v>17460</v>
      </c>
      <c r="AE2895">
        <v>10</v>
      </c>
      <c r="AH2895" t="s">
        <v>13051</v>
      </c>
      <c r="AI2895">
        <v>4</v>
      </c>
      <c r="AJ2895">
        <v>1</v>
      </c>
      <c r="AK2895">
        <v>0</v>
      </c>
      <c r="AN2895" t="s">
        <v>2926</v>
      </c>
      <c r="AO2895" t="s">
        <v>13051</v>
      </c>
      <c r="AU2895">
        <v>1.1</v>
      </c>
      <c r="AV2895" t="s">
        <v>171</v>
      </c>
      <c r="AW2895" t="s">
        <v>69</v>
      </c>
    </row>
    <row r="2896" spans="1:50">
      <c r="A2896" s="1" t="s">
        <v>74</v>
      </c>
      <c r="B2896" t="s">
        <v>163</v>
      </c>
      <c r="C2896" t="s">
        <v>6106</v>
      </c>
      <c r="D2896" t="s">
        <v>328</v>
      </c>
      <c r="F2896" t="s">
        <v>427</v>
      </c>
      <c r="G2896" t="s">
        <v>9144</v>
      </c>
      <c r="H2896" t="s">
        <v>1131</v>
      </c>
      <c r="I2896" t="s">
        <v>1562</v>
      </c>
      <c r="J2896" t="s">
        <v>1641</v>
      </c>
      <c r="K2896">
        <v>10460</v>
      </c>
      <c r="L2896" t="s">
        <v>1670</v>
      </c>
      <c r="M2896" t="s">
        <v>1672</v>
      </c>
      <c r="N2896" t="s">
        <v>1691</v>
      </c>
      <c r="O2896" t="s">
        <v>1675</v>
      </c>
      <c r="P2896" t="s">
        <v>1959</v>
      </c>
      <c r="R2896" t="s">
        <v>50</v>
      </c>
      <c r="S2896" t="s">
        <v>1671</v>
      </c>
      <c r="U2896" t="s">
        <v>1972</v>
      </c>
      <c r="W2896" t="s">
        <v>1991</v>
      </c>
      <c r="X2896" t="s">
        <v>13051</v>
      </c>
      <c r="Y2896" t="s">
        <v>2006</v>
      </c>
      <c r="Z2896" t="s">
        <v>2020</v>
      </c>
      <c r="AB2896" t="s">
        <v>15052</v>
      </c>
      <c r="AD2896" t="s">
        <v>17461</v>
      </c>
      <c r="AE2896">
        <v>168</v>
      </c>
      <c r="AF2896" t="s">
        <v>2908</v>
      </c>
      <c r="AG2896" t="s">
        <v>2915</v>
      </c>
      <c r="AH2896">
        <v>3</v>
      </c>
      <c r="AI2896">
        <v>2</v>
      </c>
      <c r="AJ2896">
        <v>1</v>
      </c>
      <c r="AK2896">
        <v>0</v>
      </c>
      <c r="AN2896" t="s">
        <v>2926</v>
      </c>
      <c r="AO2896" t="s">
        <v>13051</v>
      </c>
      <c r="AU2896" t="s">
        <v>13051</v>
      </c>
      <c r="AW2896" t="s">
        <v>3046</v>
      </c>
      <c r="AX2896" t="s">
        <v>18685</v>
      </c>
    </row>
    <row r="2897" spans="1:50">
      <c r="A2897" s="1" t="s">
        <v>105</v>
      </c>
      <c r="B2897" t="s">
        <v>163</v>
      </c>
      <c r="C2897" t="s">
        <v>6107</v>
      </c>
      <c r="D2897" t="s">
        <v>279</v>
      </c>
      <c r="F2897" t="s">
        <v>7861</v>
      </c>
      <c r="G2897" t="s">
        <v>8652</v>
      </c>
      <c r="H2897" t="s">
        <v>10692</v>
      </c>
      <c r="I2897" t="s">
        <v>1520</v>
      </c>
      <c r="J2897" t="s">
        <v>1641</v>
      </c>
      <c r="K2897">
        <v>10453</v>
      </c>
      <c r="L2897" t="s">
        <v>1670</v>
      </c>
      <c r="M2897" t="s">
        <v>1670</v>
      </c>
      <c r="O2897" t="s">
        <v>1941</v>
      </c>
      <c r="P2897" t="s">
        <v>1959</v>
      </c>
      <c r="R2897" t="s">
        <v>50</v>
      </c>
      <c r="S2897" t="s">
        <v>1671</v>
      </c>
      <c r="U2897" t="s">
        <v>13033</v>
      </c>
      <c r="V2897" t="s">
        <v>1984</v>
      </c>
      <c r="W2897" t="s">
        <v>279</v>
      </c>
      <c r="X2897">
        <v>1220</v>
      </c>
      <c r="Y2897" t="s">
        <v>2006</v>
      </c>
      <c r="Z2897" t="s">
        <v>2020</v>
      </c>
      <c r="AB2897" t="s">
        <v>15053</v>
      </c>
      <c r="AC2897" t="s">
        <v>15317</v>
      </c>
      <c r="AD2897" t="s">
        <v>17462</v>
      </c>
      <c r="AE2897">
        <v>46</v>
      </c>
      <c r="AF2897" t="s">
        <v>2902</v>
      </c>
      <c r="AG2897" t="s">
        <v>2918</v>
      </c>
      <c r="AH2897">
        <v>4</v>
      </c>
      <c r="AI2897">
        <v>1</v>
      </c>
      <c r="AJ2897">
        <v>1</v>
      </c>
      <c r="AK2897">
        <v>0</v>
      </c>
      <c r="AN2897" t="s">
        <v>2927</v>
      </c>
      <c r="AO2897" t="s">
        <v>13051</v>
      </c>
      <c r="AU2897">
        <v>3.8</v>
      </c>
      <c r="AV2897" t="s">
        <v>326</v>
      </c>
      <c r="AW2897" t="s">
        <v>3047</v>
      </c>
    </row>
    <row r="2898" spans="1:50">
      <c r="A2898" s="1" t="s">
        <v>103</v>
      </c>
      <c r="B2898" t="s">
        <v>164</v>
      </c>
      <c r="C2898" t="s">
        <v>6108</v>
      </c>
      <c r="D2898" t="s">
        <v>209</v>
      </c>
      <c r="E2898" t="s">
        <v>268</v>
      </c>
      <c r="F2898" t="s">
        <v>7862</v>
      </c>
      <c r="G2898" t="s">
        <v>9145</v>
      </c>
      <c r="H2898" t="s">
        <v>10721</v>
      </c>
      <c r="I2898" t="s">
        <v>1506</v>
      </c>
      <c r="J2898" t="s">
        <v>1644</v>
      </c>
      <c r="K2898">
        <v>11233</v>
      </c>
      <c r="L2898" t="s">
        <v>1670</v>
      </c>
      <c r="M2898" t="s">
        <v>1670</v>
      </c>
      <c r="N2898" t="s">
        <v>12731</v>
      </c>
      <c r="O2898" t="s">
        <v>1936</v>
      </c>
      <c r="P2898" t="s">
        <v>1960</v>
      </c>
      <c r="Q2898" t="s">
        <v>1967</v>
      </c>
      <c r="R2898" t="s">
        <v>50</v>
      </c>
      <c r="U2898" t="s">
        <v>1972</v>
      </c>
      <c r="W2898" t="s">
        <v>262</v>
      </c>
      <c r="X2898">
        <v>736</v>
      </c>
      <c r="Y2898" t="s">
        <v>2009</v>
      </c>
      <c r="Z2898" t="s">
        <v>2014</v>
      </c>
      <c r="AA2898" t="s">
        <v>2032</v>
      </c>
      <c r="AB2898" t="s">
        <v>15054</v>
      </c>
      <c r="AC2898" t="s">
        <v>15318</v>
      </c>
      <c r="AD2898" t="s">
        <v>17463</v>
      </c>
      <c r="AE2898">
        <v>7</v>
      </c>
      <c r="AG2898" t="s">
        <v>2916</v>
      </c>
      <c r="AH2898">
        <v>1</v>
      </c>
      <c r="AI2898">
        <v>1</v>
      </c>
      <c r="AJ2898">
        <v>1</v>
      </c>
      <c r="AK2898">
        <v>0</v>
      </c>
      <c r="AN2898" t="s">
        <v>2926</v>
      </c>
      <c r="AO2898" t="s">
        <v>13051</v>
      </c>
      <c r="AU2898">
        <v>35.8</v>
      </c>
      <c r="AV2898" t="s">
        <v>268</v>
      </c>
      <c r="AW2898" t="s">
        <v>3074</v>
      </c>
      <c r="AX2898" t="s">
        <v>18685</v>
      </c>
    </row>
    <row r="2899" spans="1:50">
      <c r="A2899" s="1" t="s">
        <v>103</v>
      </c>
      <c r="B2899" t="s">
        <v>164</v>
      </c>
      <c r="C2899" t="s">
        <v>6109</v>
      </c>
      <c r="D2899" t="s">
        <v>209</v>
      </c>
      <c r="E2899" t="s">
        <v>268</v>
      </c>
      <c r="F2899" t="s">
        <v>7862</v>
      </c>
      <c r="G2899" t="s">
        <v>9145</v>
      </c>
      <c r="H2899" t="s">
        <v>10721</v>
      </c>
      <c r="I2899" t="s">
        <v>1506</v>
      </c>
      <c r="J2899" t="s">
        <v>1644</v>
      </c>
      <c r="K2899">
        <v>11233</v>
      </c>
      <c r="L2899" t="s">
        <v>1670</v>
      </c>
      <c r="M2899" t="s">
        <v>1670</v>
      </c>
      <c r="N2899" t="s">
        <v>12731</v>
      </c>
      <c r="O2899" t="s">
        <v>1936</v>
      </c>
      <c r="P2899" t="s">
        <v>1960</v>
      </c>
      <c r="Q2899" t="s">
        <v>1967</v>
      </c>
      <c r="R2899" t="s">
        <v>50</v>
      </c>
      <c r="U2899" t="s">
        <v>1974</v>
      </c>
      <c r="W2899" t="s">
        <v>209</v>
      </c>
      <c r="X2899">
        <v>736</v>
      </c>
      <c r="Y2899" t="s">
        <v>2009</v>
      </c>
      <c r="Z2899" t="s">
        <v>2014</v>
      </c>
      <c r="AA2899" t="s">
        <v>2039</v>
      </c>
      <c r="AB2899" t="s">
        <v>15054</v>
      </c>
      <c r="AC2899" t="s">
        <v>15318</v>
      </c>
      <c r="AD2899" t="s">
        <v>17463</v>
      </c>
      <c r="AE2899" t="s">
        <v>13051</v>
      </c>
      <c r="AG2899" t="s">
        <v>2916</v>
      </c>
      <c r="AH2899">
        <v>1</v>
      </c>
      <c r="AI2899">
        <v>1</v>
      </c>
      <c r="AJ2899">
        <v>1</v>
      </c>
      <c r="AK2899">
        <v>0</v>
      </c>
      <c r="AN2899" t="s">
        <v>2926</v>
      </c>
      <c r="AO2899" t="s">
        <v>13051</v>
      </c>
      <c r="AU2899">
        <v>0.45</v>
      </c>
      <c r="AV2899" t="s">
        <v>268</v>
      </c>
      <c r="AW2899" t="s">
        <v>3074</v>
      </c>
      <c r="AX2899" t="s">
        <v>18685</v>
      </c>
    </row>
    <row r="2900" spans="1:50">
      <c r="A2900" s="1" t="s">
        <v>3193</v>
      </c>
      <c r="B2900" t="s">
        <v>164</v>
      </c>
      <c r="C2900" t="s">
        <v>6110</v>
      </c>
      <c r="D2900" t="s">
        <v>288</v>
      </c>
      <c r="E2900" t="s">
        <v>373</v>
      </c>
      <c r="F2900" t="s">
        <v>7862</v>
      </c>
      <c r="G2900" t="s">
        <v>9146</v>
      </c>
      <c r="H2900" t="s">
        <v>10722</v>
      </c>
      <c r="I2900" t="s">
        <v>11034</v>
      </c>
      <c r="J2900" t="s">
        <v>1645</v>
      </c>
      <c r="K2900">
        <v>11691</v>
      </c>
      <c r="L2900" t="s">
        <v>1670</v>
      </c>
      <c r="M2900" t="s">
        <v>1670</v>
      </c>
      <c r="N2900" t="s">
        <v>12732</v>
      </c>
      <c r="O2900" t="s">
        <v>1954</v>
      </c>
      <c r="P2900" t="s">
        <v>1960</v>
      </c>
      <c r="Q2900" t="s">
        <v>1969</v>
      </c>
      <c r="R2900" t="s">
        <v>50</v>
      </c>
      <c r="S2900" t="s">
        <v>1671</v>
      </c>
      <c r="U2900" t="s">
        <v>1972</v>
      </c>
      <c r="V2900" t="s">
        <v>1984</v>
      </c>
      <c r="W2900" t="s">
        <v>288</v>
      </c>
      <c r="X2900">
        <v>600</v>
      </c>
      <c r="Y2900" t="s">
        <v>2007</v>
      </c>
      <c r="Z2900" t="s">
        <v>2014</v>
      </c>
      <c r="AA2900" t="s">
        <v>2036</v>
      </c>
      <c r="AB2900" t="s">
        <v>15055</v>
      </c>
      <c r="AD2900" t="s">
        <v>17464</v>
      </c>
      <c r="AE2900">
        <v>2</v>
      </c>
      <c r="AF2900" t="s">
        <v>2903</v>
      </c>
      <c r="AG2900" t="s">
        <v>1754</v>
      </c>
      <c r="AH2900">
        <v>1</v>
      </c>
      <c r="AI2900">
        <v>1</v>
      </c>
      <c r="AJ2900">
        <v>1</v>
      </c>
      <c r="AK2900">
        <v>0</v>
      </c>
      <c r="AN2900" t="s">
        <v>2926</v>
      </c>
      <c r="AO2900" t="s">
        <v>13051</v>
      </c>
      <c r="AQ2900" t="s">
        <v>2976</v>
      </c>
      <c r="AR2900" t="s">
        <v>2017</v>
      </c>
      <c r="AS2900" t="s">
        <v>2992</v>
      </c>
      <c r="AT2900" t="s">
        <v>3020</v>
      </c>
      <c r="AU2900">
        <v>5.5</v>
      </c>
      <c r="AV2900" t="s">
        <v>196</v>
      </c>
      <c r="AW2900" t="s">
        <v>85</v>
      </c>
    </row>
    <row r="2901" spans="1:50">
      <c r="A2901" s="1" t="s">
        <v>74</v>
      </c>
      <c r="B2901" t="s">
        <v>164</v>
      </c>
      <c r="C2901" t="s">
        <v>6111</v>
      </c>
      <c r="D2901" t="s">
        <v>2002</v>
      </c>
      <c r="E2901" t="s">
        <v>174</v>
      </c>
      <c r="F2901" t="s">
        <v>427</v>
      </c>
      <c r="G2901" t="s">
        <v>9147</v>
      </c>
      <c r="H2901" t="s">
        <v>10723</v>
      </c>
      <c r="I2901" t="s">
        <v>1487</v>
      </c>
      <c r="J2901" t="s">
        <v>1641</v>
      </c>
      <c r="K2901">
        <v>10453</v>
      </c>
      <c r="L2901" t="s">
        <v>1670</v>
      </c>
      <c r="M2901" t="s">
        <v>1670</v>
      </c>
      <c r="N2901" t="s">
        <v>12733</v>
      </c>
      <c r="O2901" t="s">
        <v>1936</v>
      </c>
      <c r="P2901" t="s">
        <v>1960</v>
      </c>
      <c r="Q2901" t="s">
        <v>1969</v>
      </c>
      <c r="R2901" t="s">
        <v>50</v>
      </c>
      <c r="S2901" t="s">
        <v>1671</v>
      </c>
      <c r="U2901" t="s">
        <v>1972</v>
      </c>
      <c r="W2901" t="s">
        <v>1990</v>
      </c>
      <c r="X2901">
        <v>1286</v>
      </c>
      <c r="Y2901" t="s">
        <v>2006</v>
      </c>
      <c r="Z2901" t="s">
        <v>2014</v>
      </c>
      <c r="AA2901" t="s">
        <v>2032</v>
      </c>
      <c r="AB2901" t="s">
        <v>15056</v>
      </c>
      <c r="AC2901" t="s">
        <v>15319</v>
      </c>
      <c r="AD2901" t="s">
        <v>17465</v>
      </c>
      <c r="AE2901" t="s">
        <v>13051</v>
      </c>
      <c r="AF2901" t="s">
        <v>2904</v>
      </c>
      <c r="AG2901" t="s">
        <v>2916</v>
      </c>
      <c r="AH2901">
        <v>3</v>
      </c>
      <c r="AI2901">
        <v>1</v>
      </c>
      <c r="AJ2901">
        <v>1</v>
      </c>
      <c r="AK2901">
        <v>0</v>
      </c>
      <c r="AN2901" t="s">
        <v>2926</v>
      </c>
      <c r="AO2901" t="s">
        <v>13051</v>
      </c>
      <c r="AP2901" t="s">
        <v>18387</v>
      </c>
      <c r="AU2901">
        <v>13.7</v>
      </c>
      <c r="AV2901" t="s">
        <v>243</v>
      </c>
      <c r="AW2901" t="s">
        <v>3054</v>
      </c>
    </row>
    <row r="2902" spans="1:50">
      <c r="A2902" s="1" t="s">
        <v>88</v>
      </c>
      <c r="B2902" t="s">
        <v>164</v>
      </c>
      <c r="C2902" t="s">
        <v>6112</v>
      </c>
      <c r="D2902" t="s">
        <v>6197</v>
      </c>
      <c r="E2902" t="s">
        <v>359</v>
      </c>
      <c r="F2902" t="s">
        <v>7863</v>
      </c>
      <c r="G2902" t="s">
        <v>9148</v>
      </c>
      <c r="H2902" t="s">
        <v>10724</v>
      </c>
      <c r="I2902" t="s">
        <v>1520</v>
      </c>
      <c r="J2902" t="s">
        <v>1644</v>
      </c>
      <c r="K2902">
        <v>11208</v>
      </c>
      <c r="L2902" t="s">
        <v>1670</v>
      </c>
      <c r="M2902" t="s">
        <v>1670</v>
      </c>
      <c r="N2902" t="s">
        <v>12734</v>
      </c>
      <c r="O2902" t="s">
        <v>1940</v>
      </c>
      <c r="P2902" t="s">
        <v>1960</v>
      </c>
      <c r="Q2902" t="s">
        <v>1966</v>
      </c>
      <c r="R2902" t="s">
        <v>50</v>
      </c>
      <c r="S2902" t="s">
        <v>1671</v>
      </c>
      <c r="U2902" t="s">
        <v>1972</v>
      </c>
      <c r="W2902" t="s">
        <v>1992</v>
      </c>
      <c r="X2902">
        <v>1254</v>
      </c>
      <c r="Y2902" t="s">
        <v>2009</v>
      </c>
      <c r="Z2902" t="s">
        <v>2019</v>
      </c>
      <c r="AA2902" t="s">
        <v>2029</v>
      </c>
      <c r="AB2902" t="s">
        <v>15057</v>
      </c>
      <c r="AC2902" t="s">
        <v>15320</v>
      </c>
      <c r="AD2902" t="s">
        <v>17466</v>
      </c>
      <c r="AE2902">
        <v>3</v>
      </c>
      <c r="AF2902" t="s">
        <v>2904</v>
      </c>
      <c r="AG2902" t="s">
        <v>2915</v>
      </c>
      <c r="AH2902">
        <v>10</v>
      </c>
      <c r="AI2902">
        <v>2</v>
      </c>
      <c r="AJ2902">
        <v>1</v>
      </c>
      <c r="AK2902">
        <v>0</v>
      </c>
      <c r="AN2902" t="s">
        <v>2926</v>
      </c>
      <c r="AO2902" t="s">
        <v>13051</v>
      </c>
      <c r="AU2902">
        <v>13.86</v>
      </c>
      <c r="AV2902" t="s">
        <v>407</v>
      </c>
      <c r="AW2902" t="s">
        <v>3067</v>
      </c>
    </row>
    <row r="2903" spans="1:50">
      <c r="A2903" s="1" t="s">
        <v>119</v>
      </c>
      <c r="B2903" t="s">
        <v>163</v>
      </c>
      <c r="C2903" t="s">
        <v>6113</v>
      </c>
      <c r="D2903" t="s">
        <v>257</v>
      </c>
      <c r="F2903" t="s">
        <v>746</v>
      </c>
      <c r="G2903" t="s">
        <v>9149</v>
      </c>
      <c r="H2903" t="s">
        <v>10725</v>
      </c>
      <c r="I2903" t="s">
        <v>1522</v>
      </c>
      <c r="J2903" t="s">
        <v>1644</v>
      </c>
      <c r="K2903">
        <v>11239</v>
      </c>
      <c r="L2903" t="s">
        <v>1670</v>
      </c>
      <c r="M2903" t="s">
        <v>1670</v>
      </c>
      <c r="N2903" t="s">
        <v>12735</v>
      </c>
      <c r="O2903" t="s">
        <v>1936</v>
      </c>
      <c r="P2903" t="s">
        <v>1960</v>
      </c>
      <c r="R2903" t="s">
        <v>50</v>
      </c>
      <c r="U2903" t="s">
        <v>1972</v>
      </c>
      <c r="W2903" t="s">
        <v>266</v>
      </c>
      <c r="X2903">
        <v>3260</v>
      </c>
      <c r="Y2903" t="s">
        <v>2009</v>
      </c>
      <c r="Z2903" t="s">
        <v>2014</v>
      </c>
      <c r="AB2903" t="s">
        <v>15058</v>
      </c>
      <c r="AC2903" t="s">
        <v>15321</v>
      </c>
      <c r="AD2903" t="s">
        <v>17467</v>
      </c>
      <c r="AE2903">
        <v>84</v>
      </c>
      <c r="AG2903" t="s">
        <v>2017</v>
      </c>
      <c r="AH2903">
        <v>43</v>
      </c>
      <c r="AI2903">
        <v>1</v>
      </c>
      <c r="AJ2903">
        <v>1</v>
      </c>
      <c r="AK2903">
        <v>0</v>
      </c>
      <c r="AN2903" t="s">
        <v>2926</v>
      </c>
      <c r="AO2903" t="s">
        <v>13051</v>
      </c>
      <c r="AU2903">
        <v>9.5</v>
      </c>
      <c r="AV2903" t="s">
        <v>326</v>
      </c>
      <c r="AW2903" t="s">
        <v>3074</v>
      </c>
    </row>
    <row r="2904" spans="1:50">
      <c r="A2904" s="1" t="s">
        <v>65</v>
      </c>
      <c r="B2904" t="s">
        <v>163</v>
      </c>
      <c r="C2904" t="s">
        <v>6114</v>
      </c>
      <c r="D2904" t="s">
        <v>6217</v>
      </c>
      <c r="F2904" t="s">
        <v>7860</v>
      </c>
      <c r="G2904" t="s">
        <v>8020</v>
      </c>
      <c r="H2904" t="s">
        <v>10720</v>
      </c>
      <c r="I2904" t="s">
        <v>11452</v>
      </c>
      <c r="J2904" t="s">
        <v>1644</v>
      </c>
      <c r="K2904">
        <v>11231</v>
      </c>
      <c r="L2904" t="s">
        <v>1670</v>
      </c>
      <c r="M2904" t="s">
        <v>1670</v>
      </c>
      <c r="O2904" t="s">
        <v>1936</v>
      </c>
      <c r="P2904" t="s">
        <v>1960</v>
      </c>
      <c r="R2904" t="s">
        <v>50</v>
      </c>
      <c r="S2904" t="s">
        <v>1671</v>
      </c>
      <c r="U2904" t="s">
        <v>1972</v>
      </c>
      <c r="W2904" t="s">
        <v>1992</v>
      </c>
      <c r="X2904" t="s">
        <v>13051</v>
      </c>
      <c r="Y2904" t="s">
        <v>2009</v>
      </c>
      <c r="AB2904" t="s">
        <v>15051</v>
      </c>
      <c r="AC2904" t="s">
        <v>15316</v>
      </c>
      <c r="AD2904" t="s">
        <v>17460</v>
      </c>
      <c r="AE2904">
        <v>10</v>
      </c>
      <c r="AH2904" t="s">
        <v>13051</v>
      </c>
      <c r="AI2904">
        <v>4</v>
      </c>
      <c r="AJ2904">
        <v>1</v>
      </c>
      <c r="AK2904">
        <v>0</v>
      </c>
      <c r="AN2904" t="s">
        <v>2926</v>
      </c>
      <c r="AO2904" t="s">
        <v>13051</v>
      </c>
      <c r="AP2904" t="s">
        <v>18388</v>
      </c>
      <c r="AU2904">
        <v>27.8</v>
      </c>
      <c r="AV2904" t="s">
        <v>253</v>
      </c>
      <c r="AW2904" t="s">
        <v>69</v>
      </c>
    </row>
    <row r="2905" spans="1:50">
      <c r="A2905" s="1" t="s">
        <v>136</v>
      </c>
      <c r="B2905" t="s">
        <v>163</v>
      </c>
      <c r="C2905" t="s">
        <v>6115</v>
      </c>
      <c r="D2905" t="s">
        <v>311</v>
      </c>
      <c r="F2905" t="s">
        <v>421</v>
      </c>
      <c r="G2905" t="s">
        <v>778</v>
      </c>
      <c r="H2905" t="s">
        <v>1117</v>
      </c>
      <c r="I2905" t="s">
        <v>1480</v>
      </c>
      <c r="J2905" t="s">
        <v>1644</v>
      </c>
      <c r="K2905">
        <v>11221</v>
      </c>
      <c r="L2905" t="s">
        <v>1670</v>
      </c>
      <c r="M2905" t="s">
        <v>1670</v>
      </c>
      <c r="N2905" t="s">
        <v>12240</v>
      </c>
      <c r="O2905" t="s">
        <v>1939</v>
      </c>
      <c r="P2905" t="s">
        <v>1960</v>
      </c>
      <c r="R2905" t="s">
        <v>50</v>
      </c>
      <c r="S2905" t="s">
        <v>1670</v>
      </c>
      <c r="U2905" t="s">
        <v>1972</v>
      </c>
      <c r="W2905" t="s">
        <v>311</v>
      </c>
      <c r="X2905" t="s">
        <v>13051</v>
      </c>
      <c r="Y2905" t="s">
        <v>2009</v>
      </c>
      <c r="Z2905" t="s">
        <v>2020</v>
      </c>
      <c r="AB2905" t="s">
        <v>2056</v>
      </c>
      <c r="AD2905" t="s">
        <v>2482</v>
      </c>
      <c r="AE2905">
        <v>7</v>
      </c>
      <c r="AH2905">
        <v>13</v>
      </c>
      <c r="AI2905">
        <v>1</v>
      </c>
      <c r="AJ2905">
        <v>1</v>
      </c>
      <c r="AK2905">
        <v>0</v>
      </c>
      <c r="AN2905" t="s">
        <v>2926</v>
      </c>
      <c r="AO2905" t="s">
        <v>13051</v>
      </c>
      <c r="AU2905">
        <v>26.2</v>
      </c>
      <c r="AV2905" t="s">
        <v>195</v>
      </c>
      <c r="AW2905" t="s">
        <v>3063</v>
      </c>
    </row>
    <row r="2906" spans="1:50">
      <c r="A2906" s="1" t="s">
        <v>124</v>
      </c>
      <c r="B2906" t="s">
        <v>163</v>
      </c>
      <c r="C2906" t="s">
        <v>6116</v>
      </c>
      <c r="D2906" t="s">
        <v>174</v>
      </c>
      <c r="F2906" t="s">
        <v>492</v>
      </c>
      <c r="G2906" t="s">
        <v>9150</v>
      </c>
      <c r="H2906" t="s">
        <v>10726</v>
      </c>
      <c r="J2906" t="s">
        <v>1644</v>
      </c>
      <c r="K2906">
        <v>11210</v>
      </c>
      <c r="L2906" t="s">
        <v>1670</v>
      </c>
      <c r="M2906" t="s">
        <v>1670</v>
      </c>
      <c r="N2906" t="s">
        <v>12736</v>
      </c>
      <c r="O2906" t="s">
        <v>1936</v>
      </c>
      <c r="P2906" t="s">
        <v>1960</v>
      </c>
      <c r="R2906" t="s">
        <v>50</v>
      </c>
      <c r="S2906" t="s">
        <v>1671</v>
      </c>
      <c r="U2906" t="s">
        <v>1972</v>
      </c>
      <c r="W2906" t="s">
        <v>174</v>
      </c>
      <c r="X2906" t="s">
        <v>13051</v>
      </c>
      <c r="Y2906" t="s">
        <v>2009</v>
      </c>
      <c r="AB2906" t="s">
        <v>13337</v>
      </c>
      <c r="AD2906" t="s">
        <v>17468</v>
      </c>
      <c r="AE2906" t="s">
        <v>13051</v>
      </c>
      <c r="AF2906" t="s">
        <v>2903</v>
      </c>
      <c r="AH2906">
        <v>6</v>
      </c>
      <c r="AI2906">
        <v>1</v>
      </c>
      <c r="AJ2906">
        <v>1</v>
      </c>
      <c r="AK2906">
        <v>0</v>
      </c>
      <c r="AO2906" t="s">
        <v>13051</v>
      </c>
      <c r="AU2906">
        <v>61</v>
      </c>
      <c r="AV2906" t="s">
        <v>3036</v>
      </c>
      <c r="AW2906" t="s">
        <v>158</v>
      </c>
    </row>
    <row r="2907" spans="1:50">
      <c r="A2907" s="1" t="s">
        <v>119</v>
      </c>
      <c r="B2907" t="s">
        <v>163</v>
      </c>
      <c r="C2907" t="s">
        <v>6117</v>
      </c>
      <c r="D2907" t="s">
        <v>230</v>
      </c>
      <c r="F2907" t="s">
        <v>7864</v>
      </c>
      <c r="G2907" t="s">
        <v>820</v>
      </c>
      <c r="H2907" t="s">
        <v>10727</v>
      </c>
      <c r="I2907">
        <v>413</v>
      </c>
      <c r="J2907" t="s">
        <v>1644</v>
      </c>
      <c r="K2907">
        <v>11207</v>
      </c>
      <c r="L2907" t="s">
        <v>1670</v>
      </c>
      <c r="M2907" t="s">
        <v>1672</v>
      </c>
      <c r="N2907" t="s">
        <v>12737</v>
      </c>
      <c r="O2907" t="s">
        <v>1936</v>
      </c>
      <c r="P2907" t="s">
        <v>1960</v>
      </c>
      <c r="R2907" t="s">
        <v>50</v>
      </c>
      <c r="S2907" t="s">
        <v>1671</v>
      </c>
      <c r="U2907" t="s">
        <v>1972</v>
      </c>
      <c r="V2907" t="s">
        <v>1984</v>
      </c>
      <c r="W2907" t="s">
        <v>249</v>
      </c>
      <c r="X2907">
        <v>906</v>
      </c>
      <c r="Y2907" t="s">
        <v>2009</v>
      </c>
      <c r="AB2907" t="s">
        <v>15059</v>
      </c>
      <c r="AD2907" t="s">
        <v>17469</v>
      </c>
      <c r="AE2907">
        <v>98</v>
      </c>
      <c r="AH2907">
        <v>8</v>
      </c>
      <c r="AI2907">
        <v>1</v>
      </c>
      <c r="AJ2907">
        <v>1</v>
      </c>
      <c r="AK2907">
        <v>0</v>
      </c>
      <c r="AN2907" t="s">
        <v>2926</v>
      </c>
      <c r="AO2907" t="s">
        <v>13051</v>
      </c>
      <c r="AU2907">
        <v>5.1</v>
      </c>
      <c r="AV2907" t="s">
        <v>397</v>
      </c>
      <c r="AW2907" t="s">
        <v>3059</v>
      </c>
      <c r="AX2907" t="s">
        <v>18685</v>
      </c>
    </row>
    <row r="2908" spans="1:50">
      <c r="A2908" s="1" t="s">
        <v>74</v>
      </c>
      <c r="B2908" t="s">
        <v>163</v>
      </c>
      <c r="C2908" t="s">
        <v>6118</v>
      </c>
      <c r="D2908" t="s">
        <v>306</v>
      </c>
      <c r="F2908" t="s">
        <v>427</v>
      </c>
      <c r="G2908" t="s">
        <v>9144</v>
      </c>
      <c r="H2908" t="s">
        <v>1131</v>
      </c>
      <c r="I2908" t="s">
        <v>1562</v>
      </c>
      <c r="J2908" t="s">
        <v>1641</v>
      </c>
      <c r="K2908">
        <v>10460</v>
      </c>
      <c r="L2908" t="s">
        <v>1670</v>
      </c>
      <c r="M2908" t="s">
        <v>1670</v>
      </c>
      <c r="N2908" t="s">
        <v>1795</v>
      </c>
      <c r="O2908" t="s">
        <v>1939</v>
      </c>
      <c r="P2908" t="s">
        <v>1960</v>
      </c>
      <c r="R2908" t="s">
        <v>50</v>
      </c>
      <c r="S2908" t="s">
        <v>1670</v>
      </c>
      <c r="U2908" t="s">
        <v>1972</v>
      </c>
      <c r="W2908" t="s">
        <v>283</v>
      </c>
      <c r="X2908" t="s">
        <v>13051</v>
      </c>
      <c r="Y2908" t="s">
        <v>2006</v>
      </c>
      <c r="Z2908" t="s">
        <v>2015</v>
      </c>
      <c r="AB2908" t="s">
        <v>15052</v>
      </c>
      <c r="AD2908" t="s">
        <v>17461</v>
      </c>
      <c r="AE2908">
        <v>168</v>
      </c>
      <c r="AF2908" t="s">
        <v>2908</v>
      </c>
      <c r="AG2908" t="s">
        <v>2915</v>
      </c>
      <c r="AH2908">
        <v>3</v>
      </c>
      <c r="AI2908">
        <v>2</v>
      </c>
      <c r="AJ2908">
        <v>1</v>
      </c>
      <c r="AK2908">
        <v>0</v>
      </c>
      <c r="AN2908" t="s">
        <v>2926</v>
      </c>
      <c r="AO2908" t="s">
        <v>13051</v>
      </c>
      <c r="AU2908" t="s">
        <v>13051</v>
      </c>
      <c r="AW2908" t="s">
        <v>3046</v>
      </c>
    </row>
    <row r="2909" spans="1:50">
      <c r="A2909" s="1" t="s">
        <v>142</v>
      </c>
      <c r="B2909" t="s">
        <v>163</v>
      </c>
      <c r="C2909" t="s">
        <v>6119</v>
      </c>
      <c r="D2909" t="s">
        <v>330</v>
      </c>
      <c r="F2909" t="s">
        <v>7215</v>
      </c>
      <c r="G2909" t="s">
        <v>7179</v>
      </c>
      <c r="H2909" t="s">
        <v>10728</v>
      </c>
      <c r="I2909" t="s">
        <v>1575</v>
      </c>
      <c r="J2909" t="s">
        <v>1641</v>
      </c>
      <c r="K2909">
        <v>10458</v>
      </c>
      <c r="L2909" t="s">
        <v>1670</v>
      </c>
      <c r="M2909" t="s">
        <v>1670</v>
      </c>
      <c r="N2909" t="s">
        <v>12738</v>
      </c>
      <c r="O2909" t="s">
        <v>1936</v>
      </c>
      <c r="P2909" t="s">
        <v>1960</v>
      </c>
      <c r="R2909" t="s">
        <v>50</v>
      </c>
      <c r="U2909" t="s">
        <v>1972</v>
      </c>
      <c r="V2909" t="s">
        <v>1984</v>
      </c>
      <c r="W2909" t="s">
        <v>330</v>
      </c>
      <c r="X2909">
        <v>972</v>
      </c>
      <c r="Y2909" t="s">
        <v>2006</v>
      </c>
      <c r="Z2909" t="s">
        <v>2011</v>
      </c>
      <c r="AB2909" t="s">
        <v>15060</v>
      </c>
      <c r="AD2909" t="s">
        <v>17470</v>
      </c>
      <c r="AE2909" t="s">
        <v>13051</v>
      </c>
      <c r="AF2909" t="s">
        <v>2902</v>
      </c>
      <c r="AG2909" t="s">
        <v>2918</v>
      </c>
      <c r="AH2909">
        <v>30</v>
      </c>
      <c r="AI2909">
        <v>1</v>
      </c>
      <c r="AJ2909">
        <v>1</v>
      </c>
      <c r="AK2909">
        <v>0</v>
      </c>
      <c r="AN2909" t="s">
        <v>2926</v>
      </c>
      <c r="AO2909" t="s">
        <v>13051</v>
      </c>
      <c r="AU2909">
        <v>45.8</v>
      </c>
      <c r="AV2909" t="s">
        <v>405</v>
      </c>
      <c r="AW2909" t="s">
        <v>3082</v>
      </c>
    </row>
    <row r="2910" spans="1:50">
      <c r="A2910" s="1" t="s">
        <v>105</v>
      </c>
      <c r="B2910" t="s">
        <v>163</v>
      </c>
      <c r="C2910" t="s">
        <v>6120</v>
      </c>
      <c r="D2910" t="s">
        <v>200</v>
      </c>
      <c r="F2910" t="s">
        <v>7861</v>
      </c>
      <c r="G2910" t="s">
        <v>8652</v>
      </c>
      <c r="H2910" t="s">
        <v>10692</v>
      </c>
      <c r="I2910" t="s">
        <v>1520</v>
      </c>
      <c r="J2910" t="s">
        <v>1641</v>
      </c>
      <c r="K2910">
        <v>10453</v>
      </c>
      <c r="L2910" t="s">
        <v>1670</v>
      </c>
      <c r="M2910" t="s">
        <v>1670</v>
      </c>
      <c r="O2910" t="s">
        <v>1939</v>
      </c>
      <c r="P2910" t="s">
        <v>1960</v>
      </c>
      <c r="R2910" t="s">
        <v>50</v>
      </c>
      <c r="S2910" t="s">
        <v>1671</v>
      </c>
      <c r="U2910" t="s">
        <v>1972</v>
      </c>
      <c r="V2910" t="s">
        <v>1984</v>
      </c>
      <c r="W2910" t="s">
        <v>382</v>
      </c>
      <c r="X2910">
        <v>1220</v>
      </c>
      <c r="Y2910" t="s">
        <v>2006</v>
      </c>
      <c r="Z2910" t="s">
        <v>2020</v>
      </c>
      <c r="AB2910" t="s">
        <v>15053</v>
      </c>
      <c r="AC2910" t="s">
        <v>15317</v>
      </c>
      <c r="AD2910" t="s">
        <v>17462</v>
      </c>
      <c r="AE2910">
        <v>46</v>
      </c>
      <c r="AF2910" t="s">
        <v>2902</v>
      </c>
      <c r="AG2910" t="s">
        <v>2918</v>
      </c>
      <c r="AH2910">
        <v>4</v>
      </c>
      <c r="AI2910">
        <v>1</v>
      </c>
      <c r="AJ2910">
        <v>1</v>
      </c>
      <c r="AK2910">
        <v>0</v>
      </c>
      <c r="AN2910" t="s">
        <v>2927</v>
      </c>
      <c r="AO2910" t="s">
        <v>13051</v>
      </c>
      <c r="AU2910">
        <v>67.8</v>
      </c>
      <c r="AV2910" t="s">
        <v>401</v>
      </c>
      <c r="AW2910" t="s">
        <v>3047</v>
      </c>
    </row>
    <row r="2911" spans="1:50">
      <c r="A2911" s="1" t="s">
        <v>126</v>
      </c>
      <c r="B2911" t="s">
        <v>163</v>
      </c>
      <c r="C2911" t="s">
        <v>6121</v>
      </c>
      <c r="D2911" t="s">
        <v>245</v>
      </c>
      <c r="F2911" t="s">
        <v>438</v>
      </c>
      <c r="G2911" t="s">
        <v>9151</v>
      </c>
      <c r="H2911" t="s">
        <v>9627</v>
      </c>
      <c r="I2911" t="s">
        <v>11102</v>
      </c>
      <c r="J2911" t="s">
        <v>1641</v>
      </c>
      <c r="K2911">
        <v>10451</v>
      </c>
      <c r="L2911" t="s">
        <v>1670</v>
      </c>
      <c r="M2911" t="s">
        <v>1670</v>
      </c>
      <c r="N2911" t="s">
        <v>11981</v>
      </c>
      <c r="O2911" t="s">
        <v>1939</v>
      </c>
      <c r="P2911" t="s">
        <v>1960</v>
      </c>
      <c r="R2911" t="s">
        <v>50</v>
      </c>
      <c r="S2911" t="s">
        <v>1670</v>
      </c>
      <c r="U2911" t="s">
        <v>1972</v>
      </c>
      <c r="W2911" t="s">
        <v>359</v>
      </c>
      <c r="X2911">
        <v>1000</v>
      </c>
      <c r="Y2911" t="s">
        <v>2006</v>
      </c>
      <c r="Z2911" t="s">
        <v>2015</v>
      </c>
      <c r="AB2911" t="s">
        <v>15061</v>
      </c>
      <c r="AE2911" t="s">
        <v>13051</v>
      </c>
      <c r="AF2911" t="s">
        <v>2902</v>
      </c>
      <c r="AG2911" t="s">
        <v>2917</v>
      </c>
      <c r="AH2911">
        <v>30</v>
      </c>
      <c r="AI2911">
        <v>2</v>
      </c>
      <c r="AJ2911">
        <v>1</v>
      </c>
      <c r="AK2911">
        <v>0</v>
      </c>
      <c r="AN2911" t="s">
        <v>2927</v>
      </c>
      <c r="AO2911" t="s">
        <v>13051</v>
      </c>
      <c r="AP2911" t="s">
        <v>18389</v>
      </c>
      <c r="AU2911">
        <v>5.5</v>
      </c>
      <c r="AV2911" t="s">
        <v>285</v>
      </c>
      <c r="AW2911" t="s">
        <v>3047</v>
      </c>
    </row>
    <row r="2912" spans="1:50">
      <c r="A2912" s="1" t="s">
        <v>138</v>
      </c>
      <c r="B2912" t="s">
        <v>163</v>
      </c>
      <c r="C2912" t="s">
        <v>6122</v>
      </c>
      <c r="D2912" t="s">
        <v>255</v>
      </c>
      <c r="F2912" t="s">
        <v>7865</v>
      </c>
      <c r="G2912" t="s">
        <v>9152</v>
      </c>
      <c r="H2912" t="s">
        <v>10729</v>
      </c>
      <c r="I2912" t="s">
        <v>1517</v>
      </c>
      <c r="J2912" t="s">
        <v>1646</v>
      </c>
      <c r="K2912">
        <v>10304</v>
      </c>
      <c r="L2912" t="s">
        <v>1670</v>
      </c>
      <c r="M2912" t="s">
        <v>1670</v>
      </c>
      <c r="N2912" t="s">
        <v>12739</v>
      </c>
      <c r="O2912" t="s">
        <v>1936</v>
      </c>
      <c r="P2912" t="s">
        <v>1960</v>
      </c>
      <c r="R2912" t="s">
        <v>50</v>
      </c>
      <c r="S2912" t="s">
        <v>1671</v>
      </c>
      <c r="U2912" t="s">
        <v>1973</v>
      </c>
      <c r="V2912" t="s">
        <v>1984</v>
      </c>
      <c r="W2912" t="s">
        <v>255</v>
      </c>
      <c r="X2912">
        <v>1448</v>
      </c>
      <c r="Y2912" t="s">
        <v>2010</v>
      </c>
      <c r="Z2912" t="s">
        <v>2025</v>
      </c>
      <c r="AB2912" t="s">
        <v>15062</v>
      </c>
      <c r="AD2912" t="s">
        <v>17471</v>
      </c>
      <c r="AE2912">
        <v>99</v>
      </c>
      <c r="AF2912" t="s">
        <v>2909</v>
      </c>
      <c r="AG2912" t="s">
        <v>1754</v>
      </c>
      <c r="AH2912">
        <v>11</v>
      </c>
      <c r="AI2912">
        <v>2</v>
      </c>
      <c r="AJ2912">
        <v>1</v>
      </c>
      <c r="AK2912">
        <v>0</v>
      </c>
      <c r="AN2912" t="s">
        <v>2926</v>
      </c>
      <c r="AO2912" t="s">
        <v>13051</v>
      </c>
      <c r="AU2912">
        <v>28.6</v>
      </c>
      <c r="AV2912" t="s">
        <v>379</v>
      </c>
      <c r="AW2912" t="s">
        <v>3050</v>
      </c>
      <c r="AX2912" t="s">
        <v>18685</v>
      </c>
    </row>
    <row r="2913" spans="1:50">
      <c r="A2913" s="1" t="s">
        <v>109</v>
      </c>
      <c r="B2913" t="s">
        <v>163</v>
      </c>
      <c r="C2913" t="s">
        <v>6123</v>
      </c>
      <c r="D2913" t="s">
        <v>288</v>
      </c>
      <c r="F2913" t="s">
        <v>6887</v>
      </c>
      <c r="G2913" t="s">
        <v>9153</v>
      </c>
      <c r="H2913" t="s">
        <v>1198</v>
      </c>
      <c r="I2913" t="s">
        <v>11453</v>
      </c>
      <c r="J2913" t="s">
        <v>1646</v>
      </c>
      <c r="K2913">
        <v>10301</v>
      </c>
      <c r="L2913" t="s">
        <v>1670</v>
      </c>
      <c r="M2913" t="s">
        <v>1670</v>
      </c>
      <c r="N2913" t="s">
        <v>12740</v>
      </c>
      <c r="O2913" t="s">
        <v>1936</v>
      </c>
      <c r="P2913" t="s">
        <v>1960</v>
      </c>
      <c r="R2913" t="s">
        <v>50</v>
      </c>
      <c r="S2913" t="s">
        <v>1671</v>
      </c>
      <c r="U2913" t="s">
        <v>1972</v>
      </c>
      <c r="V2913" t="s">
        <v>1984</v>
      </c>
      <c r="W2913" t="s">
        <v>288</v>
      </c>
      <c r="X2913">
        <v>1160</v>
      </c>
      <c r="Y2913" t="s">
        <v>2010</v>
      </c>
      <c r="AB2913" t="s">
        <v>15063</v>
      </c>
      <c r="AD2913" t="s">
        <v>17472</v>
      </c>
      <c r="AE2913">
        <v>122</v>
      </c>
      <c r="AF2913" t="s">
        <v>2902</v>
      </c>
      <c r="AG2913" t="s">
        <v>1754</v>
      </c>
      <c r="AH2913">
        <v>5</v>
      </c>
      <c r="AI2913">
        <v>1</v>
      </c>
      <c r="AJ2913">
        <v>1</v>
      </c>
      <c r="AK2913">
        <v>0</v>
      </c>
      <c r="AN2913" t="s">
        <v>2926</v>
      </c>
      <c r="AO2913" t="s">
        <v>13051</v>
      </c>
      <c r="AS2913" t="s">
        <v>2993</v>
      </c>
      <c r="AT2913" t="s">
        <v>18612</v>
      </c>
      <c r="AU2913">
        <v>9</v>
      </c>
      <c r="AV2913" t="s">
        <v>214</v>
      </c>
      <c r="AW2913" t="s">
        <v>3072</v>
      </c>
    </row>
    <row r="2914" spans="1:50">
      <c r="A2914" s="1" t="s">
        <v>101</v>
      </c>
      <c r="B2914" t="s">
        <v>163</v>
      </c>
      <c r="C2914" t="s">
        <v>6124</v>
      </c>
      <c r="D2914" t="s">
        <v>285</v>
      </c>
      <c r="F2914" t="s">
        <v>475</v>
      </c>
      <c r="G2914" t="s">
        <v>865</v>
      </c>
      <c r="H2914" t="s">
        <v>10730</v>
      </c>
      <c r="I2914" t="s">
        <v>1475</v>
      </c>
      <c r="J2914" t="s">
        <v>1643</v>
      </c>
      <c r="K2914">
        <v>10035</v>
      </c>
      <c r="L2914" t="s">
        <v>1670</v>
      </c>
      <c r="M2914" t="s">
        <v>1670</v>
      </c>
      <c r="N2914" t="s">
        <v>12741</v>
      </c>
      <c r="O2914" t="s">
        <v>1936</v>
      </c>
      <c r="P2914" t="s">
        <v>1960</v>
      </c>
      <c r="R2914" t="s">
        <v>50</v>
      </c>
      <c r="S2914" t="s">
        <v>1671</v>
      </c>
      <c r="U2914" t="s">
        <v>1972</v>
      </c>
      <c r="V2914" t="s">
        <v>1987</v>
      </c>
      <c r="W2914" t="s">
        <v>3029</v>
      </c>
      <c r="X2914">
        <v>1230</v>
      </c>
      <c r="Y2914" t="s">
        <v>2008</v>
      </c>
      <c r="Z2914" t="s">
        <v>2016</v>
      </c>
      <c r="AB2914" t="s">
        <v>15064</v>
      </c>
      <c r="AD2914" t="s">
        <v>17473</v>
      </c>
      <c r="AE2914">
        <v>54</v>
      </c>
      <c r="AF2914" t="s">
        <v>2902</v>
      </c>
      <c r="AG2914" t="s">
        <v>2915</v>
      </c>
      <c r="AH2914">
        <v>1</v>
      </c>
      <c r="AI2914">
        <v>1</v>
      </c>
      <c r="AJ2914">
        <v>1</v>
      </c>
      <c r="AK2914">
        <v>0</v>
      </c>
      <c r="AN2914" t="s">
        <v>2926</v>
      </c>
      <c r="AO2914" t="s">
        <v>13051</v>
      </c>
      <c r="AU2914">
        <v>30.45</v>
      </c>
      <c r="AV2914" t="s">
        <v>399</v>
      </c>
      <c r="AW2914" t="s">
        <v>3051</v>
      </c>
      <c r="AX2914" t="s">
        <v>18685</v>
      </c>
    </row>
    <row r="2915" spans="1:50">
      <c r="A2915" s="1" t="s">
        <v>100</v>
      </c>
      <c r="B2915" t="s">
        <v>163</v>
      </c>
      <c r="C2915" t="s">
        <v>6125</v>
      </c>
      <c r="D2915" t="s">
        <v>385</v>
      </c>
      <c r="F2915" t="s">
        <v>6856</v>
      </c>
      <c r="G2915" t="s">
        <v>8363</v>
      </c>
      <c r="H2915" t="s">
        <v>10731</v>
      </c>
      <c r="I2915" t="s">
        <v>1504</v>
      </c>
      <c r="J2915" t="s">
        <v>1643</v>
      </c>
      <c r="K2915">
        <v>10033</v>
      </c>
      <c r="L2915" t="s">
        <v>1670</v>
      </c>
      <c r="M2915" t="s">
        <v>1670</v>
      </c>
      <c r="O2915" t="s">
        <v>1938</v>
      </c>
      <c r="P2915" t="s">
        <v>1960</v>
      </c>
      <c r="R2915" t="s">
        <v>50</v>
      </c>
      <c r="S2915" t="s">
        <v>1671</v>
      </c>
      <c r="U2915" t="s">
        <v>1972</v>
      </c>
      <c r="W2915" t="s">
        <v>385</v>
      </c>
      <c r="X2915">
        <v>2100</v>
      </c>
      <c r="Y2915" t="s">
        <v>2008</v>
      </c>
      <c r="Z2915" t="s">
        <v>2020</v>
      </c>
      <c r="AB2915" t="s">
        <v>15065</v>
      </c>
      <c r="AD2915" t="s">
        <v>17474</v>
      </c>
      <c r="AE2915" t="s">
        <v>13051</v>
      </c>
      <c r="AF2915" t="s">
        <v>2902</v>
      </c>
      <c r="AG2915" t="s">
        <v>1754</v>
      </c>
      <c r="AH2915">
        <v>37</v>
      </c>
      <c r="AI2915">
        <v>2</v>
      </c>
      <c r="AJ2915">
        <v>1</v>
      </c>
      <c r="AK2915">
        <v>0</v>
      </c>
      <c r="AN2915" t="s">
        <v>2926</v>
      </c>
      <c r="AO2915" t="s">
        <v>13051</v>
      </c>
      <c r="AU2915" t="s">
        <v>13051</v>
      </c>
      <c r="AW2915" t="s">
        <v>3042</v>
      </c>
    </row>
    <row r="2916" spans="1:50">
      <c r="A2916" s="1" t="s">
        <v>50</v>
      </c>
      <c r="B2916" t="s">
        <v>134</v>
      </c>
      <c r="C2916" t="s">
        <v>164</v>
      </c>
      <c r="D2916" t="s">
        <v>6218</v>
      </c>
      <c r="E2916" t="s">
        <v>265</v>
      </c>
      <c r="F2916" t="s">
        <v>354</v>
      </c>
      <c r="G2916" t="s">
        <v>9154</v>
      </c>
      <c r="H2916" t="s">
        <v>7951</v>
      </c>
      <c r="I2916" t="s">
        <v>9507</v>
      </c>
      <c r="J2916">
        <v>2</v>
      </c>
      <c r="K2916" t="s">
        <v>1643</v>
      </c>
      <c r="L2916">
        <v>10034</v>
      </c>
      <c r="M2916" t="s">
        <v>1670</v>
      </c>
      <c r="Q2916" t="s">
        <v>1945</v>
      </c>
      <c r="R2916" t="s">
        <v>1962</v>
      </c>
      <c r="S2916" t="s">
        <v>1968</v>
      </c>
      <c r="T2916" t="s">
        <v>1671</v>
      </c>
      <c r="V2916" t="s">
        <v>1972</v>
      </c>
      <c r="X2916" t="s">
        <v>265</v>
      </c>
      <c r="Y2916">
        <v>871.5700000000001</v>
      </c>
      <c r="Z2916" t="s">
        <v>2008</v>
      </c>
      <c r="AA2916" t="s">
        <v>2020</v>
      </c>
      <c r="AB2916" t="s">
        <v>2030</v>
      </c>
      <c r="AC2916" t="s">
        <v>15322</v>
      </c>
      <c r="AD2916">
        <v>837516</v>
      </c>
      <c r="AE2916" t="s">
        <v>17743</v>
      </c>
      <c r="AF2916">
        <v>25</v>
      </c>
      <c r="AG2916" t="s">
        <v>2902</v>
      </c>
      <c r="AH2916" t="s">
        <v>2919</v>
      </c>
      <c r="AI2916">
        <v>12</v>
      </c>
      <c r="AJ2916">
        <v>1</v>
      </c>
      <c r="AK2916">
        <v>1</v>
      </c>
      <c r="AL2916">
        <v>53.79</v>
      </c>
      <c r="AO2916" t="s">
        <v>2927</v>
      </c>
      <c r="AP2916">
        <v>9096</v>
      </c>
      <c r="AV2916">
        <v>2.5</v>
      </c>
      <c r="AW2916" t="s">
        <v>171</v>
      </c>
      <c r="AX2916" t="s">
        <v>3042</v>
      </c>
    </row>
    <row r="2917" spans="1:50">
      <c r="A2917" s="1" t="s">
        <v>50</v>
      </c>
      <c r="B2917" t="s">
        <v>118</v>
      </c>
      <c r="C2917" t="s">
        <v>163</v>
      </c>
      <c r="D2917" t="s">
        <v>6219</v>
      </c>
      <c r="E2917" t="s">
        <v>404</v>
      </c>
      <c r="G2917" t="s">
        <v>469</v>
      </c>
      <c r="H2917" t="s">
        <v>10732</v>
      </c>
      <c r="I2917" t="s">
        <v>9397</v>
      </c>
      <c r="J2917" t="s">
        <v>1575</v>
      </c>
      <c r="K2917" t="s">
        <v>1641</v>
      </c>
      <c r="L2917">
        <v>10452</v>
      </c>
      <c r="M2917" t="s">
        <v>1670</v>
      </c>
      <c r="Q2917" t="s">
        <v>1938</v>
      </c>
      <c r="R2917" t="s">
        <v>1961</v>
      </c>
      <c r="T2917" t="s">
        <v>1670</v>
      </c>
      <c r="V2917" t="s">
        <v>1972</v>
      </c>
      <c r="X2917" t="s">
        <v>1991</v>
      </c>
      <c r="Y2917">
        <v>1310</v>
      </c>
      <c r="Z2917" t="s">
        <v>2006</v>
      </c>
      <c r="AA2917" t="s">
        <v>2015</v>
      </c>
      <c r="AC2917" t="s">
        <v>15323</v>
      </c>
      <c r="AD2917">
        <v>4268720</v>
      </c>
      <c r="AE2917" t="s">
        <v>17744</v>
      </c>
      <c r="AF2917">
        <v>52</v>
      </c>
      <c r="AG2917" t="s">
        <v>2904</v>
      </c>
      <c r="AH2917" t="s">
        <v>2917</v>
      </c>
      <c r="AI2917">
        <v>10</v>
      </c>
      <c r="AJ2917">
        <v>3</v>
      </c>
      <c r="AK2917">
        <v>2</v>
      </c>
      <c r="AL2917">
        <v>41.64</v>
      </c>
      <c r="AO2917" t="s">
        <v>2926</v>
      </c>
      <c r="AP2917">
        <v>12564</v>
      </c>
      <c r="AV2917" t="s">
        <v>13051</v>
      </c>
      <c r="AX2917" t="s">
        <v>3045</v>
      </c>
    </row>
    <row r="2918" spans="1:50">
      <c r="A2918" s="1" t="s">
        <v>50</v>
      </c>
      <c r="B2918" t="s">
        <v>107</v>
      </c>
      <c r="C2918" t="s">
        <v>163</v>
      </c>
      <c r="D2918" t="s">
        <v>6220</v>
      </c>
      <c r="E2918" t="s">
        <v>1999</v>
      </c>
      <c r="G2918" t="s">
        <v>451</v>
      </c>
      <c r="H2918" t="s">
        <v>810</v>
      </c>
      <c r="I2918" t="s">
        <v>11454</v>
      </c>
      <c r="J2918" t="s">
        <v>1542</v>
      </c>
      <c r="K2918" t="s">
        <v>1644</v>
      </c>
      <c r="L2918">
        <v>11208</v>
      </c>
      <c r="M2918" t="s">
        <v>1671</v>
      </c>
      <c r="P2918" t="s">
        <v>12754</v>
      </c>
      <c r="Q2918" t="s">
        <v>1940</v>
      </c>
      <c r="R2918" t="s">
        <v>1962</v>
      </c>
      <c r="T2918" t="s">
        <v>1671</v>
      </c>
      <c r="V2918" t="s">
        <v>1972</v>
      </c>
      <c r="X2918" t="s">
        <v>389</v>
      </c>
      <c r="Y2918">
        <v>1297</v>
      </c>
      <c r="Z2918" t="s">
        <v>2009</v>
      </c>
      <c r="AC2918" t="s">
        <v>15324</v>
      </c>
      <c r="AD2918">
        <v>4798867</v>
      </c>
      <c r="AE2918" t="s">
        <v>17745</v>
      </c>
      <c r="AF2918">
        <v>2</v>
      </c>
      <c r="AG2918" t="s">
        <v>2903</v>
      </c>
      <c r="AH2918" t="s">
        <v>2915</v>
      </c>
      <c r="AI2918">
        <v>12</v>
      </c>
      <c r="AJ2918">
        <v>1</v>
      </c>
      <c r="AK2918">
        <v>2</v>
      </c>
      <c r="AL2918">
        <v>14.18</v>
      </c>
      <c r="AO2918" t="s">
        <v>2926</v>
      </c>
      <c r="AP2918">
        <v>3024</v>
      </c>
      <c r="AV2918">
        <v>4</v>
      </c>
      <c r="AW2918" t="s">
        <v>328</v>
      </c>
      <c r="AX2918" t="s">
        <v>3059</v>
      </c>
    </row>
    <row r="2919" spans="1:50">
      <c r="A2919" s="1" t="s">
        <v>50</v>
      </c>
      <c r="B2919" t="s">
        <v>98</v>
      </c>
      <c r="C2919" t="s">
        <v>164</v>
      </c>
      <c r="D2919" t="s">
        <v>6221</v>
      </c>
      <c r="E2919" t="s">
        <v>270</v>
      </c>
      <c r="F2919" t="s">
        <v>376</v>
      </c>
      <c r="G2919" t="s">
        <v>9155</v>
      </c>
      <c r="H2919" t="s">
        <v>10733</v>
      </c>
      <c r="I2919" t="s">
        <v>11455</v>
      </c>
      <c r="J2919">
        <v>3</v>
      </c>
      <c r="K2919" t="s">
        <v>1641</v>
      </c>
      <c r="L2919">
        <v>10452</v>
      </c>
      <c r="M2919" t="s">
        <v>1670</v>
      </c>
      <c r="Q2919" t="s">
        <v>1675</v>
      </c>
      <c r="R2919" t="s">
        <v>1958</v>
      </c>
      <c r="S2919" t="s">
        <v>1965</v>
      </c>
      <c r="T2919" t="s">
        <v>1671</v>
      </c>
      <c r="V2919" t="s">
        <v>1972</v>
      </c>
      <c r="X2919" t="s">
        <v>270</v>
      </c>
      <c r="Y2919">
        <v>1252.36</v>
      </c>
      <c r="Z2919" t="s">
        <v>2006</v>
      </c>
      <c r="AA2919" t="s">
        <v>2015</v>
      </c>
      <c r="AB2919" t="s">
        <v>2029</v>
      </c>
      <c r="AC2919" t="s">
        <v>15325</v>
      </c>
      <c r="AD2919">
        <v>5265005</v>
      </c>
      <c r="AF2919" t="s">
        <v>13051</v>
      </c>
      <c r="AG2919" t="s">
        <v>2902</v>
      </c>
      <c r="AH2919" t="s">
        <v>1754</v>
      </c>
      <c r="AI2919">
        <v>9</v>
      </c>
      <c r="AJ2919">
        <v>4</v>
      </c>
      <c r="AK2919">
        <v>1</v>
      </c>
      <c r="AL2919">
        <v>91.72</v>
      </c>
      <c r="AO2919" t="s">
        <v>2926</v>
      </c>
      <c r="AP2919">
        <v>26984</v>
      </c>
      <c r="AV2919">
        <v>3.5</v>
      </c>
      <c r="AW2919" t="s">
        <v>376</v>
      </c>
      <c r="AX2919" t="s">
        <v>98</v>
      </c>
    </row>
    <row r="2920" spans="1:50">
      <c r="A2920" s="1" t="s">
        <v>50</v>
      </c>
      <c r="B2920" t="s">
        <v>119</v>
      </c>
      <c r="C2920" t="s">
        <v>164</v>
      </c>
      <c r="D2920" t="s">
        <v>6222</v>
      </c>
      <c r="E2920" t="s">
        <v>376</v>
      </c>
      <c r="F2920" t="s">
        <v>170</v>
      </c>
      <c r="G2920" t="s">
        <v>9156</v>
      </c>
      <c r="H2920" t="s">
        <v>10734</v>
      </c>
      <c r="I2920" t="s">
        <v>11456</v>
      </c>
      <c r="J2920" t="s">
        <v>1501</v>
      </c>
      <c r="K2920" t="s">
        <v>1644</v>
      </c>
      <c r="L2920">
        <v>11212</v>
      </c>
      <c r="M2920" t="s">
        <v>1670</v>
      </c>
      <c r="P2920" t="s">
        <v>12755</v>
      </c>
      <c r="Q2920" t="s">
        <v>1936</v>
      </c>
      <c r="R2920" t="s">
        <v>1958</v>
      </c>
      <c r="S2920" t="s">
        <v>1965</v>
      </c>
      <c r="T2920" t="s">
        <v>1671</v>
      </c>
      <c r="V2920" t="s">
        <v>1972</v>
      </c>
      <c r="W2920" t="s">
        <v>1984</v>
      </c>
      <c r="X2920" t="s">
        <v>170</v>
      </c>
      <c r="Y2920">
        <v>1750</v>
      </c>
      <c r="Z2920" t="s">
        <v>2009</v>
      </c>
      <c r="AB2920" t="s">
        <v>2029</v>
      </c>
      <c r="AC2920" t="s">
        <v>13071</v>
      </c>
      <c r="AD2920">
        <v>6359075</v>
      </c>
      <c r="AE2920" t="s">
        <v>17746</v>
      </c>
      <c r="AF2920">
        <v>4</v>
      </c>
      <c r="AG2920" t="s">
        <v>2903</v>
      </c>
      <c r="AH2920" t="s">
        <v>2917</v>
      </c>
      <c r="AI2920">
        <v>3</v>
      </c>
      <c r="AJ2920">
        <v>1</v>
      </c>
      <c r="AK2920">
        <v>1</v>
      </c>
      <c r="AL2920">
        <v>14.22</v>
      </c>
      <c r="AO2920" t="s">
        <v>2926</v>
      </c>
      <c r="AP2920">
        <v>2340</v>
      </c>
      <c r="AV2920">
        <v>5.55</v>
      </c>
      <c r="AW2920" t="s">
        <v>277</v>
      </c>
      <c r="AX2920" t="s">
        <v>18654</v>
      </c>
    </row>
    <row r="2921" spans="1:50">
      <c r="A2921" s="1" t="s">
        <v>50</v>
      </c>
      <c r="B2921" t="s">
        <v>59</v>
      </c>
      <c r="C2921" t="s">
        <v>163</v>
      </c>
      <c r="D2921" t="s">
        <v>6223</v>
      </c>
      <c r="E2921" t="s">
        <v>173</v>
      </c>
      <c r="G2921" t="s">
        <v>7495</v>
      </c>
      <c r="H2921" t="s">
        <v>10735</v>
      </c>
      <c r="I2921" t="s">
        <v>1114</v>
      </c>
      <c r="J2921" t="s">
        <v>11760</v>
      </c>
      <c r="K2921" t="s">
        <v>1641</v>
      </c>
      <c r="L2921">
        <v>10456</v>
      </c>
      <c r="M2921" t="s">
        <v>1670</v>
      </c>
      <c r="P2921" t="s">
        <v>1681</v>
      </c>
      <c r="Q2921" t="s">
        <v>1939</v>
      </c>
      <c r="R2921" t="s">
        <v>1960</v>
      </c>
      <c r="T2921" t="s">
        <v>1670</v>
      </c>
      <c r="V2921" t="s">
        <v>1972</v>
      </c>
      <c r="X2921" t="s">
        <v>173</v>
      </c>
      <c r="Y2921">
        <v>820</v>
      </c>
      <c r="Z2921" t="s">
        <v>2006</v>
      </c>
      <c r="AA2921" t="s">
        <v>2015</v>
      </c>
      <c r="AC2921" t="s">
        <v>15326</v>
      </c>
      <c r="AD2921">
        <v>6629815</v>
      </c>
      <c r="AF2921">
        <v>131</v>
      </c>
      <c r="AG2921" t="s">
        <v>2902</v>
      </c>
      <c r="AH2921" t="s">
        <v>2917</v>
      </c>
      <c r="AI2921">
        <v>9</v>
      </c>
      <c r="AJ2921">
        <v>1</v>
      </c>
      <c r="AK2921">
        <v>3</v>
      </c>
      <c r="AL2921">
        <v>18.79</v>
      </c>
      <c r="AO2921" t="s">
        <v>2926</v>
      </c>
      <c r="AP2921">
        <v>4715.04</v>
      </c>
      <c r="AV2921" t="s">
        <v>13051</v>
      </c>
      <c r="AX2921" t="s">
        <v>3047</v>
      </c>
    </row>
    <row r="2922" spans="1:50">
      <c r="A2922" s="1" t="s">
        <v>50</v>
      </c>
      <c r="B2922" t="s">
        <v>59</v>
      </c>
      <c r="C2922" t="s">
        <v>163</v>
      </c>
      <c r="D2922" t="s">
        <v>6224</v>
      </c>
      <c r="E2922" t="s">
        <v>174</v>
      </c>
      <c r="G2922" t="s">
        <v>7495</v>
      </c>
      <c r="H2922" t="s">
        <v>10735</v>
      </c>
      <c r="I2922" t="s">
        <v>1114</v>
      </c>
      <c r="J2922" t="s">
        <v>11760</v>
      </c>
      <c r="K2922" t="s">
        <v>1641</v>
      </c>
      <c r="L2922">
        <v>10456</v>
      </c>
      <c r="M2922" t="s">
        <v>1670</v>
      </c>
      <c r="P2922" t="s">
        <v>1680</v>
      </c>
      <c r="Q2922" t="s">
        <v>1938</v>
      </c>
      <c r="R2922" t="s">
        <v>1961</v>
      </c>
      <c r="T2922" t="s">
        <v>1670</v>
      </c>
      <c r="V2922" t="s">
        <v>1972</v>
      </c>
      <c r="X2922" t="s">
        <v>359</v>
      </c>
      <c r="Y2922">
        <v>820</v>
      </c>
      <c r="Z2922" t="s">
        <v>2006</v>
      </c>
      <c r="AA2922" t="s">
        <v>2015</v>
      </c>
      <c r="AC2922" t="s">
        <v>15326</v>
      </c>
      <c r="AD2922">
        <v>6629815</v>
      </c>
      <c r="AF2922">
        <v>131</v>
      </c>
      <c r="AG2922" t="s">
        <v>2902</v>
      </c>
      <c r="AH2922" t="s">
        <v>2917</v>
      </c>
      <c r="AI2922">
        <v>9</v>
      </c>
      <c r="AJ2922">
        <v>1</v>
      </c>
      <c r="AK2922">
        <v>3</v>
      </c>
      <c r="AL2922">
        <v>20.3</v>
      </c>
      <c r="AO2922" t="s">
        <v>2926</v>
      </c>
      <c r="AP2922">
        <v>5096</v>
      </c>
      <c r="AV2922" t="s">
        <v>13051</v>
      </c>
      <c r="AX2922" t="s">
        <v>3047</v>
      </c>
    </row>
    <row r="2923" spans="1:50">
      <c r="A2923" s="1" t="s">
        <v>50</v>
      </c>
      <c r="B2923" t="s">
        <v>59</v>
      </c>
      <c r="C2923" t="s">
        <v>163</v>
      </c>
      <c r="D2923" t="s">
        <v>6225</v>
      </c>
      <c r="E2923" t="s">
        <v>173</v>
      </c>
      <c r="G2923" t="s">
        <v>7495</v>
      </c>
      <c r="H2923" t="s">
        <v>10735</v>
      </c>
      <c r="I2923" t="s">
        <v>1114</v>
      </c>
      <c r="J2923" t="s">
        <v>11760</v>
      </c>
      <c r="K2923" t="s">
        <v>1641</v>
      </c>
      <c r="L2923">
        <v>10456</v>
      </c>
      <c r="M2923" t="s">
        <v>1670</v>
      </c>
      <c r="P2923" t="s">
        <v>1679</v>
      </c>
      <c r="Q2923" t="s">
        <v>1938</v>
      </c>
      <c r="R2923" t="s">
        <v>1961</v>
      </c>
      <c r="T2923" t="s">
        <v>1670</v>
      </c>
      <c r="V2923" t="s">
        <v>1972</v>
      </c>
      <c r="X2923" t="s">
        <v>173</v>
      </c>
      <c r="Y2923">
        <v>820</v>
      </c>
      <c r="Z2923" t="s">
        <v>2006</v>
      </c>
      <c r="AA2923" t="s">
        <v>2015</v>
      </c>
      <c r="AC2923" t="s">
        <v>15326</v>
      </c>
      <c r="AD2923">
        <v>6629815</v>
      </c>
      <c r="AF2923">
        <v>131</v>
      </c>
      <c r="AG2923" t="s">
        <v>2902</v>
      </c>
      <c r="AH2923" t="s">
        <v>2917</v>
      </c>
      <c r="AI2923">
        <v>9</v>
      </c>
      <c r="AJ2923">
        <v>1</v>
      </c>
      <c r="AK2923">
        <v>3</v>
      </c>
      <c r="AL2923">
        <v>20.35</v>
      </c>
      <c r="AO2923" t="s">
        <v>2926</v>
      </c>
      <c r="AP2923">
        <v>5107.96</v>
      </c>
      <c r="AV2923" t="s">
        <v>13051</v>
      </c>
      <c r="AX2923" t="s">
        <v>3047</v>
      </c>
    </row>
    <row r="2924" spans="1:50">
      <c r="A2924" s="1" t="s">
        <v>50</v>
      </c>
      <c r="B2924" t="s">
        <v>119</v>
      </c>
      <c r="C2924" t="s">
        <v>164</v>
      </c>
      <c r="D2924" t="s">
        <v>6226</v>
      </c>
      <c r="E2924" t="s">
        <v>338</v>
      </c>
      <c r="F2924" t="s">
        <v>327</v>
      </c>
      <c r="G2924" t="s">
        <v>7044</v>
      </c>
      <c r="H2924" t="s">
        <v>883</v>
      </c>
      <c r="I2924" t="s">
        <v>11457</v>
      </c>
      <c r="J2924">
        <v>2</v>
      </c>
      <c r="K2924" t="s">
        <v>1644</v>
      </c>
      <c r="L2924">
        <v>11208</v>
      </c>
      <c r="M2924" t="s">
        <v>1670</v>
      </c>
      <c r="P2924" t="s">
        <v>12756</v>
      </c>
      <c r="Q2924" t="s">
        <v>1940</v>
      </c>
      <c r="R2924" t="s">
        <v>1962</v>
      </c>
      <c r="S2924" t="s">
        <v>1965</v>
      </c>
      <c r="T2924" t="s">
        <v>1671</v>
      </c>
      <c r="V2924" t="s">
        <v>1972</v>
      </c>
      <c r="W2924" t="s">
        <v>1983</v>
      </c>
      <c r="X2924" t="s">
        <v>263</v>
      </c>
      <c r="Y2924">
        <v>2100</v>
      </c>
      <c r="Z2924" t="s">
        <v>2009</v>
      </c>
      <c r="AA2924" t="s">
        <v>2020</v>
      </c>
      <c r="AB2924" t="s">
        <v>2029</v>
      </c>
      <c r="AC2924" t="s">
        <v>15327</v>
      </c>
      <c r="AD2924">
        <v>6654584</v>
      </c>
      <c r="AE2924" t="s">
        <v>17747</v>
      </c>
      <c r="AF2924">
        <v>3</v>
      </c>
      <c r="AG2924" t="s">
        <v>2903</v>
      </c>
      <c r="AH2924" t="s">
        <v>2915</v>
      </c>
      <c r="AI2924">
        <v>1</v>
      </c>
      <c r="AJ2924">
        <v>3</v>
      </c>
      <c r="AK2924">
        <v>1</v>
      </c>
      <c r="AL2924">
        <v>20.19</v>
      </c>
      <c r="AO2924" t="s">
        <v>2926</v>
      </c>
      <c r="AP2924">
        <v>5200</v>
      </c>
      <c r="AV2924">
        <v>1.2</v>
      </c>
      <c r="AW2924" t="s">
        <v>263</v>
      </c>
      <c r="AX2924" t="s">
        <v>3060</v>
      </c>
    </row>
    <row r="2925" spans="1:50">
      <c r="A2925" s="1" t="s">
        <v>50</v>
      </c>
      <c r="B2925" t="s">
        <v>115</v>
      </c>
      <c r="C2925" t="s">
        <v>164</v>
      </c>
      <c r="D2925" t="s">
        <v>6227</v>
      </c>
      <c r="E2925" t="s">
        <v>284</v>
      </c>
      <c r="F2925" t="s">
        <v>359</v>
      </c>
      <c r="G2925" t="s">
        <v>9157</v>
      </c>
      <c r="H2925" t="s">
        <v>10736</v>
      </c>
      <c r="I2925" t="s">
        <v>9700</v>
      </c>
      <c r="J2925" t="s">
        <v>1501</v>
      </c>
      <c r="K2925" t="s">
        <v>1641</v>
      </c>
      <c r="L2925">
        <v>10452</v>
      </c>
      <c r="M2925" t="s">
        <v>1670</v>
      </c>
      <c r="Q2925" t="s">
        <v>1939</v>
      </c>
      <c r="R2925" t="s">
        <v>1958</v>
      </c>
      <c r="S2925" t="s">
        <v>1965</v>
      </c>
      <c r="T2925" t="s">
        <v>1670</v>
      </c>
      <c r="V2925" t="s">
        <v>1972</v>
      </c>
      <c r="X2925" t="s">
        <v>359</v>
      </c>
      <c r="Y2925">
        <v>1500</v>
      </c>
      <c r="Z2925" t="s">
        <v>2006</v>
      </c>
      <c r="AA2925" t="s">
        <v>2015</v>
      </c>
      <c r="AB2925" t="s">
        <v>2029</v>
      </c>
      <c r="AC2925" t="s">
        <v>15328</v>
      </c>
      <c r="AD2925">
        <v>7419954</v>
      </c>
      <c r="AE2925" t="s">
        <v>17748</v>
      </c>
      <c r="AF2925">
        <v>149</v>
      </c>
      <c r="AG2925" t="s">
        <v>2904</v>
      </c>
      <c r="AH2925" t="s">
        <v>2921</v>
      </c>
      <c r="AI2925">
        <v>2</v>
      </c>
      <c r="AJ2925">
        <v>1</v>
      </c>
      <c r="AK2925">
        <v>1</v>
      </c>
      <c r="AL2925">
        <v>61.36</v>
      </c>
      <c r="AO2925" t="s">
        <v>2926</v>
      </c>
      <c r="AP2925">
        <v>10100</v>
      </c>
      <c r="AV2925">
        <v>0.2</v>
      </c>
      <c r="AW2925" t="s">
        <v>271</v>
      </c>
      <c r="AX2925" t="s">
        <v>3054</v>
      </c>
    </row>
    <row r="2926" spans="1:50">
      <c r="A2926" s="1" t="s">
        <v>50</v>
      </c>
      <c r="B2926" t="s">
        <v>118</v>
      </c>
      <c r="C2926" t="s">
        <v>163</v>
      </c>
      <c r="D2926" t="s">
        <v>6228</v>
      </c>
      <c r="E2926" t="s">
        <v>349</v>
      </c>
      <c r="G2926" t="s">
        <v>9157</v>
      </c>
      <c r="H2926" t="s">
        <v>10736</v>
      </c>
      <c r="I2926" t="s">
        <v>9700</v>
      </c>
      <c r="J2926" t="s">
        <v>1501</v>
      </c>
      <c r="K2926" t="s">
        <v>1641</v>
      </c>
      <c r="L2926">
        <v>10452</v>
      </c>
      <c r="M2926" t="s">
        <v>1670</v>
      </c>
      <c r="Q2926" t="s">
        <v>1675</v>
      </c>
      <c r="R2926" t="s">
        <v>1959</v>
      </c>
      <c r="T2926" t="s">
        <v>1670</v>
      </c>
      <c r="V2926" t="s">
        <v>1972</v>
      </c>
      <c r="X2926" t="s">
        <v>359</v>
      </c>
      <c r="Y2926">
        <v>15000</v>
      </c>
      <c r="Z2926" t="s">
        <v>2006</v>
      </c>
      <c r="AA2926" t="s">
        <v>2015</v>
      </c>
      <c r="AC2926" t="s">
        <v>15328</v>
      </c>
      <c r="AD2926">
        <v>7419954</v>
      </c>
      <c r="AE2926" t="s">
        <v>17748</v>
      </c>
      <c r="AF2926">
        <v>149</v>
      </c>
      <c r="AG2926" t="s">
        <v>2904</v>
      </c>
      <c r="AH2926" t="s">
        <v>2921</v>
      </c>
      <c r="AI2926">
        <v>2</v>
      </c>
      <c r="AJ2926">
        <v>1</v>
      </c>
      <c r="AK2926">
        <v>1</v>
      </c>
      <c r="AL2926">
        <v>61.36</v>
      </c>
      <c r="AO2926" t="s">
        <v>2926</v>
      </c>
      <c r="AP2926">
        <v>10100</v>
      </c>
      <c r="AV2926" t="s">
        <v>13051</v>
      </c>
      <c r="AX2926" t="s">
        <v>3054</v>
      </c>
    </row>
    <row r="2927" spans="1:50">
      <c r="A2927" s="1" t="s">
        <v>50</v>
      </c>
      <c r="B2927" t="s">
        <v>127</v>
      </c>
      <c r="C2927" t="s">
        <v>164</v>
      </c>
      <c r="D2927" t="s">
        <v>6229</v>
      </c>
      <c r="E2927" t="s">
        <v>332</v>
      </c>
      <c r="F2927" t="s">
        <v>338</v>
      </c>
      <c r="G2927" t="s">
        <v>493</v>
      </c>
      <c r="H2927" t="s">
        <v>890</v>
      </c>
      <c r="I2927" t="s">
        <v>11458</v>
      </c>
      <c r="J2927" t="s">
        <v>1501</v>
      </c>
      <c r="K2927" t="s">
        <v>1644</v>
      </c>
      <c r="L2927">
        <v>11207</v>
      </c>
      <c r="M2927" t="s">
        <v>1670</v>
      </c>
      <c r="P2927" t="s">
        <v>12757</v>
      </c>
      <c r="Q2927" t="s">
        <v>1940</v>
      </c>
      <c r="R2927" t="s">
        <v>1962</v>
      </c>
      <c r="S2927" t="s">
        <v>1968</v>
      </c>
      <c r="T2927" t="s">
        <v>1671</v>
      </c>
      <c r="V2927" t="s">
        <v>1972</v>
      </c>
      <c r="W2927" t="s">
        <v>1984</v>
      </c>
      <c r="X2927" t="s">
        <v>237</v>
      </c>
      <c r="Y2927">
        <v>2110</v>
      </c>
      <c r="Z2927" t="s">
        <v>2009</v>
      </c>
      <c r="AB2927" t="s">
        <v>2034</v>
      </c>
      <c r="AC2927" t="s">
        <v>15329</v>
      </c>
      <c r="AD2927">
        <v>8168866</v>
      </c>
      <c r="AE2927" t="s">
        <v>17749</v>
      </c>
      <c r="AF2927">
        <v>4</v>
      </c>
      <c r="AG2927" t="s">
        <v>2903</v>
      </c>
      <c r="AH2927" t="s">
        <v>2915</v>
      </c>
      <c r="AI2927">
        <v>2</v>
      </c>
      <c r="AJ2927">
        <v>1</v>
      </c>
      <c r="AK2927">
        <v>4</v>
      </c>
      <c r="AL2927">
        <v>25.29</v>
      </c>
      <c r="AO2927" t="s">
        <v>2926</v>
      </c>
      <c r="AP2927">
        <v>7440</v>
      </c>
      <c r="AV2927">
        <v>3.1</v>
      </c>
      <c r="AW2927" t="s">
        <v>237</v>
      </c>
      <c r="AX2927" t="s">
        <v>3084</v>
      </c>
    </row>
    <row r="2928" spans="1:50">
      <c r="A2928" s="1" t="s">
        <v>50</v>
      </c>
      <c r="B2928" t="s">
        <v>61</v>
      </c>
      <c r="C2928" t="s">
        <v>163</v>
      </c>
      <c r="D2928" t="s">
        <v>6230</v>
      </c>
      <c r="E2928" t="s">
        <v>195</v>
      </c>
      <c r="G2928" t="s">
        <v>420</v>
      </c>
      <c r="H2928" t="s">
        <v>777</v>
      </c>
      <c r="I2928" t="s">
        <v>1116</v>
      </c>
      <c r="K2928" t="s">
        <v>1644</v>
      </c>
      <c r="L2928">
        <v>11217</v>
      </c>
      <c r="M2928" t="s">
        <v>1670</v>
      </c>
      <c r="R2928" t="s">
        <v>1959</v>
      </c>
      <c r="V2928" t="s">
        <v>1972</v>
      </c>
      <c r="X2928" t="s">
        <v>274</v>
      </c>
      <c r="Y2928">
        <v>1104</v>
      </c>
      <c r="Z2928" t="s">
        <v>2009</v>
      </c>
      <c r="AC2928" t="s">
        <v>2055</v>
      </c>
      <c r="AD2928">
        <v>9122791</v>
      </c>
      <c r="AE2928" t="s">
        <v>2481</v>
      </c>
      <c r="AF2928" t="s">
        <v>13051</v>
      </c>
      <c r="AI2928">
        <v>-1</v>
      </c>
      <c r="AJ2928">
        <v>2</v>
      </c>
      <c r="AK2928">
        <v>1</v>
      </c>
      <c r="AL2928">
        <v>46.98</v>
      </c>
      <c r="AO2928" t="s">
        <v>2926</v>
      </c>
      <c r="AP2928">
        <v>10020</v>
      </c>
      <c r="AV2928">
        <v>1.5</v>
      </c>
      <c r="AW2928" t="s">
        <v>385</v>
      </c>
      <c r="AX2928" t="s">
        <v>158</v>
      </c>
    </row>
    <row r="2929" spans="1:50">
      <c r="A2929" s="1" t="s">
        <v>50</v>
      </c>
      <c r="B2929" t="s">
        <v>79</v>
      </c>
      <c r="C2929" t="s">
        <v>163</v>
      </c>
      <c r="D2929" t="s">
        <v>6231</v>
      </c>
      <c r="E2929" t="s">
        <v>286</v>
      </c>
      <c r="G2929" t="s">
        <v>9158</v>
      </c>
      <c r="H2929" t="s">
        <v>780</v>
      </c>
      <c r="I2929" t="s">
        <v>11459</v>
      </c>
      <c r="J2929" t="s">
        <v>10957</v>
      </c>
      <c r="K2929" t="s">
        <v>1644</v>
      </c>
      <c r="L2929">
        <v>11207</v>
      </c>
      <c r="M2929" t="s">
        <v>1670</v>
      </c>
      <c r="P2929" t="s">
        <v>12758</v>
      </c>
      <c r="Q2929" t="s">
        <v>1936</v>
      </c>
      <c r="R2929" t="s">
        <v>1960</v>
      </c>
      <c r="T2929" t="s">
        <v>1671</v>
      </c>
      <c r="V2929" t="s">
        <v>1972</v>
      </c>
      <c r="X2929" t="s">
        <v>1989</v>
      </c>
      <c r="Y2929">
        <v>1435</v>
      </c>
      <c r="Z2929" t="s">
        <v>2009</v>
      </c>
      <c r="AC2929" t="s">
        <v>15330</v>
      </c>
      <c r="AD2929">
        <v>9507238</v>
      </c>
      <c r="AE2929" t="s">
        <v>17750</v>
      </c>
      <c r="AF2929">
        <v>6</v>
      </c>
      <c r="AG2929" t="s">
        <v>2902</v>
      </c>
      <c r="AI2929">
        <v>7</v>
      </c>
      <c r="AJ2929">
        <v>1</v>
      </c>
      <c r="AK2929">
        <v>4</v>
      </c>
      <c r="AL2929">
        <v>10.02</v>
      </c>
      <c r="AO2929" t="s">
        <v>2926</v>
      </c>
      <c r="AP2929">
        <v>3024</v>
      </c>
      <c r="AV2929">
        <v>36.7</v>
      </c>
      <c r="AW2929" t="s">
        <v>3035</v>
      </c>
      <c r="AX2929" t="s">
        <v>3059</v>
      </c>
    </row>
    <row r="2930" spans="1:50">
      <c r="A2930" s="1" t="s">
        <v>50</v>
      </c>
      <c r="B2930" t="s">
        <v>130</v>
      </c>
      <c r="C2930" t="s">
        <v>164</v>
      </c>
      <c r="D2930" t="s">
        <v>6232</v>
      </c>
      <c r="E2930" t="s">
        <v>381</v>
      </c>
      <c r="F2930" t="s">
        <v>206</v>
      </c>
      <c r="G2930" t="s">
        <v>658</v>
      </c>
      <c r="H2930" t="s">
        <v>10737</v>
      </c>
      <c r="I2930" t="s">
        <v>10225</v>
      </c>
      <c r="J2930" t="s">
        <v>1511</v>
      </c>
      <c r="K2930" t="s">
        <v>1644</v>
      </c>
      <c r="L2930">
        <v>11237</v>
      </c>
      <c r="M2930" t="s">
        <v>1670</v>
      </c>
      <c r="P2930" t="s">
        <v>1675</v>
      </c>
      <c r="Q2930" t="s">
        <v>1937</v>
      </c>
      <c r="R2930" t="s">
        <v>1959</v>
      </c>
      <c r="S2930" t="s">
        <v>1966</v>
      </c>
      <c r="T2930" t="s">
        <v>1670</v>
      </c>
      <c r="V2930" t="s">
        <v>1972</v>
      </c>
      <c r="X2930" t="s">
        <v>375</v>
      </c>
      <c r="Y2930">
        <v>1080</v>
      </c>
      <c r="Z2930" t="s">
        <v>2009</v>
      </c>
      <c r="AA2930" t="s">
        <v>2016</v>
      </c>
      <c r="AB2930" t="s">
        <v>2030</v>
      </c>
      <c r="AC2930" t="s">
        <v>15331</v>
      </c>
      <c r="AD2930">
        <v>12563767</v>
      </c>
      <c r="AE2930" t="s">
        <v>15077</v>
      </c>
      <c r="AF2930">
        <v>6</v>
      </c>
      <c r="AG2930" t="s">
        <v>2902</v>
      </c>
      <c r="AI2930">
        <v>7</v>
      </c>
      <c r="AJ2930">
        <v>2</v>
      </c>
      <c r="AK2930">
        <v>2</v>
      </c>
      <c r="AL2930">
        <v>83.88</v>
      </c>
      <c r="AO2930" t="s">
        <v>2927</v>
      </c>
      <c r="AP2930">
        <v>21600</v>
      </c>
      <c r="AV2930">
        <v>0.1</v>
      </c>
      <c r="AW2930" t="s">
        <v>208</v>
      </c>
      <c r="AX2930" t="s">
        <v>3060</v>
      </c>
    </row>
    <row r="2931" spans="1:50">
      <c r="A2931" s="1" t="s">
        <v>50</v>
      </c>
      <c r="B2931" t="s">
        <v>130</v>
      </c>
      <c r="C2931" t="s">
        <v>164</v>
      </c>
      <c r="D2931" t="s">
        <v>6233</v>
      </c>
      <c r="E2931" t="s">
        <v>335</v>
      </c>
      <c r="F2931" t="s">
        <v>206</v>
      </c>
      <c r="G2931" t="s">
        <v>658</v>
      </c>
      <c r="H2931" t="s">
        <v>10737</v>
      </c>
      <c r="I2931" t="s">
        <v>10225</v>
      </c>
      <c r="J2931" t="s">
        <v>1511</v>
      </c>
      <c r="K2931" t="s">
        <v>1644</v>
      </c>
      <c r="L2931">
        <v>11237</v>
      </c>
      <c r="M2931" t="s">
        <v>1670</v>
      </c>
      <c r="Q2931" t="s">
        <v>1675</v>
      </c>
      <c r="R2931" t="s">
        <v>1959</v>
      </c>
      <c r="S2931" t="s">
        <v>1966</v>
      </c>
      <c r="T2931" t="s">
        <v>1670</v>
      </c>
      <c r="V2931" t="s">
        <v>1972</v>
      </c>
      <c r="X2931" t="s">
        <v>335</v>
      </c>
      <c r="Y2931">
        <v>1080</v>
      </c>
      <c r="Z2931" t="s">
        <v>2009</v>
      </c>
      <c r="AA2931" t="s">
        <v>2016</v>
      </c>
      <c r="AB2931" t="s">
        <v>2030</v>
      </c>
      <c r="AC2931" t="s">
        <v>15331</v>
      </c>
      <c r="AD2931">
        <v>12563767</v>
      </c>
      <c r="AE2931" t="s">
        <v>15077</v>
      </c>
      <c r="AF2931">
        <v>6</v>
      </c>
      <c r="AG2931" t="s">
        <v>2902</v>
      </c>
      <c r="AI2931">
        <v>7</v>
      </c>
      <c r="AJ2931">
        <v>2</v>
      </c>
      <c r="AK2931">
        <v>2</v>
      </c>
      <c r="AL2931">
        <v>86.06</v>
      </c>
      <c r="AO2931" t="s">
        <v>2927</v>
      </c>
      <c r="AP2931">
        <v>21600</v>
      </c>
      <c r="AV2931">
        <v>0.6</v>
      </c>
      <c r="AW2931" t="s">
        <v>208</v>
      </c>
      <c r="AX2931" t="s">
        <v>130</v>
      </c>
    </row>
    <row r="2932" spans="1:50">
      <c r="A2932" s="1" t="s">
        <v>50</v>
      </c>
      <c r="B2932" t="s">
        <v>126</v>
      </c>
      <c r="C2932" t="s">
        <v>163</v>
      </c>
      <c r="D2932" t="s">
        <v>6234</v>
      </c>
      <c r="E2932" t="s">
        <v>6771</v>
      </c>
      <c r="G2932" t="s">
        <v>9159</v>
      </c>
      <c r="H2932" t="s">
        <v>813</v>
      </c>
      <c r="I2932" t="s">
        <v>11460</v>
      </c>
      <c r="J2932" t="s">
        <v>11761</v>
      </c>
      <c r="K2932" t="s">
        <v>1641</v>
      </c>
      <c r="L2932">
        <v>10452</v>
      </c>
      <c r="M2932" t="s">
        <v>1670</v>
      </c>
      <c r="P2932" t="s">
        <v>12759</v>
      </c>
      <c r="Q2932" t="s">
        <v>1940</v>
      </c>
      <c r="R2932" t="s">
        <v>1960</v>
      </c>
      <c r="T2932" t="s">
        <v>1671</v>
      </c>
      <c r="V2932" t="s">
        <v>1972</v>
      </c>
      <c r="W2932" t="s">
        <v>1984</v>
      </c>
      <c r="X2932" t="s">
        <v>189</v>
      </c>
      <c r="Y2932">
        <v>850</v>
      </c>
      <c r="Z2932" t="s">
        <v>2006</v>
      </c>
      <c r="AC2932" t="s">
        <v>15332</v>
      </c>
      <c r="AD2932">
        <v>13789714</v>
      </c>
      <c r="AE2932" t="s">
        <v>17751</v>
      </c>
      <c r="AF2932" t="s">
        <v>13051</v>
      </c>
      <c r="AG2932" t="s">
        <v>2902</v>
      </c>
      <c r="AI2932">
        <v>4</v>
      </c>
      <c r="AJ2932">
        <v>1</v>
      </c>
      <c r="AK2932">
        <v>1</v>
      </c>
      <c r="AL2932">
        <v>170.11</v>
      </c>
      <c r="AO2932" t="s">
        <v>2927</v>
      </c>
      <c r="AP2932">
        <v>28000</v>
      </c>
      <c r="AQ2932" t="s">
        <v>18427</v>
      </c>
      <c r="AV2932">
        <v>3.8</v>
      </c>
      <c r="AW2932" t="s">
        <v>296</v>
      </c>
      <c r="AX2932" t="s">
        <v>126</v>
      </c>
    </row>
    <row r="2933" spans="1:50">
      <c r="A2933" s="1" t="s">
        <v>50</v>
      </c>
      <c r="B2933" t="s">
        <v>88</v>
      </c>
      <c r="C2933" t="s">
        <v>163</v>
      </c>
      <c r="D2933" t="s">
        <v>6235</v>
      </c>
      <c r="E2933" t="s">
        <v>291</v>
      </c>
      <c r="G2933" t="s">
        <v>9160</v>
      </c>
      <c r="H2933" t="s">
        <v>877</v>
      </c>
      <c r="I2933" t="s">
        <v>11461</v>
      </c>
      <c r="J2933" t="s">
        <v>1562</v>
      </c>
      <c r="K2933" t="s">
        <v>1644</v>
      </c>
      <c r="L2933">
        <v>11212</v>
      </c>
      <c r="M2933" t="s">
        <v>1670</v>
      </c>
      <c r="P2933" t="s">
        <v>12760</v>
      </c>
      <c r="Q2933" t="s">
        <v>1936</v>
      </c>
      <c r="R2933" t="s">
        <v>1960</v>
      </c>
      <c r="T2933" t="s">
        <v>1671</v>
      </c>
      <c r="V2933" t="s">
        <v>1972</v>
      </c>
      <c r="W2933" t="s">
        <v>1984</v>
      </c>
      <c r="X2933" t="s">
        <v>390</v>
      </c>
      <c r="Y2933">
        <v>1984.35</v>
      </c>
      <c r="Z2933" t="s">
        <v>2009</v>
      </c>
      <c r="AA2933" t="s">
        <v>2022</v>
      </c>
      <c r="AC2933" t="s">
        <v>15333</v>
      </c>
      <c r="AD2933">
        <v>17011970</v>
      </c>
      <c r="AE2933" t="s">
        <v>17752</v>
      </c>
      <c r="AF2933">
        <v>4</v>
      </c>
      <c r="AG2933" t="s">
        <v>2903</v>
      </c>
      <c r="AH2933" t="s">
        <v>2916</v>
      </c>
      <c r="AI2933">
        <v>3</v>
      </c>
      <c r="AJ2933">
        <v>1</v>
      </c>
      <c r="AK2933">
        <v>4</v>
      </c>
      <c r="AL2933">
        <v>39.77</v>
      </c>
      <c r="AO2933" t="s">
        <v>2926</v>
      </c>
      <c r="AP2933">
        <v>12000</v>
      </c>
      <c r="AV2933">
        <v>34.8</v>
      </c>
      <c r="AW2933" t="s">
        <v>3030</v>
      </c>
      <c r="AX2933" t="s">
        <v>3084</v>
      </c>
    </row>
    <row r="2934" spans="1:50">
      <c r="A2934" s="1" t="s">
        <v>50</v>
      </c>
      <c r="B2934" t="s">
        <v>53</v>
      </c>
      <c r="C2934" t="s">
        <v>163</v>
      </c>
      <c r="D2934" t="s">
        <v>6236</v>
      </c>
      <c r="E2934" t="s">
        <v>206</v>
      </c>
      <c r="G2934" t="s">
        <v>9161</v>
      </c>
      <c r="H2934" t="s">
        <v>10738</v>
      </c>
      <c r="I2934" t="s">
        <v>11462</v>
      </c>
      <c r="J2934" t="s">
        <v>1513</v>
      </c>
      <c r="K2934" t="s">
        <v>1649</v>
      </c>
      <c r="L2934">
        <v>11692</v>
      </c>
      <c r="M2934" t="s">
        <v>1670</v>
      </c>
      <c r="P2934" t="s">
        <v>12761</v>
      </c>
      <c r="Q2934" t="s">
        <v>1940</v>
      </c>
      <c r="R2934" t="s">
        <v>1960</v>
      </c>
      <c r="T2934" t="s">
        <v>1671</v>
      </c>
      <c r="V2934" t="s">
        <v>1972</v>
      </c>
      <c r="W2934" t="s">
        <v>1987</v>
      </c>
      <c r="X2934" t="s">
        <v>334</v>
      </c>
      <c r="Y2934">
        <v>2197</v>
      </c>
      <c r="Z2934" t="s">
        <v>2007</v>
      </c>
      <c r="AA2934" t="s">
        <v>13055</v>
      </c>
      <c r="AC2934" t="s">
        <v>15334</v>
      </c>
      <c r="AD2934">
        <v>30838634</v>
      </c>
      <c r="AE2934" t="s">
        <v>17753</v>
      </c>
      <c r="AF2934">
        <v>2</v>
      </c>
      <c r="AG2934" t="s">
        <v>2903</v>
      </c>
      <c r="AH2934" t="s">
        <v>2918</v>
      </c>
      <c r="AI2934">
        <v>3</v>
      </c>
      <c r="AJ2934">
        <v>2</v>
      </c>
      <c r="AK2934">
        <v>7</v>
      </c>
      <c r="AL2934">
        <v>19.06</v>
      </c>
      <c r="AO2934" t="s">
        <v>2926</v>
      </c>
      <c r="AP2934">
        <v>9120</v>
      </c>
      <c r="AV2934">
        <v>20.9</v>
      </c>
      <c r="AW2934" t="s">
        <v>399</v>
      </c>
      <c r="AX2934" t="s">
        <v>18677</v>
      </c>
    </row>
    <row r="2935" spans="1:50">
      <c r="A2935" s="1" t="s">
        <v>50</v>
      </c>
      <c r="B2935" t="s">
        <v>63</v>
      </c>
      <c r="C2935" t="s">
        <v>163</v>
      </c>
      <c r="D2935" t="s">
        <v>6237</v>
      </c>
      <c r="E2935" t="s">
        <v>1993</v>
      </c>
      <c r="G2935" t="s">
        <v>9162</v>
      </c>
      <c r="H2935" t="s">
        <v>10739</v>
      </c>
      <c r="I2935" t="s">
        <v>11463</v>
      </c>
      <c r="J2935" t="s">
        <v>11762</v>
      </c>
      <c r="K2935" t="s">
        <v>1641</v>
      </c>
      <c r="L2935">
        <v>10453</v>
      </c>
      <c r="M2935" t="s">
        <v>1670</v>
      </c>
      <c r="P2935" t="s">
        <v>12762</v>
      </c>
      <c r="Q2935" t="s">
        <v>1936</v>
      </c>
      <c r="R2935" t="s">
        <v>1958</v>
      </c>
      <c r="T2935" t="s">
        <v>1671</v>
      </c>
      <c r="V2935" t="s">
        <v>1972</v>
      </c>
      <c r="W2935" t="s">
        <v>1984</v>
      </c>
      <c r="X2935" t="s">
        <v>1991</v>
      </c>
      <c r="Y2935">
        <v>1931</v>
      </c>
      <c r="Z2935" t="s">
        <v>2006</v>
      </c>
      <c r="AA2935" t="s">
        <v>2020</v>
      </c>
      <c r="AC2935" t="s">
        <v>15335</v>
      </c>
      <c r="AD2935">
        <v>32013902</v>
      </c>
      <c r="AE2935" t="s">
        <v>17754</v>
      </c>
      <c r="AF2935">
        <v>1654</v>
      </c>
      <c r="AG2935" t="s">
        <v>2909</v>
      </c>
      <c r="AH2935" t="s">
        <v>2915</v>
      </c>
      <c r="AI2935">
        <v>9</v>
      </c>
      <c r="AJ2935">
        <v>2</v>
      </c>
      <c r="AK2935">
        <v>4</v>
      </c>
      <c r="AL2935">
        <v>40.9</v>
      </c>
      <c r="AO2935" t="s">
        <v>2926</v>
      </c>
      <c r="AP2935">
        <v>13800</v>
      </c>
      <c r="AQ2935" t="s">
        <v>18428</v>
      </c>
      <c r="AV2935">
        <v>2.3</v>
      </c>
      <c r="AW2935" t="s">
        <v>313</v>
      </c>
      <c r="AX2935" t="s">
        <v>3047</v>
      </c>
    </row>
    <row r="2936" spans="1:50">
      <c r="A2936" s="1" t="s">
        <v>50</v>
      </c>
      <c r="B2936" t="s">
        <v>63</v>
      </c>
      <c r="C2936" t="s">
        <v>163</v>
      </c>
      <c r="D2936" t="s">
        <v>6238</v>
      </c>
      <c r="E2936" t="s">
        <v>252</v>
      </c>
      <c r="G2936" t="s">
        <v>9162</v>
      </c>
      <c r="H2936" t="s">
        <v>10739</v>
      </c>
      <c r="I2936" t="s">
        <v>11463</v>
      </c>
      <c r="J2936" t="s">
        <v>11762</v>
      </c>
      <c r="K2936" t="s">
        <v>1641</v>
      </c>
      <c r="L2936">
        <v>10453</v>
      </c>
      <c r="M2936" t="s">
        <v>1670</v>
      </c>
      <c r="Q2936" t="s">
        <v>1939</v>
      </c>
      <c r="R2936" t="s">
        <v>1960</v>
      </c>
      <c r="T2936" t="s">
        <v>1671</v>
      </c>
      <c r="V2936" t="s">
        <v>1972</v>
      </c>
      <c r="X2936" t="s">
        <v>252</v>
      </c>
      <c r="Y2936">
        <v>1931</v>
      </c>
      <c r="Z2936" t="s">
        <v>2006</v>
      </c>
      <c r="AA2936" t="s">
        <v>2020</v>
      </c>
      <c r="AC2936" t="s">
        <v>15335</v>
      </c>
      <c r="AD2936">
        <v>32013902</v>
      </c>
      <c r="AE2936" t="s">
        <v>17754</v>
      </c>
      <c r="AF2936">
        <v>1654</v>
      </c>
      <c r="AG2936" t="s">
        <v>2909</v>
      </c>
      <c r="AH2936" t="s">
        <v>2915</v>
      </c>
      <c r="AI2936">
        <v>9</v>
      </c>
      <c r="AJ2936">
        <v>2</v>
      </c>
      <c r="AK2936">
        <v>4</v>
      </c>
      <c r="AL2936">
        <v>40.9</v>
      </c>
      <c r="AO2936" t="s">
        <v>2926</v>
      </c>
      <c r="AP2936">
        <v>13800</v>
      </c>
      <c r="AV2936">
        <v>21.8</v>
      </c>
      <c r="AW2936" t="s">
        <v>364</v>
      </c>
      <c r="AX2936" t="s">
        <v>3046</v>
      </c>
    </row>
    <row r="2937" spans="1:50">
      <c r="A2937" s="1" t="s">
        <v>50</v>
      </c>
      <c r="B2937" t="s">
        <v>120</v>
      </c>
      <c r="C2937" t="s">
        <v>163</v>
      </c>
      <c r="D2937" t="s">
        <v>6239</v>
      </c>
      <c r="E2937" t="s">
        <v>246</v>
      </c>
      <c r="G2937" t="s">
        <v>6859</v>
      </c>
      <c r="H2937" t="s">
        <v>941</v>
      </c>
      <c r="I2937" t="s">
        <v>11464</v>
      </c>
      <c r="J2937" t="s">
        <v>1487</v>
      </c>
      <c r="K2937" t="s">
        <v>1644</v>
      </c>
      <c r="L2937">
        <v>11207</v>
      </c>
      <c r="M2937" t="s">
        <v>1670</v>
      </c>
      <c r="P2937" t="s">
        <v>12763</v>
      </c>
      <c r="Q2937" t="s">
        <v>12751</v>
      </c>
      <c r="R2937" t="s">
        <v>1959</v>
      </c>
      <c r="T2937" t="s">
        <v>1671</v>
      </c>
      <c r="V2937" t="s">
        <v>1974</v>
      </c>
      <c r="W2937" t="s">
        <v>1987</v>
      </c>
      <c r="X2937" t="s">
        <v>341</v>
      </c>
      <c r="Y2937">
        <v>2006</v>
      </c>
      <c r="Z2937" t="s">
        <v>2009</v>
      </c>
      <c r="AA2937" t="s">
        <v>2020</v>
      </c>
      <c r="AC2937" t="s">
        <v>15336</v>
      </c>
      <c r="AD2937">
        <v>33709173</v>
      </c>
      <c r="AE2937" t="s">
        <v>17755</v>
      </c>
      <c r="AF2937">
        <v>14</v>
      </c>
      <c r="AG2937" t="s">
        <v>2902</v>
      </c>
      <c r="AH2937" t="s">
        <v>2916</v>
      </c>
      <c r="AI2937">
        <v>3</v>
      </c>
      <c r="AJ2937">
        <v>3</v>
      </c>
      <c r="AK2937">
        <v>2</v>
      </c>
      <c r="AL2937">
        <v>61.18</v>
      </c>
      <c r="AO2937" t="s">
        <v>2926</v>
      </c>
      <c r="AP2937">
        <v>18000</v>
      </c>
      <c r="AV2937">
        <v>43.75</v>
      </c>
      <c r="AW2937" t="s">
        <v>365</v>
      </c>
      <c r="AX2937" t="s">
        <v>3060</v>
      </c>
    </row>
    <row r="2938" spans="1:50">
      <c r="A2938" s="1" t="s">
        <v>50</v>
      </c>
      <c r="B2938" t="s">
        <v>88</v>
      </c>
      <c r="C2938" t="s">
        <v>164</v>
      </c>
      <c r="D2938" t="s">
        <v>6240</v>
      </c>
      <c r="E2938" t="s">
        <v>382</v>
      </c>
      <c r="F2938" t="s">
        <v>268</v>
      </c>
      <c r="G2938" t="s">
        <v>6859</v>
      </c>
      <c r="H2938" t="s">
        <v>941</v>
      </c>
      <c r="I2938" t="s">
        <v>11464</v>
      </c>
      <c r="J2938" t="s">
        <v>1487</v>
      </c>
      <c r="K2938" t="s">
        <v>1644</v>
      </c>
      <c r="L2938">
        <v>11207</v>
      </c>
      <c r="M2938" t="s">
        <v>1670</v>
      </c>
      <c r="P2938" t="s">
        <v>12763</v>
      </c>
      <c r="Q2938" t="s">
        <v>1936</v>
      </c>
      <c r="R2938" t="s">
        <v>1960</v>
      </c>
      <c r="S2938" t="s">
        <v>1969</v>
      </c>
      <c r="T2938" t="s">
        <v>1671</v>
      </c>
      <c r="V2938" t="s">
        <v>1972</v>
      </c>
      <c r="W2938" t="s">
        <v>1984</v>
      </c>
      <c r="X2938" t="s">
        <v>341</v>
      </c>
      <c r="Y2938">
        <v>2006</v>
      </c>
      <c r="Z2938" t="s">
        <v>2009</v>
      </c>
      <c r="AA2938" t="s">
        <v>2020</v>
      </c>
      <c r="AB2938" t="s">
        <v>2032</v>
      </c>
      <c r="AC2938" t="s">
        <v>15336</v>
      </c>
      <c r="AD2938">
        <v>33709173</v>
      </c>
      <c r="AE2938" t="s">
        <v>17755</v>
      </c>
      <c r="AF2938">
        <v>14</v>
      </c>
      <c r="AG2938" t="s">
        <v>2902</v>
      </c>
      <c r="AH2938" t="s">
        <v>2916</v>
      </c>
      <c r="AI2938">
        <v>3</v>
      </c>
      <c r="AJ2938">
        <v>3</v>
      </c>
      <c r="AK2938">
        <v>2</v>
      </c>
      <c r="AL2938">
        <v>61.18</v>
      </c>
      <c r="AO2938" t="s">
        <v>2926</v>
      </c>
      <c r="AP2938">
        <v>18000</v>
      </c>
      <c r="AV2938">
        <v>22.1</v>
      </c>
      <c r="AW2938" t="s">
        <v>322</v>
      </c>
      <c r="AX2938" t="s">
        <v>3060</v>
      </c>
    </row>
    <row r="2939" spans="1:50">
      <c r="A2939" s="1" t="s">
        <v>50</v>
      </c>
      <c r="B2939" t="s">
        <v>119</v>
      </c>
      <c r="C2939" t="s">
        <v>164</v>
      </c>
      <c r="D2939" t="s">
        <v>6241</v>
      </c>
      <c r="E2939" t="s">
        <v>370</v>
      </c>
      <c r="F2939" t="s">
        <v>229</v>
      </c>
      <c r="G2939" t="s">
        <v>9163</v>
      </c>
      <c r="H2939" t="s">
        <v>10740</v>
      </c>
      <c r="I2939" t="s">
        <v>11465</v>
      </c>
      <c r="J2939" t="s">
        <v>11144</v>
      </c>
      <c r="K2939" t="s">
        <v>1644</v>
      </c>
      <c r="L2939">
        <v>11208</v>
      </c>
      <c r="M2939" t="s">
        <v>1670</v>
      </c>
      <c r="P2939" t="s">
        <v>12764</v>
      </c>
      <c r="Q2939" t="s">
        <v>1936</v>
      </c>
      <c r="R2939" t="s">
        <v>1958</v>
      </c>
      <c r="S2939" t="s">
        <v>1965</v>
      </c>
      <c r="T2939" t="s">
        <v>1671</v>
      </c>
      <c r="V2939" t="s">
        <v>1972</v>
      </c>
      <c r="W2939" t="s">
        <v>1983</v>
      </c>
      <c r="X2939" t="s">
        <v>370</v>
      </c>
      <c r="Y2939">
        <v>1534</v>
      </c>
      <c r="Z2939" t="s">
        <v>2009</v>
      </c>
      <c r="AA2939" t="s">
        <v>2019</v>
      </c>
      <c r="AB2939" t="s">
        <v>2029</v>
      </c>
      <c r="AC2939" t="s">
        <v>15337</v>
      </c>
      <c r="AD2939">
        <v>34246674</v>
      </c>
      <c r="AE2939" t="s">
        <v>17756</v>
      </c>
      <c r="AF2939">
        <v>3</v>
      </c>
      <c r="AG2939" t="s">
        <v>2903</v>
      </c>
      <c r="AH2939" t="s">
        <v>2918</v>
      </c>
      <c r="AI2939">
        <v>1</v>
      </c>
      <c r="AJ2939">
        <v>1</v>
      </c>
      <c r="AK2939">
        <v>3</v>
      </c>
      <c r="AL2939">
        <v>40.64</v>
      </c>
      <c r="AO2939" t="s">
        <v>2926</v>
      </c>
      <c r="AP2939">
        <v>10200</v>
      </c>
      <c r="AV2939">
        <v>4.1</v>
      </c>
      <c r="AW2939" t="s">
        <v>351</v>
      </c>
      <c r="AX2939" t="s">
        <v>3058</v>
      </c>
    </row>
    <row r="2940" spans="1:50">
      <c r="A2940" s="1" t="s">
        <v>50</v>
      </c>
      <c r="B2940" t="s">
        <v>156</v>
      </c>
      <c r="C2940" t="s">
        <v>163</v>
      </c>
      <c r="D2940" t="s">
        <v>6242</v>
      </c>
      <c r="E2940" t="s">
        <v>340</v>
      </c>
      <c r="G2940" t="s">
        <v>7497</v>
      </c>
      <c r="H2940" t="s">
        <v>1016</v>
      </c>
      <c r="I2940" t="s">
        <v>11466</v>
      </c>
      <c r="J2940" t="s">
        <v>1525</v>
      </c>
      <c r="K2940" t="s">
        <v>1641</v>
      </c>
      <c r="L2940">
        <v>10454</v>
      </c>
      <c r="M2940" t="s">
        <v>1670</v>
      </c>
      <c r="Q2940" t="s">
        <v>1943</v>
      </c>
      <c r="R2940" t="s">
        <v>1959</v>
      </c>
      <c r="T2940" t="s">
        <v>1671</v>
      </c>
      <c r="V2940" t="s">
        <v>1973</v>
      </c>
      <c r="W2940" t="s">
        <v>1985</v>
      </c>
      <c r="X2940" t="s">
        <v>340</v>
      </c>
      <c r="Y2940">
        <v>1900</v>
      </c>
      <c r="Z2940" t="s">
        <v>2006</v>
      </c>
      <c r="AA2940" t="s">
        <v>2020</v>
      </c>
      <c r="AC2940" t="s">
        <v>15338</v>
      </c>
      <c r="AD2940">
        <v>35493636</v>
      </c>
      <c r="AE2940" t="s">
        <v>17757</v>
      </c>
      <c r="AF2940">
        <v>173</v>
      </c>
      <c r="AG2940" t="s">
        <v>2902</v>
      </c>
      <c r="AH2940" t="s">
        <v>2915</v>
      </c>
      <c r="AI2940">
        <v>4</v>
      </c>
      <c r="AJ2940">
        <v>1</v>
      </c>
      <c r="AK2940">
        <v>6</v>
      </c>
      <c r="AL2940">
        <v>58.74</v>
      </c>
      <c r="AO2940" t="s">
        <v>2926</v>
      </c>
      <c r="AP2940">
        <v>22356</v>
      </c>
      <c r="AV2940">
        <v>0.25</v>
      </c>
      <c r="AW2940" t="s">
        <v>377</v>
      </c>
      <c r="AX2940" t="s">
        <v>3047</v>
      </c>
    </row>
    <row r="2941" spans="1:50">
      <c r="A2941" s="1" t="s">
        <v>50</v>
      </c>
      <c r="B2941" t="s">
        <v>3146</v>
      </c>
      <c r="C2941" t="s">
        <v>164</v>
      </c>
      <c r="D2941" t="s">
        <v>6243</v>
      </c>
      <c r="E2941" t="s">
        <v>201</v>
      </c>
      <c r="F2941" t="s">
        <v>2002</v>
      </c>
      <c r="G2941" t="s">
        <v>9164</v>
      </c>
      <c r="H2941" t="s">
        <v>8542</v>
      </c>
      <c r="I2941" t="s">
        <v>9833</v>
      </c>
      <c r="J2941" t="s">
        <v>1541</v>
      </c>
      <c r="K2941" t="s">
        <v>1641</v>
      </c>
      <c r="L2941">
        <v>10453</v>
      </c>
      <c r="M2941" t="s">
        <v>1670</v>
      </c>
      <c r="P2941" t="s">
        <v>1691</v>
      </c>
      <c r="Q2941" t="s">
        <v>1955</v>
      </c>
      <c r="R2941" t="s">
        <v>1959</v>
      </c>
      <c r="S2941" t="s">
        <v>1970</v>
      </c>
      <c r="T2941" t="s">
        <v>1671</v>
      </c>
      <c r="V2941" t="s">
        <v>1973</v>
      </c>
      <c r="X2941" t="s">
        <v>201</v>
      </c>
      <c r="Y2941">
        <v>1509.69</v>
      </c>
      <c r="Z2941" t="s">
        <v>2006</v>
      </c>
      <c r="AA2941" t="s">
        <v>2013</v>
      </c>
      <c r="AB2941" t="s">
        <v>2030</v>
      </c>
      <c r="AC2941" t="s">
        <v>15339</v>
      </c>
      <c r="AD2941">
        <v>36928205</v>
      </c>
      <c r="AE2941" t="s">
        <v>17758</v>
      </c>
      <c r="AF2941">
        <v>99</v>
      </c>
      <c r="AG2941" t="s">
        <v>2902</v>
      </c>
      <c r="AH2941" t="s">
        <v>2915</v>
      </c>
      <c r="AI2941">
        <v>8</v>
      </c>
      <c r="AJ2941">
        <v>1</v>
      </c>
      <c r="AK2941">
        <v>2</v>
      </c>
      <c r="AL2941">
        <v>12.59</v>
      </c>
      <c r="AO2941" t="s">
        <v>2926</v>
      </c>
      <c r="AP2941">
        <v>2616</v>
      </c>
      <c r="AU2941" t="s">
        <v>18615</v>
      </c>
      <c r="AV2941">
        <v>0.8</v>
      </c>
      <c r="AW2941" t="s">
        <v>2002</v>
      </c>
      <c r="AX2941" t="s">
        <v>3064</v>
      </c>
    </row>
    <row r="2942" spans="1:50">
      <c r="A2942" s="1" t="s">
        <v>50</v>
      </c>
      <c r="B2942" t="s">
        <v>63</v>
      </c>
      <c r="C2942" t="s">
        <v>163</v>
      </c>
      <c r="D2942" t="s">
        <v>6244</v>
      </c>
      <c r="E2942" t="s">
        <v>246</v>
      </c>
      <c r="G2942" t="s">
        <v>649</v>
      </c>
      <c r="H2942" t="s">
        <v>10741</v>
      </c>
      <c r="I2942" t="s">
        <v>1227</v>
      </c>
      <c r="J2942" t="s">
        <v>1497</v>
      </c>
      <c r="K2942" t="s">
        <v>1641</v>
      </c>
      <c r="L2942">
        <v>10463</v>
      </c>
      <c r="M2942" t="s">
        <v>1670</v>
      </c>
      <c r="P2942" t="s">
        <v>1763</v>
      </c>
      <c r="Q2942" t="s">
        <v>1939</v>
      </c>
      <c r="R2942" t="s">
        <v>1960</v>
      </c>
      <c r="T2942" t="s">
        <v>1670</v>
      </c>
      <c r="V2942" t="s">
        <v>1972</v>
      </c>
      <c r="X2942" t="s">
        <v>359</v>
      </c>
      <c r="Y2942">
        <v>1144.47</v>
      </c>
      <c r="Z2942" t="s">
        <v>2006</v>
      </c>
      <c r="AA2942" t="s">
        <v>2015</v>
      </c>
      <c r="AC2942" t="s">
        <v>15340</v>
      </c>
      <c r="AD2942">
        <v>54522717</v>
      </c>
      <c r="AF2942">
        <v>55</v>
      </c>
      <c r="AG2942" t="s">
        <v>2902</v>
      </c>
      <c r="AH2942" t="s">
        <v>2918</v>
      </c>
      <c r="AI2942">
        <v>13</v>
      </c>
      <c r="AJ2942">
        <v>2</v>
      </c>
      <c r="AK2942">
        <v>1</v>
      </c>
      <c r="AL2942">
        <v>70.28</v>
      </c>
      <c r="AO2942" t="s">
        <v>2926</v>
      </c>
      <c r="AP2942">
        <v>14604</v>
      </c>
      <c r="AQ2942" t="s">
        <v>18146</v>
      </c>
      <c r="AV2942" t="s">
        <v>13051</v>
      </c>
      <c r="AX2942" t="s">
        <v>3054</v>
      </c>
    </row>
    <row r="2943" spans="1:50">
      <c r="A2943" s="1" t="s">
        <v>50</v>
      </c>
      <c r="B2943" t="s">
        <v>52</v>
      </c>
      <c r="C2943" t="s">
        <v>163</v>
      </c>
      <c r="D2943" t="s">
        <v>6245</v>
      </c>
      <c r="E2943" t="s">
        <v>183</v>
      </c>
      <c r="G2943" t="s">
        <v>7269</v>
      </c>
      <c r="H2943" t="s">
        <v>8766</v>
      </c>
      <c r="I2943" t="s">
        <v>11467</v>
      </c>
      <c r="J2943" t="s">
        <v>1528</v>
      </c>
      <c r="K2943" t="s">
        <v>1641</v>
      </c>
      <c r="L2943">
        <v>10452</v>
      </c>
      <c r="M2943" t="s">
        <v>1670</v>
      </c>
      <c r="P2943" t="s">
        <v>1691</v>
      </c>
      <c r="Q2943" t="s">
        <v>1942</v>
      </c>
      <c r="R2943" t="s">
        <v>1959</v>
      </c>
      <c r="T2943" t="s">
        <v>1671</v>
      </c>
      <c r="V2943" t="s">
        <v>1973</v>
      </c>
      <c r="X2943" t="s">
        <v>220</v>
      </c>
      <c r="Y2943">
        <v>1500</v>
      </c>
      <c r="Z2943" t="s">
        <v>2006</v>
      </c>
      <c r="AA2943" t="s">
        <v>2024</v>
      </c>
      <c r="AC2943" t="s">
        <v>15341</v>
      </c>
      <c r="AD2943">
        <v>370953540</v>
      </c>
      <c r="AE2943" t="s">
        <v>17759</v>
      </c>
      <c r="AF2943">
        <v>49</v>
      </c>
      <c r="AG2943" t="s">
        <v>2902</v>
      </c>
      <c r="AI2943">
        <v>10</v>
      </c>
      <c r="AJ2943">
        <v>2</v>
      </c>
      <c r="AK2943">
        <v>1</v>
      </c>
      <c r="AL2943">
        <v>90.86</v>
      </c>
      <c r="AO2943" t="s">
        <v>2927</v>
      </c>
      <c r="AP2943">
        <v>19380</v>
      </c>
      <c r="AV2943">
        <v>13.7</v>
      </c>
      <c r="AW2943" t="s">
        <v>361</v>
      </c>
      <c r="AX2943" t="s">
        <v>18658</v>
      </c>
    </row>
    <row r="2944" spans="1:50">
      <c r="A2944" s="1" t="s">
        <v>50</v>
      </c>
      <c r="B2944" t="s">
        <v>52</v>
      </c>
      <c r="C2944" t="s">
        <v>163</v>
      </c>
      <c r="D2944" t="s">
        <v>6246</v>
      </c>
      <c r="E2944" t="s">
        <v>186</v>
      </c>
      <c r="G2944" t="s">
        <v>7269</v>
      </c>
      <c r="H2944" t="s">
        <v>8766</v>
      </c>
      <c r="I2944" t="s">
        <v>11467</v>
      </c>
      <c r="J2944" t="s">
        <v>1528</v>
      </c>
      <c r="K2944" t="s">
        <v>1641</v>
      </c>
      <c r="L2944">
        <v>10452</v>
      </c>
      <c r="M2944" t="s">
        <v>1670</v>
      </c>
      <c r="Q2944" t="s">
        <v>1940</v>
      </c>
      <c r="R2944" t="s">
        <v>1962</v>
      </c>
      <c r="T2944" t="s">
        <v>1671</v>
      </c>
      <c r="V2944" t="s">
        <v>1972</v>
      </c>
      <c r="X2944" t="s">
        <v>186</v>
      </c>
      <c r="Y2944">
        <v>1500</v>
      </c>
      <c r="Z2944" t="s">
        <v>2006</v>
      </c>
      <c r="AA2944" t="s">
        <v>2021</v>
      </c>
      <c r="AC2944" t="s">
        <v>15341</v>
      </c>
      <c r="AD2944">
        <v>370953540</v>
      </c>
      <c r="AE2944" t="s">
        <v>17759</v>
      </c>
      <c r="AF2944">
        <v>49</v>
      </c>
      <c r="AI2944">
        <v>10</v>
      </c>
      <c r="AJ2944">
        <v>2</v>
      </c>
      <c r="AK2944">
        <v>1</v>
      </c>
      <c r="AL2944">
        <v>96.88</v>
      </c>
      <c r="AO2944" t="s">
        <v>2927</v>
      </c>
      <c r="AP2944">
        <v>20664</v>
      </c>
      <c r="AV2944">
        <v>4</v>
      </c>
      <c r="AW2944" t="s">
        <v>3030</v>
      </c>
      <c r="AX2944" t="s">
        <v>52</v>
      </c>
    </row>
    <row r="2945" spans="1:50">
      <c r="A2945" s="1" t="s">
        <v>50</v>
      </c>
      <c r="B2945" t="s">
        <v>88</v>
      </c>
      <c r="C2945" t="s">
        <v>164</v>
      </c>
      <c r="D2945" t="s">
        <v>6247</v>
      </c>
      <c r="E2945" t="s">
        <v>255</v>
      </c>
      <c r="F2945" t="s">
        <v>206</v>
      </c>
      <c r="G2945" t="s">
        <v>9165</v>
      </c>
      <c r="H2945" t="s">
        <v>832</v>
      </c>
      <c r="I2945" t="s">
        <v>11468</v>
      </c>
      <c r="J2945" t="s">
        <v>1542</v>
      </c>
      <c r="K2945" t="s">
        <v>1644</v>
      </c>
      <c r="L2945">
        <v>11208</v>
      </c>
      <c r="M2945" t="s">
        <v>1670</v>
      </c>
      <c r="P2945" t="s">
        <v>12765</v>
      </c>
      <c r="Q2945" t="s">
        <v>1940</v>
      </c>
      <c r="R2945" t="s">
        <v>1962</v>
      </c>
      <c r="S2945" t="s">
        <v>1968</v>
      </c>
      <c r="T2945" t="s">
        <v>1671</v>
      </c>
      <c r="V2945" t="s">
        <v>1972</v>
      </c>
      <c r="X2945" t="s">
        <v>255</v>
      </c>
      <c r="Y2945">
        <v>2100</v>
      </c>
      <c r="Z2945" t="s">
        <v>2009</v>
      </c>
      <c r="AA2945" t="s">
        <v>2011</v>
      </c>
      <c r="AB2945" t="s">
        <v>2030</v>
      </c>
      <c r="AC2945" t="s">
        <v>15342</v>
      </c>
      <c r="AD2945">
        <v>375657841</v>
      </c>
      <c r="AE2945" t="s">
        <v>17760</v>
      </c>
      <c r="AF2945">
        <v>4</v>
      </c>
      <c r="AG2945" t="s">
        <v>2904</v>
      </c>
      <c r="AI2945">
        <v>8</v>
      </c>
      <c r="AJ2945">
        <v>1</v>
      </c>
      <c r="AK2945">
        <v>1</v>
      </c>
      <c r="AL2945">
        <v>112.36</v>
      </c>
      <c r="AO2945" t="s">
        <v>2926</v>
      </c>
      <c r="AP2945">
        <v>19000</v>
      </c>
      <c r="AV2945">
        <v>0.7</v>
      </c>
      <c r="AW2945" t="s">
        <v>255</v>
      </c>
      <c r="AX2945" t="s">
        <v>3049</v>
      </c>
    </row>
    <row r="2946" spans="1:50">
      <c r="A2946" s="1" t="s">
        <v>50</v>
      </c>
      <c r="B2946" t="s">
        <v>57</v>
      </c>
      <c r="C2946" t="s">
        <v>164</v>
      </c>
      <c r="D2946" t="s">
        <v>6248</v>
      </c>
      <c r="E2946" t="s">
        <v>1999</v>
      </c>
      <c r="F2946" t="s">
        <v>1994</v>
      </c>
      <c r="G2946" t="s">
        <v>9166</v>
      </c>
      <c r="H2946" t="s">
        <v>10742</v>
      </c>
      <c r="I2946" t="s">
        <v>11469</v>
      </c>
      <c r="J2946" t="s">
        <v>11144</v>
      </c>
      <c r="K2946" t="s">
        <v>1641</v>
      </c>
      <c r="L2946">
        <v>10469</v>
      </c>
      <c r="M2946" t="s">
        <v>1670</v>
      </c>
      <c r="R2946" t="s">
        <v>1958</v>
      </c>
      <c r="S2946" t="s">
        <v>1965</v>
      </c>
      <c r="T2946" t="s">
        <v>1671</v>
      </c>
      <c r="V2946" t="s">
        <v>1972</v>
      </c>
      <c r="X2946" t="s">
        <v>1991</v>
      </c>
      <c r="Y2946">
        <v>1811</v>
      </c>
      <c r="Z2946" t="s">
        <v>2006</v>
      </c>
      <c r="AA2946" t="s">
        <v>2015</v>
      </c>
      <c r="AB2946" t="s">
        <v>2029</v>
      </c>
      <c r="AC2946" t="s">
        <v>15343</v>
      </c>
      <c r="AD2946">
        <v>3760288201</v>
      </c>
      <c r="AF2946">
        <v>2</v>
      </c>
      <c r="AG2946" t="s">
        <v>2904</v>
      </c>
      <c r="AH2946" t="s">
        <v>2915</v>
      </c>
      <c r="AI2946">
        <v>8</v>
      </c>
      <c r="AJ2946">
        <v>2</v>
      </c>
      <c r="AK2946">
        <v>2</v>
      </c>
      <c r="AL2946">
        <v>19.85</v>
      </c>
      <c r="AO2946" t="s">
        <v>2926</v>
      </c>
      <c r="AP2946">
        <v>5112</v>
      </c>
      <c r="AV2946">
        <v>0.1</v>
      </c>
      <c r="AW2946" t="s">
        <v>1994</v>
      </c>
      <c r="AX2946" t="s">
        <v>3046</v>
      </c>
    </row>
    <row r="2947" spans="1:50">
      <c r="A2947" s="1" t="s">
        <v>50</v>
      </c>
      <c r="B2947" t="s">
        <v>103</v>
      </c>
      <c r="C2947" t="s">
        <v>163</v>
      </c>
      <c r="D2947" t="s">
        <v>6249</v>
      </c>
      <c r="E2947" t="s">
        <v>239</v>
      </c>
      <c r="G2947" t="s">
        <v>415</v>
      </c>
      <c r="H2947" t="s">
        <v>8603</v>
      </c>
      <c r="I2947" t="s">
        <v>11470</v>
      </c>
      <c r="J2947" t="s">
        <v>1520</v>
      </c>
      <c r="K2947" t="s">
        <v>1644</v>
      </c>
      <c r="L2947">
        <v>11233</v>
      </c>
      <c r="M2947" t="s">
        <v>1670</v>
      </c>
      <c r="P2947" t="s">
        <v>12766</v>
      </c>
      <c r="Q2947" t="s">
        <v>1936</v>
      </c>
      <c r="R2947" t="s">
        <v>1958</v>
      </c>
      <c r="T2947" t="s">
        <v>1671</v>
      </c>
      <c r="V2947" t="s">
        <v>1972</v>
      </c>
      <c r="W2947" t="s">
        <v>1984</v>
      </c>
      <c r="X2947" t="s">
        <v>249</v>
      </c>
      <c r="Y2947">
        <v>1303</v>
      </c>
      <c r="Z2947" t="s">
        <v>2009</v>
      </c>
      <c r="AA2947" t="s">
        <v>2020</v>
      </c>
      <c r="AC2947" t="s">
        <v>15344</v>
      </c>
      <c r="AD2947" t="s">
        <v>17475</v>
      </c>
      <c r="AE2947" t="s">
        <v>17761</v>
      </c>
      <c r="AF2947">
        <v>19</v>
      </c>
      <c r="AG2947" t="s">
        <v>2902</v>
      </c>
      <c r="AH2947" t="s">
        <v>1754</v>
      </c>
      <c r="AI2947">
        <v>7</v>
      </c>
      <c r="AJ2947">
        <v>2</v>
      </c>
      <c r="AK2947">
        <v>1</v>
      </c>
      <c r="AL2947">
        <v>168.78</v>
      </c>
      <c r="AO2947" t="s">
        <v>2926</v>
      </c>
      <c r="AP2947">
        <v>36000</v>
      </c>
      <c r="AV2947">
        <v>4.5</v>
      </c>
      <c r="AW2947" t="s">
        <v>354</v>
      </c>
      <c r="AX2947" t="s">
        <v>3060</v>
      </c>
    </row>
    <row r="2948" spans="1:50">
      <c r="A2948" s="1" t="s">
        <v>51</v>
      </c>
      <c r="B2948" t="s">
        <v>99</v>
      </c>
      <c r="C2948" t="s">
        <v>164</v>
      </c>
      <c r="D2948" t="s">
        <v>6250</v>
      </c>
      <c r="E2948" t="s">
        <v>311</v>
      </c>
      <c r="F2948" t="s">
        <v>311</v>
      </c>
      <c r="G2948" t="s">
        <v>9167</v>
      </c>
      <c r="H2948" t="s">
        <v>1002</v>
      </c>
      <c r="I2948" t="s">
        <v>11471</v>
      </c>
      <c r="J2948" t="s">
        <v>1549</v>
      </c>
      <c r="K2948" t="s">
        <v>1661</v>
      </c>
      <c r="L2948">
        <v>11423</v>
      </c>
      <c r="M2948" t="s">
        <v>1670</v>
      </c>
      <c r="P2948" t="s">
        <v>1691</v>
      </c>
      <c r="Q2948" t="s">
        <v>1675</v>
      </c>
      <c r="R2948" t="s">
        <v>1958</v>
      </c>
      <c r="S2948" t="s">
        <v>1965</v>
      </c>
      <c r="T2948" t="s">
        <v>1671</v>
      </c>
      <c r="V2948" t="s">
        <v>1972</v>
      </c>
      <c r="W2948" t="s">
        <v>1984</v>
      </c>
      <c r="X2948" t="s">
        <v>311</v>
      </c>
      <c r="Y2948">
        <v>1000</v>
      </c>
      <c r="Z2948" t="s">
        <v>2007</v>
      </c>
      <c r="AA2948" t="s">
        <v>2012</v>
      </c>
      <c r="AB2948" t="s">
        <v>2029</v>
      </c>
      <c r="AC2948" t="s">
        <v>15345</v>
      </c>
      <c r="AD2948" t="s">
        <v>15091</v>
      </c>
      <c r="AE2948" t="s">
        <v>15077</v>
      </c>
      <c r="AF2948">
        <v>2</v>
      </c>
      <c r="AG2948" t="s">
        <v>2903</v>
      </c>
      <c r="AH2948" t="s">
        <v>1754</v>
      </c>
      <c r="AI2948">
        <v>1</v>
      </c>
      <c r="AJ2948">
        <v>1</v>
      </c>
      <c r="AK2948">
        <v>2</v>
      </c>
      <c r="AL2948" t="s">
        <v>13051</v>
      </c>
      <c r="AM2948" t="s">
        <v>2923</v>
      </c>
      <c r="AN2948" t="s">
        <v>2924</v>
      </c>
      <c r="AO2948" t="s">
        <v>2926</v>
      </c>
      <c r="AP2948" t="s">
        <v>13051</v>
      </c>
      <c r="AV2948">
        <v>1.23</v>
      </c>
      <c r="AW2948" t="s">
        <v>311</v>
      </c>
      <c r="AX2948" t="s">
        <v>99</v>
      </c>
    </row>
    <row r="2949" spans="1:50">
      <c r="A2949" s="1" t="s">
        <v>50</v>
      </c>
      <c r="B2949" t="s">
        <v>99</v>
      </c>
      <c r="C2949" t="s">
        <v>164</v>
      </c>
      <c r="D2949" t="s">
        <v>6251</v>
      </c>
      <c r="E2949" t="s">
        <v>338</v>
      </c>
      <c r="F2949" t="s">
        <v>7866</v>
      </c>
      <c r="G2949" t="s">
        <v>9168</v>
      </c>
      <c r="H2949" t="s">
        <v>10743</v>
      </c>
      <c r="I2949" t="s">
        <v>11472</v>
      </c>
      <c r="J2949">
        <v>205</v>
      </c>
      <c r="K2949" t="s">
        <v>1656</v>
      </c>
      <c r="L2949">
        <v>11101</v>
      </c>
      <c r="M2949" t="s">
        <v>1670</v>
      </c>
      <c r="P2949" t="s">
        <v>12767</v>
      </c>
      <c r="Q2949" t="s">
        <v>1940</v>
      </c>
      <c r="R2949" t="s">
        <v>1960</v>
      </c>
      <c r="S2949" t="s">
        <v>1969</v>
      </c>
      <c r="T2949" t="s">
        <v>1671</v>
      </c>
      <c r="V2949" t="s">
        <v>1972</v>
      </c>
      <c r="W2949" t="s">
        <v>1984</v>
      </c>
      <c r="X2949" t="s">
        <v>338</v>
      </c>
      <c r="Y2949" t="s">
        <v>13051</v>
      </c>
      <c r="Z2949" t="s">
        <v>2007</v>
      </c>
      <c r="AA2949" t="s">
        <v>2014</v>
      </c>
      <c r="AB2949" t="s">
        <v>2033</v>
      </c>
      <c r="AC2949" t="s">
        <v>15346</v>
      </c>
      <c r="AD2949" t="s">
        <v>15091</v>
      </c>
      <c r="AE2949" t="s">
        <v>17762</v>
      </c>
      <c r="AF2949">
        <v>92</v>
      </c>
      <c r="AG2949" t="s">
        <v>2903</v>
      </c>
      <c r="AH2949" t="s">
        <v>1754</v>
      </c>
      <c r="AI2949">
        <v>5</v>
      </c>
      <c r="AJ2949">
        <v>2</v>
      </c>
      <c r="AK2949">
        <v>2</v>
      </c>
      <c r="AL2949" t="s">
        <v>13051</v>
      </c>
      <c r="AO2949" t="s">
        <v>2926</v>
      </c>
      <c r="AP2949" t="s">
        <v>13051</v>
      </c>
      <c r="AR2949" t="s">
        <v>2977</v>
      </c>
      <c r="AS2949" t="s">
        <v>2982</v>
      </c>
      <c r="AT2949" t="s">
        <v>2993</v>
      </c>
      <c r="AU2949" t="s">
        <v>18616</v>
      </c>
      <c r="AV2949">
        <v>20.7</v>
      </c>
      <c r="AW2949" t="s">
        <v>7866</v>
      </c>
      <c r="AX2949" t="s">
        <v>85</v>
      </c>
    </row>
    <row r="2950" spans="1:50">
      <c r="A2950" s="1" t="s">
        <v>51</v>
      </c>
      <c r="B2950" t="s">
        <v>99</v>
      </c>
      <c r="C2950" t="s">
        <v>164</v>
      </c>
      <c r="D2950" t="s">
        <v>6252</v>
      </c>
      <c r="E2950" t="s">
        <v>199</v>
      </c>
      <c r="F2950" t="s">
        <v>199</v>
      </c>
      <c r="G2950" t="s">
        <v>7257</v>
      </c>
      <c r="H2950" t="s">
        <v>856</v>
      </c>
      <c r="I2950" t="s">
        <v>11473</v>
      </c>
      <c r="J2950" t="s">
        <v>1490</v>
      </c>
      <c r="K2950" t="s">
        <v>1660</v>
      </c>
      <c r="L2950">
        <v>11377</v>
      </c>
      <c r="M2950" t="s">
        <v>1670</v>
      </c>
      <c r="P2950" t="s">
        <v>11921</v>
      </c>
      <c r="Q2950" t="s">
        <v>1675</v>
      </c>
      <c r="R2950" t="s">
        <v>1958</v>
      </c>
      <c r="S2950" t="s">
        <v>1965</v>
      </c>
      <c r="T2950" t="s">
        <v>1671</v>
      </c>
      <c r="V2950" t="s">
        <v>1972</v>
      </c>
      <c r="W2950" t="s">
        <v>1984</v>
      </c>
      <c r="X2950" t="s">
        <v>199</v>
      </c>
      <c r="Y2950">
        <v>807.63</v>
      </c>
      <c r="Z2950" t="s">
        <v>2007</v>
      </c>
      <c r="AA2950" t="s">
        <v>2012</v>
      </c>
      <c r="AB2950" t="s">
        <v>2029</v>
      </c>
      <c r="AC2950" t="s">
        <v>15347</v>
      </c>
      <c r="AD2950" t="s">
        <v>15091</v>
      </c>
      <c r="AE2950" t="s">
        <v>17763</v>
      </c>
      <c r="AF2950">
        <v>181</v>
      </c>
      <c r="AG2950" t="s">
        <v>2902</v>
      </c>
      <c r="AH2950" t="s">
        <v>1754</v>
      </c>
      <c r="AI2950">
        <v>20</v>
      </c>
      <c r="AJ2950">
        <v>1</v>
      </c>
      <c r="AK2950">
        <v>2</v>
      </c>
      <c r="AL2950">
        <v>37</v>
      </c>
      <c r="AM2950" t="s">
        <v>2923</v>
      </c>
      <c r="AN2950" t="s">
        <v>2924</v>
      </c>
      <c r="AO2950" t="s">
        <v>2927</v>
      </c>
      <c r="AP2950">
        <v>7892.04</v>
      </c>
      <c r="AV2950">
        <v>1.55</v>
      </c>
      <c r="AW2950" t="s">
        <v>199</v>
      </c>
      <c r="AX2950" t="s">
        <v>99</v>
      </c>
    </row>
    <row r="2951" spans="1:50">
      <c r="A2951" s="1" t="s">
        <v>50</v>
      </c>
      <c r="B2951" t="s">
        <v>99</v>
      </c>
      <c r="C2951" t="s">
        <v>163</v>
      </c>
      <c r="D2951" t="s">
        <v>6253</v>
      </c>
      <c r="E2951" t="s">
        <v>256</v>
      </c>
      <c r="G2951" t="s">
        <v>9169</v>
      </c>
      <c r="H2951" t="s">
        <v>806</v>
      </c>
      <c r="I2951" t="s">
        <v>9811</v>
      </c>
      <c r="J2951" t="s">
        <v>11763</v>
      </c>
      <c r="K2951" t="s">
        <v>1668</v>
      </c>
      <c r="L2951">
        <v>11354</v>
      </c>
      <c r="M2951" t="s">
        <v>1670</v>
      </c>
      <c r="P2951" t="s">
        <v>12768</v>
      </c>
      <c r="Q2951" t="s">
        <v>1936</v>
      </c>
      <c r="R2951" t="s">
        <v>1960</v>
      </c>
      <c r="T2951" t="s">
        <v>1671</v>
      </c>
      <c r="V2951" t="s">
        <v>1972</v>
      </c>
      <c r="W2951" t="s">
        <v>1985</v>
      </c>
      <c r="X2951" t="s">
        <v>406</v>
      </c>
      <c r="Y2951">
        <v>1923.75</v>
      </c>
      <c r="Z2951" t="s">
        <v>2007</v>
      </c>
      <c r="AA2951" t="s">
        <v>2014</v>
      </c>
      <c r="AC2951" t="s">
        <v>15348</v>
      </c>
      <c r="AD2951" t="s">
        <v>15091</v>
      </c>
      <c r="AE2951" t="s">
        <v>17764</v>
      </c>
      <c r="AF2951">
        <v>175</v>
      </c>
      <c r="AG2951" t="s">
        <v>2902</v>
      </c>
      <c r="AH2951" t="s">
        <v>1754</v>
      </c>
      <c r="AI2951">
        <v>2</v>
      </c>
      <c r="AJ2951">
        <v>1</v>
      </c>
      <c r="AK2951">
        <v>2</v>
      </c>
      <c r="AL2951">
        <v>195.03</v>
      </c>
      <c r="AO2951" t="s">
        <v>2926</v>
      </c>
      <c r="AP2951">
        <v>41600</v>
      </c>
      <c r="AS2951" t="s">
        <v>2983</v>
      </c>
      <c r="AT2951" t="s">
        <v>2992</v>
      </c>
      <c r="AU2951" t="s">
        <v>18563</v>
      </c>
      <c r="AV2951">
        <v>6.9</v>
      </c>
      <c r="AW2951" t="s">
        <v>361</v>
      </c>
      <c r="AX2951" t="s">
        <v>99</v>
      </c>
    </row>
    <row r="2952" spans="1:50">
      <c r="A2952" s="1" t="s">
        <v>50</v>
      </c>
      <c r="B2952" t="s">
        <v>99</v>
      </c>
      <c r="C2952" t="s">
        <v>163</v>
      </c>
      <c r="D2952" t="s">
        <v>6254</v>
      </c>
      <c r="E2952" t="s">
        <v>187</v>
      </c>
      <c r="G2952" t="s">
        <v>9170</v>
      </c>
      <c r="H2952" t="s">
        <v>10744</v>
      </c>
      <c r="I2952" t="s">
        <v>11474</v>
      </c>
      <c r="J2952">
        <v>1</v>
      </c>
      <c r="K2952" t="s">
        <v>1645</v>
      </c>
      <c r="L2952">
        <v>11691</v>
      </c>
      <c r="M2952" t="s">
        <v>1670</v>
      </c>
      <c r="P2952" t="s">
        <v>1691</v>
      </c>
      <c r="Q2952" t="s">
        <v>1675</v>
      </c>
      <c r="R2952" t="s">
        <v>1958</v>
      </c>
      <c r="T2952" t="s">
        <v>1671</v>
      </c>
      <c r="V2952" t="s">
        <v>1972</v>
      </c>
      <c r="W2952" t="s">
        <v>1984</v>
      </c>
      <c r="X2952" t="s">
        <v>172</v>
      </c>
      <c r="Y2952">
        <v>1450</v>
      </c>
      <c r="Z2952" t="s">
        <v>2007</v>
      </c>
      <c r="AA2952" t="s">
        <v>2020</v>
      </c>
      <c r="AC2952" t="s">
        <v>15349</v>
      </c>
      <c r="AD2952" t="s">
        <v>15091</v>
      </c>
      <c r="AE2952" t="s">
        <v>17765</v>
      </c>
      <c r="AF2952">
        <v>3</v>
      </c>
      <c r="AG2952" t="s">
        <v>2903</v>
      </c>
      <c r="AH2952" t="s">
        <v>2915</v>
      </c>
      <c r="AI2952">
        <v>4</v>
      </c>
      <c r="AJ2952">
        <v>1</v>
      </c>
      <c r="AK2952">
        <v>2</v>
      </c>
      <c r="AL2952">
        <v>199.07</v>
      </c>
      <c r="AO2952" t="s">
        <v>2926</v>
      </c>
      <c r="AP2952">
        <v>41366</v>
      </c>
      <c r="AV2952">
        <v>3</v>
      </c>
      <c r="AW2952" t="s">
        <v>400</v>
      </c>
      <c r="AX2952" t="s">
        <v>3071</v>
      </c>
    </row>
    <row r="2953" spans="1:50">
      <c r="A2953" s="1" t="s">
        <v>50</v>
      </c>
      <c r="B2953" t="s">
        <v>3172</v>
      </c>
      <c r="C2953" t="s">
        <v>163</v>
      </c>
      <c r="D2953" t="s">
        <v>6255</v>
      </c>
      <c r="E2953" t="s">
        <v>337</v>
      </c>
      <c r="G2953" t="s">
        <v>9171</v>
      </c>
      <c r="H2953" t="s">
        <v>10745</v>
      </c>
      <c r="I2953" t="s">
        <v>11475</v>
      </c>
      <c r="J2953" t="s">
        <v>10957</v>
      </c>
      <c r="K2953" t="s">
        <v>1654</v>
      </c>
      <c r="L2953">
        <v>11103</v>
      </c>
      <c r="M2953" t="s">
        <v>1670</v>
      </c>
      <c r="Q2953" t="s">
        <v>1675</v>
      </c>
      <c r="R2953" t="s">
        <v>1962</v>
      </c>
      <c r="T2953" t="s">
        <v>1671</v>
      </c>
      <c r="V2953" t="s">
        <v>1972</v>
      </c>
      <c r="W2953" t="s">
        <v>1984</v>
      </c>
      <c r="X2953" t="s">
        <v>222</v>
      </c>
      <c r="Y2953">
        <v>1400</v>
      </c>
      <c r="Z2953" t="s">
        <v>2007</v>
      </c>
      <c r="AA2953" t="s">
        <v>13055</v>
      </c>
      <c r="AC2953" t="s">
        <v>15350</v>
      </c>
      <c r="AD2953" t="s">
        <v>15077</v>
      </c>
      <c r="AE2953" t="s">
        <v>17766</v>
      </c>
      <c r="AF2953">
        <v>4</v>
      </c>
      <c r="AG2953" t="s">
        <v>2902</v>
      </c>
      <c r="AH2953" t="s">
        <v>1754</v>
      </c>
      <c r="AI2953">
        <v>9</v>
      </c>
      <c r="AJ2953">
        <v>2</v>
      </c>
      <c r="AK2953">
        <v>1</v>
      </c>
      <c r="AL2953">
        <v>117.21</v>
      </c>
      <c r="AO2953" t="s">
        <v>2926</v>
      </c>
      <c r="AP2953">
        <v>25000</v>
      </c>
      <c r="AV2953">
        <v>2.55</v>
      </c>
      <c r="AW2953" t="s">
        <v>325</v>
      </c>
      <c r="AX2953" t="s">
        <v>18654</v>
      </c>
    </row>
    <row r="2954" spans="1:50">
      <c r="A2954" s="1" t="s">
        <v>50</v>
      </c>
      <c r="B2954" t="s">
        <v>3172</v>
      </c>
      <c r="C2954" t="s">
        <v>164</v>
      </c>
      <c r="D2954" t="s">
        <v>6256</v>
      </c>
      <c r="E2954" t="s">
        <v>3031</v>
      </c>
      <c r="F2954" t="s">
        <v>191</v>
      </c>
      <c r="G2954" t="s">
        <v>9172</v>
      </c>
      <c r="H2954" t="s">
        <v>10746</v>
      </c>
      <c r="I2954" t="s">
        <v>11476</v>
      </c>
      <c r="J2954" t="s">
        <v>1521</v>
      </c>
      <c r="K2954" t="s">
        <v>1660</v>
      </c>
      <c r="L2954">
        <v>11377</v>
      </c>
      <c r="M2954" t="s">
        <v>1670</v>
      </c>
      <c r="P2954" t="s">
        <v>12769</v>
      </c>
      <c r="Q2954" t="s">
        <v>1940</v>
      </c>
      <c r="R2954" t="s">
        <v>1960</v>
      </c>
      <c r="S2954" t="s">
        <v>1969</v>
      </c>
      <c r="T2954" t="s">
        <v>1671</v>
      </c>
      <c r="V2954" t="s">
        <v>1972</v>
      </c>
      <c r="W2954" t="s">
        <v>1984</v>
      </c>
      <c r="X2954" t="s">
        <v>3031</v>
      </c>
      <c r="Y2954">
        <v>1600</v>
      </c>
      <c r="Z2954" t="s">
        <v>2007</v>
      </c>
      <c r="AA2954" t="s">
        <v>2014</v>
      </c>
      <c r="AB2954" t="s">
        <v>13063</v>
      </c>
      <c r="AC2954" t="s">
        <v>15351</v>
      </c>
      <c r="AD2954" t="s">
        <v>15077</v>
      </c>
      <c r="AE2954" t="s">
        <v>17767</v>
      </c>
      <c r="AF2954">
        <v>2</v>
      </c>
      <c r="AG2954" t="s">
        <v>2904</v>
      </c>
      <c r="AH2954" t="s">
        <v>1754</v>
      </c>
      <c r="AI2954">
        <v>2</v>
      </c>
      <c r="AJ2954">
        <v>2</v>
      </c>
      <c r="AK2954">
        <v>1</v>
      </c>
      <c r="AL2954">
        <v>117.29</v>
      </c>
      <c r="AO2954" t="s">
        <v>2926</v>
      </c>
      <c r="AP2954">
        <v>25019</v>
      </c>
      <c r="AR2954" t="s">
        <v>2979</v>
      </c>
      <c r="AS2954" t="s">
        <v>18485</v>
      </c>
      <c r="AT2954" t="s">
        <v>2993</v>
      </c>
      <c r="AU2954" t="s">
        <v>3006</v>
      </c>
      <c r="AV2954">
        <v>2.3</v>
      </c>
      <c r="AW2954" t="s">
        <v>191</v>
      </c>
      <c r="AX2954" t="s">
        <v>3044</v>
      </c>
    </row>
    <row r="2955" spans="1:50">
      <c r="A2955" s="1" t="s">
        <v>50</v>
      </c>
      <c r="B2955" t="s">
        <v>3172</v>
      </c>
      <c r="C2955" t="s">
        <v>163</v>
      </c>
      <c r="D2955" t="s">
        <v>6257</v>
      </c>
      <c r="E2955" t="s">
        <v>188</v>
      </c>
      <c r="G2955" t="s">
        <v>9173</v>
      </c>
      <c r="H2955" t="s">
        <v>10747</v>
      </c>
      <c r="I2955" t="s">
        <v>11477</v>
      </c>
      <c r="J2955" t="s">
        <v>1553</v>
      </c>
      <c r="K2955" t="s">
        <v>1668</v>
      </c>
      <c r="L2955">
        <v>11358</v>
      </c>
      <c r="M2955" t="s">
        <v>1670</v>
      </c>
      <c r="P2955" t="s">
        <v>12770</v>
      </c>
      <c r="Q2955" t="s">
        <v>1936</v>
      </c>
      <c r="R2955" t="s">
        <v>1960</v>
      </c>
      <c r="T2955" t="s">
        <v>1671</v>
      </c>
      <c r="V2955" t="s">
        <v>1972</v>
      </c>
      <c r="W2955" t="s">
        <v>1984</v>
      </c>
      <c r="X2955" t="s">
        <v>328</v>
      </c>
      <c r="Y2955">
        <v>2300</v>
      </c>
      <c r="Z2955" t="s">
        <v>2007</v>
      </c>
      <c r="AA2955" t="s">
        <v>2017</v>
      </c>
      <c r="AC2955" t="s">
        <v>15352</v>
      </c>
      <c r="AD2955" t="s">
        <v>15077</v>
      </c>
      <c r="AE2955" t="s">
        <v>17768</v>
      </c>
      <c r="AF2955">
        <v>2</v>
      </c>
      <c r="AG2955" t="s">
        <v>18014</v>
      </c>
      <c r="AH2955" t="s">
        <v>1754</v>
      </c>
      <c r="AI2955">
        <v>1</v>
      </c>
      <c r="AJ2955">
        <v>3</v>
      </c>
      <c r="AK2955">
        <v>1</v>
      </c>
      <c r="AL2955">
        <v>137.86</v>
      </c>
      <c r="AO2955" t="s">
        <v>2926</v>
      </c>
      <c r="AP2955">
        <v>35500</v>
      </c>
      <c r="AV2955">
        <v>18.15</v>
      </c>
      <c r="AW2955" t="s">
        <v>397</v>
      </c>
      <c r="AX2955" t="s">
        <v>3067</v>
      </c>
    </row>
    <row r="2956" spans="1:50">
      <c r="A2956" s="1" t="s">
        <v>50</v>
      </c>
      <c r="B2956" t="s">
        <v>53</v>
      </c>
      <c r="C2956" t="s">
        <v>164</v>
      </c>
      <c r="D2956" t="s">
        <v>6258</v>
      </c>
      <c r="E2956" t="s">
        <v>228</v>
      </c>
      <c r="F2956" t="s">
        <v>258</v>
      </c>
      <c r="G2956" t="s">
        <v>9174</v>
      </c>
      <c r="H2956" t="s">
        <v>1016</v>
      </c>
      <c r="I2956" t="s">
        <v>11478</v>
      </c>
      <c r="J2956">
        <v>402</v>
      </c>
      <c r="K2956" t="s">
        <v>1649</v>
      </c>
      <c r="L2956">
        <v>11692</v>
      </c>
      <c r="M2956" t="s">
        <v>1670</v>
      </c>
      <c r="P2956" t="s">
        <v>12771</v>
      </c>
      <c r="Q2956" t="s">
        <v>1936</v>
      </c>
      <c r="R2956" t="s">
        <v>1960</v>
      </c>
      <c r="S2956" t="s">
        <v>1969</v>
      </c>
      <c r="T2956" t="s">
        <v>1671</v>
      </c>
      <c r="V2956" t="s">
        <v>1972</v>
      </c>
      <c r="W2956" t="s">
        <v>1985</v>
      </c>
      <c r="X2956" t="s">
        <v>228</v>
      </c>
      <c r="Y2956">
        <v>2300</v>
      </c>
      <c r="Z2956" t="s">
        <v>2007</v>
      </c>
      <c r="AA2956" t="s">
        <v>2014</v>
      </c>
      <c r="AB2956" t="s">
        <v>2032</v>
      </c>
      <c r="AC2956" t="s">
        <v>15353</v>
      </c>
      <c r="AD2956" t="s">
        <v>15077</v>
      </c>
      <c r="AE2956" t="s">
        <v>17769</v>
      </c>
      <c r="AF2956">
        <v>8</v>
      </c>
      <c r="AG2956" t="s">
        <v>2906</v>
      </c>
      <c r="AH2956" t="s">
        <v>2915</v>
      </c>
      <c r="AI2956">
        <v>2</v>
      </c>
      <c r="AJ2956">
        <v>3</v>
      </c>
      <c r="AK2956">
        <v>1</v>
      </c>
      <c r="AL2956">
        <v>164.18</v>
      </c>
      <c r="AO2956" t="s">
        <v>2926</v>
      </c>
      <c r="AP2956">
        <v>41210</v>
      </c>
      <c r="AR2956" t="s">
        <v>2978</v>
      </c>
      <c r="AS2956" t="s">
        <v>2982</v>
      </c>
      <c r="AT2956" t="s">
        <v>2992</v>
      </c>
      <c r="AU2956" t="s">
        <v>18518</v>
      </c>
      <c r="AV2956">
        <v>29.65</v>
      </c>
      <c r="AW2956" t="s">
        <v>266</v>
      </c>
      <c r="AX2956" t="s">
        <v>3044</v>
      </c>
    </row>
    <row r="2957" spans="1:50">
      <c r="A2957" s="1" t="s">
        <v>50</v>
      </c>
      <c r="B2957" t="s">
        <v>3181</v>
      </c>
      <c r="C2957" t="s">
        <v>164</v>
      </c>
      <c r="D2957" t="s">
        <v>6259</v>
      </c>
      <c r="E2957" t="s">
        <v>203</v>
      </c>
      <c r="F2957" t="s">
        <v>3031</v>
      </c>
      <c r="G2957" t="s">
        <v>535</v>
      </c>
      <c r="H2957" t="s">
        <v>10748</v>
      </c>
      <c r="I2957" t="s">
        <v>11479</v>
      </c>
      <c r="J2957" t="s">
        <v>11764</v>
      </c>
      <c r="K2957" t="s">
        <v>1668</v>
      </c>
      <c r="L2957">
        <v>11367</v>
      </c>
      <c r="M2957" t="s">
        <v>1670</v>
      </c>
      <c r="P2957" t="s">
        <v>12772</v>
      </c>
      <c r="Q2957" t="s">
        <v>1940</v>
      </c>
      <c r="R2957" t="s">
        <v>1958</v>
      </c>
      <c r="S2957" t="s">
        <v>1965</v>
      </c>
      <c r="T2957" t="s">
        <v>1670</v>
      </c>
      <c r="V2957" t="s">
        <v>1972</v>
      </c>
      <c r="W2957" t="s">
        <v>1984</v>
      </c>
      <c r="X2957" t="s">
        <v>269</v>
      </c>
      <c r="Y2957">
        <v>1136</v>
      </c>
      <c r="Z2957" t="s">
        <v>2007</v>
      </c>
      <c r="AA2957" t="s">
        <v>2014</v>
      </c>
      <c r="AB2957" t="s">
        <v>2029</v>
      </c>
      <c r="AC2957" t="s">
        <v>14239</v>
      </c>
      <c r="AD2957" t="s">
        <v>15077</v>
      </c>
      <c r="AE2957" t="s">
        <v>15077</v>
      </c>
      <c r="AF2957">
        <v>12</v>
      </c>
      <c r="AG2957" t="s">
        <v>2902</v>
      </c>
      <c r="AH2957" t="s">
        <v>1754</v>
      </c>
      <c r="AI2957">
        <v>30</v>
      </c>
      <c r="AJ2957">
        <v>2</v>
      </c>
      <c r="AK2957">
        <v>1</v>
      </c>
      <c r="AL2957">
        <v>196.91</v>
      </c>
      <c r="AO2957" t="s">
        <v>2934</v>
      </c>
      <c r="AP2957">
        <v>42000</v>
      </c>
      <c r="AV2957">
        <v>2.45</v>
      </c>
      <c r="AW2957" t="s">
        <v>364</v>
      </c>
      <c r="AX2957" t="s">
        <v>3073</v>
      </c>
    </row>
    <row r="2958" spans="1:50">
      <c r="A2958" s="1" t="s">
        <v>50</v>
      </c>
      <c r="B2958" t="s">
        <v>3172</v>
      </c>
      <c r="C2958" t="s">
        <v>164</v>
      </c>
      <c r="D2958" t="s">
        <v>6260</v>
      </c>
      <c r="E2958" t="s">
        <v>190</v>
      </c>
      <c r="F2958" t="s">
        <v>191</v>
      </c>
      <c r="G2958" t="s">
        <v>576</v>
      </c>
      <c r="H2958" t="s">
        <v>883</v>
      </c>
      <c r="I2958" t="s">
        <v>11480</v>
      </c>
      <c r="J2958" t="s">
        <v>1508</v>
      </c>
      <c r="K2958" t="s">
        <v>1645</v>
      </c>
      <c r="L2958">
        <v>11691</v>
      </c>
      <c r="M2958" t="s">
        <v>1670</v>
      </c>
      <c r="P2958" t="s">
        <v>12773</v>
      </c>
      <c r="Q2958" t="s">
        <v>1936</v>
      </c>
      <c r="R2958" t="s">
        <v>1960</v>
      </c>
      <c r="S2958" t="s">
        <v>1969</v>
      </c>
      <c r="T2958" t="s">
        <v>1671</v>
      </c>
      <c r="V2958" t="s">
        <v>1972</v>
      </c>
      <c r="W2958" t="s">
        <v>1985</v>
      </c>
      <c r="X2958" t="s">
        <v>190</v>
      </c>
      <c r="Y2958">
        <v>816</v>
      </c>
      <c r="Z2958" t="s">
        <v>2007</v>
      </c>
      <c r="AA2958" t="s">
        <v>2026</v>
      </c>
      <c r="AB2958" t="s">
        <v>2032</v>
      </c>
      <c r="AC2958" t="s">
        <v>15354</v>
      </c>
      <c r="AD2958" t="s">
        <v>15077</v>
      </c>
      <c r="AE2958" t="s">
        <v>17770</v>
      </c>
      <c r="AF2958">
        <v>53</v>
      </c>
      <c r="AG2958" t="s">
        <v>2909</v>
      </c>
      <c r="AH2958" t="s">
        <v>2915</v>
      </c>
      <c r="AI2958">
        <v>1</v>
      </c>
      <c r="AJ2958">
        <v>1</v>
      </c>
      <c r="AK2958">
        <v>1</v>
      </c>
      <c r="AL2958">
        <v>200.26</v>
      </c>
      <c r="AO2958" t="s">
        <v>2926</v>
      </c>
      <c r="AP2958">
        <v>33864.48</v>
      </c>
      <c r="AR2958" t="s">
        <v>2979</v>
      </c>
      <c r="AS2958" t="s">
        <v>2982</v>
      </c>
      <c r="AT2958" t="s">
        <v>2992</v>
      </c>
      <c r="AU2958" t="s">
        <v>18522</v>
      </c>
      <c r="AV2958">
        <v>4.35</v>
      </c>
      <c r="AW2958" t="s">
        <v>191</v>
      </c>
      <c r="AX2958" t="s">
        <v>3172</v>
      </c>
    </row>
    <row r="2959" spans="1:50">
      <c r="A2959" s="1" t="s">
        <v>51</v>
      </c>
      <c r="B2959" t="s">
        <v>73</v>
      </c>
      <c r="C2959" t="s">
        <v>164</v>
      </c>
      <c r="D2959" t="s">
        <v>6261</v>
      </c>
      <c r="E2959" t="s">
        <v>277</v>
      </c>
      <c r="F2959" t="s">
        <v>199</v>
      </c>
      <c r="G2959" t="s">
        <v>427</v>
      </c>
      <c r="H2959" t="s">
        <v>8009</v>
      </c>
      <c r="I2959" t="s">
        <v>11481</v>
      </c>
      <c r="J2959" t="s">
        <v>1553</v>
      </c>
      <c r="K2959" t="s">
        <v>11743</v>
      </c>
      <c r="L2959">
        <v>11421</v>
      </c>
      <c r="M2959" t="s">
        <v>1670</v>
      </c>
      <c r="P2959" t="s">
        <v>1675</v>
      </c>
      <c r="Q2959" t="s">
        <v>1675</v>
      </c>
      <c r="R2959" t="s">
        <v>1962</v>
      </c>
      <c r="S2959" t="s">
        <v>1965</v>
      </c>
      <c r="T2959" t="s">
        <v>1671</v>
      </c>
      <c r="V2959" t="s">
        <v>1972</v>
      </c>
      <c r="W2959" t="s">
        <v>1984</v>
      </c>
      <c r="X2959" t="s">
        <v>302</v>
      </c>
      <c r="Y2959" t="s">
        <v>13051</v>
      </c>
      <c r="Z2959" t="s">
        <v>2007</v>
      </c>
      <c r="AA2959" t="s">
        <v>2012</v>
      </c>
      <c r="AB2959" t="s">
        <v>2029</v>
      </c>
      <c r="AC2959" t="s">
        <v>15355</v>
      </c>
      <c r="AD2959" t="s">
        <v>15077</v>
      </c>
      <c r="AE2959" t="s">
        <v>15077</v>
      </c>
      <c r="AF2959">
        <v>1</v>
      </c>
      <c r="AG2959" t="s">
        <v>2903</v>
      </c>
      <c r="AH2959" t="s">
        <v>1754</v>
      </c>
      <c r="AI2959">
        <v>0</v>
      </c>
      <c r="AJ2959">
        <v>1</v>
      </c>
      <c r="AK2959">
        <v>2</v>
      </c>
      <c r="AL2959" t="s">
        <v>13051</v>
      </c>
      <c r="AM2959" t="s">
        <v>2923</v>
      </c>
      <c r="AN2959" t="s">
        <v>2924</v>
      </c>
      <c r="AO2959" t="s">
        <v>2927</v>
      </c>
      <c r="AP2959" t="s">
        <v>13051</v>
      </c>
      <c r="AV2959">
        <v>0.25</v>
      </c>
      <c r="AW2959" t="s">
        <v>199</v>
      </c>
      <c r="AX2959" t="s">
        <v>85</v>
      </c>
    </row>
    <row r="2960" spans="1:50">
      <c r="A2960" s="1" t="s">
        <v>50</v>
      </c>
      <c r="B2960" t="s">
        <v>99</v>
      </c>
      <c r="C2960" t="s">
        <v>164</v>
      </c>
      <c r="D2960" t="s">
        <v>6262</v>
      </c>
      <c r="E2960" t="s">
        <v>318</v>
      </c>
      <c r="F2960" t="s">
        <v>208</v>
      </c>
      <c r="G2960" t="s">
        <v>9175</v>
      </c>
      <c r="H2960" t="s">
        <v>780</v>
      </c>
      <c r="I2960" t="s">
        <v>11482</v>
      </c>
      <c r="J2960" t="s">
        <v>11765</v>
      </c>
      <c r="K2960" t="s">
        <v>1645</v>
      </c>
      <c r="L2960">
        <v>11691</v>
      </c>
      <c r="M2960" t="s">
        <v>1670</v>
      </c>
      <c r="P2960" t="s">
        <v>12774</v>
      </c>
      <c r="Q2960" t="s">
        <v>1940</v>
      </c>
      <c r="R2960" t="s">
        <v>1960</v>
      </c>
      <c r="S2960" t="s">
        <v>1969</v>
      </c>
      <c r="T2960" t="s">
        <v>1671</v>
      </c>
      <c r="V2960" t="s">
        <v>1972</v>
      </c>
      <c r="W2960" t="s">
        <v>1984</v>
      </c>
      <c r="X2960" t="s">
        <v>318</v>
      </c>
      <c r="Y2960">
        <v>1950</v>
      </c>
      <c r="Z2960" t="s">
        <v>2007</v>
      </c>
      <c r="AA2960" t="s">
        <v>2014</v>
      </c>
      <c r="AB2960" t="s">
        <v>2033</v>
      </c>
      <c r="AC2960" t="s">
        <v>15356</v>
      </c>
      <c r="AD2960" t="s">
        <v>15077</v>
      </c>
      <c r="AE2960" t="s">
        <v>17771</v>
      </c>
      <c r="AF2960">
        <v>3</v>
      </c>
      <c r="AG2960" t="s">
        <v>2904</v>
      </c>
      <c r="AH2960" t="s">
        <v>1754</v>
      </c>
      <c r="AI2960">
        <v>1</v>
      </c>
      <c r="AJ2960">
        <v>1</v>
      </c>
      <c r="AK2960">
        <v>2</v>
      </c>
      <c r="AL2960" t="s">
        <v>13051</v>
      </c>
      <c r="AO2960" t="s">
        <v>2926</v>
      </c>
      <c r="AP2960" t="s">
        <v>13051</v>
      </c>
      <c r="AR2960" t="s">
        <v>2979</v>
      </c>
      <c r="AS2960" t="s">
        <v>2017</v>
      </c>
      <c r="AT2960" t="s">
        <v>2993</v>
      </c>
      <c r="AU2960" t="s">
        <v>18617</v>
      </c>
      <c r="AV2960">
        <v>11.89</v>
      </c>
      <c r="AW2960" t="s">
        <v>208</v>
      </c>
      <c r="AX2960" t="s">
        <v>85</v>
      </c>
    </row>
    <row r="2961" spans="1:50">
      <c r="A2961" s="1" t="s">
        <v>51</v>
      </c>
      <c r="B2961" t="s">
        <v>73</v>
      </c>
      <c r="C2961" t="s">
        <v>163</v>
      </c>
      <c r="D2961" t="s">
        <v>6263</v>
      </c>
      <c r="E2961" t="s">
        <v>320</v>
      </c>
      <c r="G2961" t="s">
        <v>9176</v>
      </c>
      <c r="H2961" t="s">
        <v>10749</v>
      </c>
      <c r="I2961" t="s">
        <v>11483</v>
      </c>
      <c r="J2961" t="s">
        <v>10946</v>
      </c>
      <c r="K2961" t="s">
        <v>1665</v>
      </c>
      <c r="L2961">
        <v>11374</v>
      </c>
      <c r="M2961" t="s">
        <v>1670</v>
      </c>
      <c r="P2961" t="s">
        <v>12775</v>
      </c>
      <c r="Q2961" t="s">
        <v>1936</v>
      </c>
      <c r="R2961" t="s">
        <v>1962</v>
      </c>
      <c r="T2961" t="s">
        <v>1671</v>
      </c>
      <c r="V2961" t="s">
        <v>1972</v>
      </c>
      <c r="W2961" t="s">
        <v>1985</v>
      </c>
      <c r="X2961" t="s">
        <v>313</v>
      </c>
      <c r="Y2961">
        <v>1800</v>
      </c>
      <c r="Z2961" t="s">
        <v>2007</v>
      </c>
      <c r="AA2961" t="s">
        <v>2012</v>
      </c>
      <c r="AC2961" t="s">
        <v>15357</v>
      </c>
      <c r="AD2961" t="s">
        <v>15077</v>
      </c>
      <c r="AE2961" t="s">
        <v>15077</v>
      </c>
      <c r="AF2961">
        <v>6</v>
      </c>
      <c r="AG2961" t="s">
        <v>2902</v>
      </c>
      <c r="AH2961" t="s">
        <v>1754</v>
      </c>
      <c r="AI2961">
        <v>0</v>
      </c>
      <c r="AJ2961">
        <v>2</v>
      </c>
      <c r="AK2961">
        <v>2</v>
      </c>
      <c r="AL2961">
        <v>77.67</v>
      </c>
      <c r="AM2961" t="s">
        <v>2923</v>
      </c>
      <c r="AN2961" t="s">
        <v>2924</v>
      </c>
      <c r="AO2961" t="s">
        <v>2926</v>
      </c>
      <c r="AP2961">
        <v>20000</v>
      </c>
      <c r="AV2961">
        <v>1.95</v>
      </c>
      <c r="AW2961" t="s">
        <v>199</v>
      </c>
      <c r="AX2961" t="s">
        <v>85</v>
      </c>
    </row>
    <row r="2962" spans="1:50">
      <c r="A2962" s="1" t="s">
        <v>51</v>
      </c>
      <c r="B2962" t="s">
        <v>99</v>
      </c>
      <c r="C2962" t="s">
        <v>164</v>
      </c>
      <c r="D2962" t="s">
        <v>6264</v>
      </c>
      <c r="E2962" t="s">
        <v>342</v>
      </c>
      <c r="F2962" t="s">
        <v>342</v>
      </c>
      <c r="G2962" t="s">
        <v>9177</v>
      </c>
      <c r="H2962" t="s">
        <v>8029</v>
      </c>
      <c r="I2962" t="s">
        <v>11484</v>
      </c>
      <c r="J2962">
        <v>1</v>
      </c>
      <c r="K2962" t="s">
        <v>1666</v>
      </c>
      <c r="L2962">
        <v>11368</v>
      </c>
      <c r="M2962" t="s">
        <v>1670</v>
      </c>
      <c r="P2962" t="s">
        <v>1691</v>
      </c>
      <c r="Q2962" t="s">
        <v>1940</v>
      </c>
      <c r="R2962" t="s">
        <v>1958</v>
      </c>
      <c r="S2962" t="s">
        <v>1965</v>
      </c>
      <c r="T2962" t="s">
        <v>1671</v>
      </c>
      <c r="V2962" t="s">
        <v>1972</v>
      </c>
      <c r="W2962" t="s">
        <v>1984</v>
      </c>
      <c r="X2962" t="s">
        <v>342</v>
      </c>
      <c r="Y2962" t="s">
        <v>13051</v>
      </c>
      <c r="Z2962" t="s">
        <v>2007</v>
      </c>
      <c r="AA2962" t="s">
        <v>2012</v>
      </c>
      <c r="AB2962" t="s">
        <v>2029</v>
      </c>
      <c r="AC2962" t="s">
        <v>15358</v>
      </c>
      <c r="AD2962" t="s">
        <v>15077</v>
      </c>
      <c r="AE2962" t="s">
        <v>15077</v>
      </c>
      <c r="AF2962">
        <v>5</v>
      </c>
      <c r="AG2962" t="s">
        <v>2903</v>
      </c>
      <c r="AH2962" t="s">
        <v>1754</v>
      </c>
      <c r="AI2962">
        <v>6</v>
      </c>
      <c r="AJ2962">
        <v>1</v>
      </c>
      <c r="AK2962">
        <v>2</v>
      </c>
      <c r="AL2962">
        <v>90.09</v>
      </c>
      <c r="AM2962" t="s">
        <v>2923</v>
      </c>
      <c r="AN2962" t="s">
        <v>2924</v>
      </c>
      <c r="AO2962" t="s">
        <v>18047</v>
      </c>
      <c r="AP2962">
        <v>18720</v>
      </c>
      <c r="AV2962">
        <v>0.85</v>
      </c>
      <c r="AW2962" t="s">
        <v>199</v>
      </c>
      <c r="AX2962" t="s">
        <v>99</v>
      </c>
    </row>
    <row r="2963" spans="1:50">
      <c r="A2963" s="1" t="s">
        <v>51</v>
      </c>
      <c r="B2963" t="s">
        <v>73</v>
      </c>
      <c r="C2963" t="s">
        <v>163</v>
      </c>
      <c r="D2963" t="s">
        <v>6265</v>
      </c>
      <c r="E2963" t="s">
        <v>319</v>
      </c>
      <c r="G2963" t="s">
        <v>9177</v>
      </c>
      <c r="H2963" t="s">
        <v>8029</v>
      </c>
      <c r="I2963" t="s">
        <v>11484</v>
      </c>
      <c r="K2963" t="s">
        <v>1666</v>
      </c>
      <c r="L2963">
        <v>11368</v>
      </c>
      <c r="M2963" t="s">
        <v>1670</v>
      </c>
      <c r="P2963" t="s">
        <v>12776</v>
      </c>
      <c r="Q2963" t="s">
        <v>1940</v>
      </c>
      <c r="R2963" t="s">
        <v>1960</v>
      </c>
      <c r="T2963" t="s">
        <v>1671</v>
      </c>
      <c r="V2963" t="s">
        <v>1972</v>
      </c>
      <c r="W2963" t="s">
        <v>1984</v>
      </c>
      <c r="X2963" t="s">
        <v>202</v>
      </c>
      <c r="Y2963" t="s">
        <v>13051</v>
      </c>
      <c r="Z2963" t="s">
        <v>2007</v>
      </c>
      <c r="AA2963" t="s">
        <v>2012</v>
      </c>
      <c r="AC2963" t="s">
        <v>15358</v>
      </c>
      <c r="AD2963" t="s">
        <v>15077</v>
      </c>
      <c r="AE2963" t="s">
        <v>15077</v>
      </c>
      <c r="AF2963">
        <v>4</v>
      </c>
      <c r="AG2963" t="s">
        <v>2903</v>
      </c>
      <c r="AH2963" t="s">
        <v>1754</v>
      </c>
      <c r="AI2963">
        <v>6</v>
      </c>
      <c r="AJ2963">
        <v>1</v>
      </c>
      <c r="AK2963">
        <v>2</v>
      </c>
      <c r="AL2963">
        <v>91.43000000000001</v>
      </c>
      <c r="AM2963" t="s">
        <v>2923</v>
      </c>
      <c r="AN2963" t="s">
        <v>2924</v>
      </c>
      <c r="AO2963" t="s">
        <v>2926</v>
      </c>
      <c r="AP2963">
        <v>19000</v>
      </c>
      <c r="AR2963" t="s">
        <v>2976</v>
      </c>
      <c r="AS2963" t="s">
        <v>2990</v>
      </c>
      <c r="AT2963" t="s">
        <v>2993</v>
      </c>
      <c r="AV2963">
        <v>11.6</v>
      </c>
      <c r="AW2963" t="s">
        <v>357</v>
      </c>
      <c r="AX2963" t="s">
        <v>73</v>
      </c>
    </row>
    <row r="2964" spans="1:50">
      <c r="A2964" s="1" t="s">
        <v>50</v>
      </c>
      <c r="B2964" t="s">
        <v>162</v>
      </c>
      <c r="C2964" t="s">
        <v>163</v>
      </c>
      <c r="D2964" t="s">
        <v>6266</v>
      </c>
      <c r="E2964" t="s">
        <v>407</v>
      </c>
      <c r="G2964" t="s">
        <v>9178</v>
      </c>
      <c r="H2964" t="s">
        <v>914</v>
      </c>
      <c r="I2964" t="s">
        <v>11485</v>
      </c>
      <c r="J2964" t="s">
        <v>1511</v>
      </c>
      <c r="K2964" t="s">
        <v>11742</v>
      </c>
      <c r="L2964">
        <v>11385</v>
      </c>
      <c r="M2964" t="s">
        <v>1670</v>
      </c>
      <c r="Q2964" t="s">
        <v>1937</v>
      </c>
      <c r="R2964" t="s">
        <v>1959</v>
      </c>
      <c r="T2964" t="s">
        <v>1671</v>
      </c>
      <c r="V2964" t="s">
        <v>1974</v>
      </c>
      <c r="W2964" t="s">
        <v>1985</v>
      </c>
      <c r="X2964" t="s">
        <v>167</v>
      </c>
      <c r="Y2964">
        <v>1850</v>
      </c>
      <c r="Z2964" t="s">
        <v>2007</v>
      </c>
      <c r="AA2964" t="s">
        <v>2014</v>
      </c>
      <c r="AC2964" t="s">
        <v>15359</v>
      </c>
      <c r="AD2964" t="s">
        <v>15077</v>
      </c>
      <c r="AE2964" t="s">
        <v>17772</v>
      </c>
      <c r="AF2964">
        <v>6</v>
      </c>
      <c r="AG2964" t="s">
        <v>2902</v>
      </c>
      <c r="AH2964" t="s">
        <v>1754</v>
      </c>
      <c r="AI2964">
        <v>6</v>
      </c>
      <c r="AJ2964">
        <v>1</v>
      </c>
      <c r="AK2964">
        <v>2</v>
      </c>
      <c r="AL2964">
        <v>137.63</v>
      </c>
      <c r="AO2964" t="s">
        <v>2926</v>
      </c>
      <c r="AP2964">
        <v>28600</v>
      </c>
      <c r="AR2964" t="s">
        <v>2978</v>
      </c>
      <c r="AS2964" t="s">
        <v>2017</v>
      </c>
      <c r="AT2964" t="s">
        <v>2992</v>
      </c>
      <c r="AU2964" t="s">
        <v>18618</v>
      </c>
      <c r="AV2964" t="s">
        <v>13051</v>
      </c>
      <c r="AX2964" t="s">
        <v>3192</v>
      </c>
    </row>
    <row r="2965" spans="1:50">
      <c r="A2965" s="1" t="s">
        <v>50</v>
      </c>
      <c r="B2965" t="s">
        <v>162</v>
      </c>
      <c r="C2965" t="s">
        <v>164</v>
      </c>
      <c r="D2965" t="s">
        <v>6267</v>
      </c>
      <c r="E2965" t="s">
        <v>198</v>
      </c>
      <c r="F2965" t="s">
        <v>3037</v>
      </c>
      <c r="G2965" t="s">
        <v>683</v>
      </c>
      <c r="H2965" t="s">
        <v>909</v>
      </c>
      <c r="I2965" t="s">
        <v>1200</v>
      </c>
      <c r="J2965">
        <v>919</v>
      </c>
      <c r="K2965" t="s">
        <v>1649</v>
      </c>
      <c r="L2965">
        <v>11692</v>
      </c>
      <c r="M2965" t="s">
        <v>1670</v>
      </c>
      <c r="Q2965" t="s">
        <v>1950</v>
      </c>
      <c r="R2965" t="s">
        <v>1959</v>
      </c>
      <c r="S2965" t="s">
        <v>1970</v>
      </c>
      <c r="T2965" t="s">
        <v>1670</v>
      </c>
      <c r="V2965" t="s">
        <v>1972</v>
      </c>
      <c r="W2965" t="s">
        <v>1983</v>
      </c>
      <c r="X2965" t="s">
        <v>198</v>
      </c>
      <c r="Y2965">
        <v>1885</v>
      </c>
      <c r="Z2965" t="s">
        <v>2007</v>
      </c>
      <c r="AA2965" t="s">
        <v>2014</v>
      </c>
      <c r="AB2965" t="s">
        <v>2030</v>
      </c>
      <c r="AC2965" t="s">
        <v>2372</v>
      </c>
      <c r="AD2965" t="s">
        <v>15077</v>
      </c>
      <c r="AE2965" t="s">
        <v>2801</v>
      </c>
      <c r="AF2965">
        <v>100</v>
      </c>
      <c r="AG2965" t="s">
        <v>2904</v>
      </c>
      <c r="AH2965" t="s">
        <v>1754</v>
      </c>
      <c r="AI2965">
        <v>4</v>
      </c>
      <c r="AJ2965">
        <v>2</v>
      </c>
      <c r="AK2965">
        <v>2</v>
      </c>
      <c r="AL2965">
        <v>174.76</v>
      </c>
      <c r="AO2965" t="s">
        <v>2926</v>
      </c>
      <c r="AP2965">
        <v>45000</v>
      </c>
      <c r="AR2965" t="s">
        <v>2978</v>
      </c>
      <c r="AS2965" t="s">
        <v>2982</v>
      </c>
      <c r="AT2965" t="s">
        <v>2992</v>
      </c>
      <c r="AU2965" t="s">
        <v>18619</v>
      </c>
      <c r="AV2965">
        <v>3.55</v>
      </c>
      <c r="AW2965" t="s">
        <v>1999</v>
      </c>
      <c r="AX2965" t="s">
        <v>3073</v>
      </c>
    </row>
    <row r="2966" spans="1:50">
      <c r="A2966" s="1" t="s">
        <v>50</v>
      </c>
      <c r="B2966" t="s">
        <v>162</v>
      </c>
      <c r="C2966" t="s">
        <v>164</v>
      </c>
      <c r="D2966" t="s">
        <v>6268</v>
      </c>
      <c r="E2966" t="s">
        <v>186</v>
      </c>
      <c r="F2966" t="s">
        <v>3037</v>
      </c>
      <c r="G2966" t="s">
        <v>762</v>
      </c>
      <c r="H2966" t="s">
        <v>780</v>
      </c>
      <c r="I2966" t="s">
        <v>1467</v>
      </c>
      <c r="K2966" t="s">
        <v>1666</v>
      </c>
      <c r="L2966">
        <v>11368</v>
      </c>
      <c r="M2966" t="s">
        <v>1670</v>
      </c>
      <c r="Q2966" t="s">
        <v>1950</v>
      </c>
      <c r="R2966" t="s">
        <v>1959</v>
      </c>
      <c r="S2966" t="s">
        <v>1970</v>
      </c>
      <c r="T2966" t="s">
        <v>1671</v>
      </c>
      <c r="V2966" t="s">
        <v>1972</v>
      </c>
      <c r="W2966" t="s">
        <v>1985</v>
      </c>
      <c r="X2966" t="s">
        <v>186</v>
      </c>
      <c r="Y2966">
        <v>2010</v>
      </c>
      <c r="Z2966" t="s">
        <v>2007</v>
      </c>
      <c r="AA2966" t="s">
        <v>2014</v>
      </c>
      <c r="AB2966" t="s">
        <v>2030</v>
      </c>
      <c r="AC2966" t="s">
        <v>2463</v>
      </c>
      <c r="AD2966" t="s">
        <v>15077</v>
      </c>
      <c r="AE2966" t="s">
        <v>2894</v>
      </c>
      <c r="AF2966">
        <v>232</v>
      </c>
      <c r="AG2966" t="s">
        <v>2902</v>
      </c>
      <c r="AH2966" t="s">
        <v>1754</v>
      </c>
      <c r="AI2966">
        <v>1</v>
      </c>
      <c r="AJ2966">
        <v>1</v>
      </c>
      <c r="AK2966">
        <v>2</v>
      </c>
      <c r="AL2966">
        <v>183.33</v>
      </c>
      <c r="AO2966" t="s">
        <v>2926</v>
      </c>
      <c r="AP2966">
        <v>39104.04</v>
      </c>
      <c r="AV2966">
        <v>0.15</v>
      </c>
      <c r="AW2966" t="s">
        <v>3037</v>
      </c>
      <c r="AX2966" t="s">
        <v>151</v>
      </c>
    </row>
    <row r="2967" spans="1:50">
      <c r="A2967" s="1" t="s">
        <v>51</v>
      </c>
      <c r="B2967" t="s">
        <v>99</v>
      </c>
      <c r="C2967" t="s">
        <v>164</v>
      </c>
      <c r="D2967" t="s">
        <v>6269</v>
      </c>
      <c r="E2967" t="s">
        <v>196</v>
      </c>
      <c r="F2967" t="s">
        <v>253</v>
      </c>
      <c r="G2967" t="s">
        <v>475</v>
      </c>
      <c r="H2967" t="s">
        <v>10750</v>
      </c>
      <c r="I2967" t="s">
        <v>11486</v>
      </c>
      <c r="J2967" t="s">
        <v>1498</v>
      </c>
      <c r="K2967" t="s">
        <v>1665</v>
      </c>
      <c r="L2967">
        <v>11374</v>
      </c>
      <c r="M2967" t="s">
        <v>1670</v>
      </c>
      <c r="P2967" t="s">
        <v>11921</v>
      </c>
      <c r="Q2967" t="s">
        <v>1940</v>
      </c>
      <c r="R2967" t="s">
        <v>1958</v>
      </c>
      <c r="S2967" t="s">
        <v>1965</v>
      </c>
      <c r="T2967" t="s">
        <v>1671</v>
      </c>
      <c r="V2967" t="s">
        <v>1972</v>
      </c>
      <c r="W2967" t="s">
        <v>1984</v>
      </c>
      <c r="X2967" t="s">
        <v>196</v>
      </c>
      <c r="Y2967">
        <v>2350</v>
      </c>
      <c r="Z2967" t="s">
        <v>2007</v>
      </c>
      <c r="AA2967" t="s">
        <v>2012</v>
      </c>
      <c r="AB2967" t="s">
        <v>2029</v>
      </c>
      <c r="AC2967" t="s">
        <v>15360</v>
      </c>
      <c r="AD2967" t="s">
        <v>15077</v>
      </c>
      <c r="AE2967" t="s">
        <v>17773</v>
      </c>
      <c r="AF2967">
        <v>65</v>
      </c>
      <c r="AG2967" t="s">
        <v>2902</v>
      </c>
      <c r="AH2967" t="s">
        <v>1754</v>
      </c>
      <c r="AI2967">
        <v>1</v>
      </c>
      <c r="AJ2967">
        <v>1</v>
      </c>
      <c r="AK2967">
        <v>3</v>
      </c>
      <c r="AL2967">
        <v>25.9</v>
      </c>
      <c r="AM2967" t="s">
        <v>2923</v>
      </c>
      <c r="AN2967" t="s">
        <v>2924</v>
      </c>
      <c r="AO2967" t="s">
        <v>2926</v>
      </c>
      <c r="AP2967">
        <v>6500</v>
      </c>
      <c r="AV2967">
        <v>1.73</v>
      </c>
      <c r="AW2967" t="s">
        <v>221</v>
      </c>
      <c r="AX2967" t="s">
        <v>99</v>
      </c>
    </row>
    <row r="2968" spans="1:50">
      <c r="A2968" s="1" t="s">
        <v>51</v>
      </c>
      <c r="B2968" t="s">
        <v>99</v>
      </c>
      <c r="C2968" t="s">
        <v>163</v>
      </c>
      <c r="D2968" t="s">
        <v>6270</v>
      </c>
      <c r="E2968" t="s">
        <v>266</v>
      </c>
      <c r="G2968" t="s">
        <v>9179</v>
      </c>
      <c r="H2968" t="s">
        <v>843</v>
      </c>
      <c r="I2968" t="s">
        <v>11487</v>
      </c>
      <c r="J2968">
        <v>2</v>
      </c>
      <c r="K2968" t="s">
        <v>1668</v>
      </c>
      <c r="L2968">
        <v>11355</v>
      </c>
      <c r="M2968" t="s">
        <v>1670</v>
      </c>
      <c r="P2968" t="s">
        <v>12777</v>
      </c>
      <c r="Q2968" t="s">
        <v>1940</v>
      </c>
      <c r="R2968" t="s">
        <v>1960</v>
      </c>
      <c r="T2968" t="s">
        <v>1671</v>
      </c>
      <c r="V2968" t="s">
        <v>1972</v>
      </c>
      <c r="W2968" t="s">
        <v>1984</v>
      </c>
      <c r="X2968" t="s">
        <v>263</v>
      </c>
      <c r="Y2968">
        <v>2150</v>
      </c>
      <c r="Z2968" t="s">
        <v>2007</v>
      </c>
      <c r="AA2968" t="s">
        <v>2012</v>
      </c>
      <c r="AC2968" t="s">
        <v>15361</v>
      </c>
      <c r="AD2968" t="s">
        <v>15077</v>
      </c>
      <c r="AE2968" t="s">
        <v>15077</v>
      </c>
      <c r="AF2968">
        <v>3</v>
      </c>
      <c r="AG2968" t="s">
        <v>2903</v>
      </c>
      <c r="AH2968" t="s">
        <v>1754</v>
      </c>
      <c r="AI2968">
        <v>1</v>
      </c>
      <c r="AJ2968">
        <v>1</v>
      </c>
      <c r="AK2968">
        <v>3</v>
      </c>
      <c r="AL2968">
        <v>60.58</v>
      </c>
      <c r="AM2968" t="s">
        <v>2923</v>
      </c>
      <c r="AN2968" t="s">
        <v>2924</v>
      </c>
      <c r="AO2968" t="s">
        <v>2927</v>
      </c>
      <c r="AP2968">
        <v>15600</v>
      </c>
      <c r="AV2968">
        <v>22.4</v>
      </c>
      <c r="AW2968" t="s">
        <v>3030</v>
      </c>
      <c r="AX2968" t="s">
        <v>99</v>
      </c>
    </row>
    <row r="2969" spans="1:50">
      <c r="A2969" s="1" t="s">
        <v>50</v>
      </c>
      <c r="B2969" t="s">
        <v>59</v>
      </c>
      <c r="C2969" t="s">
        <v>163</v>
      </c>
      <c r="D2969" t="s">
        <v>6271</v>
      </c>
      <c r="E2969" t="s">
        <v>373</v>
      </c>
      <c r="G2969" t="s">
        <v>9180</v>
      </c>
      <c r="H2969" t="s">
        <v>10751</v>
      </c>
      <c r="I2969" t="s">
        <v>10537</v>
      </c>
      <c r="J2969" t="s">
        <v>11766</v>
      </c>
      <c r="K2969" t="s">
        <v>1641</v>
      </c>
      <c r="L2969">
        <v>10453</v>
      </c>
      <c r="M2969" t="s">
        <v>1670</v>
      </c>
      <c r="P2969" t="s">
        <v>12778</v>
      </c>
      <c r="Q2969" t="s">
        <v>1936</v>
      </c>
      <c r="R2969" t="s">
        <v>1960</v>
      </c>
      <c r="T2969" t="s">
        <v>1671</v>
      </c>
      <c r="V2969" t="s">
        <v>1972</v>
      </c>
      <c r="W2969" t="s">
        <v>1983</v>
      </c>
      <c r="X2969" t="s">
        <v>373</v>
      </c>
      <c r="Y2969">
        <v>185.34</v>
      </c>
      <c r="Z2969" t="s">
        <v>2006</v>
      </c>
      <c r="AA2969" t="s">
        <v>2014</v>
      </c>
      <c r="AC2969" t="s">
        <v>15362</v>
      </c>
      <c r="AD2969" t="s">
        <v>17476</v>
      </c>
      <c r="AE2969" t="s">
        <v>17774</v>
      </c>
      <c r="AF2969">
        <v>110</v>
      </c>
      <c r="AG2969" t="s">
        <v>2902</v>
      </c>
      <c r="AH2969" t="s">
        <v>1754</v>
      </c>
      <c r="AI2969">
        <v>3</v>
      </c>
      <c r="AJ2969">
        <v>1</v>
      </c>
      <c r="AK2969">
        <v>1</v>
      </c>
      <c r="AL2969">
        <v>56.65</v>
      </c>
      <c r="AO2969" t="s">
        <v>2926</v>
      </c>
      <c r="AP2969">
        <v>9324</v>
      </c>
      <c r="AV2969">
        <v>5.75</v>
      </c>
      <c r="AW2969" t="s">
        <v>350</v>
      </c>
      <c r="AX2969" t="s">
        <v>3047</v>
      </c>
    </row>
    <row r="2970" spans="1:50">
      <c r="A2970" s="1" t="s">
        <v>50</v>
      </c>
      <c r="B2970" t="s">
        <v>105</v>
      </c>
      <c r="C2970" t="s">
        <v>163</v>
      </c>
      <c r="D2970" t="s">
        <v>6272</v>
      </c>
      <c r="E2970" t="s">
        <v>200</v>
      </c>
      <c r="G2970" t="s">
        <v>9181</v>
      </c>
      <c r="H2970" t="s">
        <v>8791</v>
      </c>
      <c r="I2970" t="s">
        <v>11488</v>
      </c>
      <c r="J2970" t="s">
        <v>1562</v>
      </c>
      <c r="K2970" t="s">
        <v>1641</v>
      </c>
      <c r="L2970">
        <v>10453</v>
      </c>
      <c r="M2970" t="s">
        <v>1670</v>
      </c>
      <c r="P2970" t="s">
        <v>1691</v>
      </c>
      <c r="Q2970" t="s">
        <v>1941</v>
      </c>
      <c r="R2970" t="s">
        <v>1958</v>
      </c>
      <c r="T2970" t="s">
        <v>1671</v>
      </c>
      <c r="V2970" t="s">
        <v>1972</v>
      </c>
      <c r="X2970" t="s">
        <v>200</v>
      </c>
      <c r="Y2970">
        <v>1063.54</v>
      </c>
      <c r="Z2970" t="s">
        <v>2006</v>
      </c>
      <c r="AA2970" t="s">
        <v>2024</v>
      </c>
      <c r="AC2970" t="s">
        <v>15363</v>
      </c>
      <c r="AD2970" t="s">
        <v>17477</v>
      </c>
      <c r="AE2970" t="s">
        <v>17775</v>
      </c>
      <c r="AF2970">
        <v>48</v>
      </c>
      <c r="AG2970" t="s">
        <v>2902</v>
      </c>
      <c r="AH2970" t="s">
        <v>1754</v>
      </c>
      <c r="AI2970">
        <v>28</v>
      </c>
      <c r="AJ2970">
        <v>4</v>
      </c>
      <c r="AK2970">
        <v>6</v>
      </c>
      <c r="AL2970">
        <v>63.65</v>
      </c>
      <c r="AO2970" t="s">
        <v>2927</v>
      </c>
      <c r="AP2970">
        <v>32472</v>
      </c>
      <c r="AV2970">
        <v>30</v>
      </c>
      <c r="AW2970" t="s">
        <v>401</v>
      </c>
      <c r="AX2970" t="s">
        <v>3078</v>
      </c>
    </row>
    <row r="2971" spans="1:50">
      <c r="A2971" s="1" t="s">
        <v>50</v>
      </c>
      <c r="B2971" t="s">
        <v>52</v>
      </c>
      <c r="C2971" t="s">
        <v>164</v>
      </c>
      <c r="D2971" t="s">
        <v>6273</v>
      </c>
      <c r="E2971" t="s">
        <v>183</v>
      </c>
      <c r="F2971" t="s">
        <v>275</v>
      </c>
      <c r="G2971" t="s">
        <v>9182</v>
      </c>
      <c r="H2971" t="s">
        <v>8506</v>
      </c>
      <c r="I2971" t="s">
        <v>11489</v>
      </c>
      <c r="J2971" t="s">
        <v>1489</v>
      </c>
      <c r="K2971" t="s">
        <v>1641</v>
      </c>
      <c r="L2971">
        <v>10459</v>
      </c>
      <c r="M2971" t="s">
        <v>1670</v>
      </c>
      <c r="P2971" t="s">
        <v>12779</v>
      </c>
      <c r="Q2971" t="s">
        <v>1936</v>
      </c>
      <c r="R2971" t="s">
        <v>1958</v>
      </c>
      <c r="S2971" t="s">
        <v>1965</v>
      </c>
      <c r="T2971" t="s">
        <v>1671</v>
      </c>
      <c r="V2971" t="s">
        <v>1972</v>
      </c>
      <c r="W2971" t="s">
        <v>1983</v>
      </c>
      <c r="X2971" t="s">
        <v>203</v>
      </c>
      <c r="Y2971">
        <v>1475.44</v>
      </c>
      <c r="Z2971" t="s">
        <v>2006</v>
      </c>
      <c r="AA2971" t="s">
        <v>2017</v>
      </c>
      <c r="AB2971" t="s">
        <v>2029</v>
      </c>
      <c r="AC2971" t="s">
        <v>13948</v>
      </c>
      <c r="AD2971" t="s">
        <v>17478</v>
      </c>
      <c r="AE2971" t="s">
        <v>17776</v>
      </c>
      <c r="AF2971">
        <v>30</v>
      </c>
      <c r="AG2971" t="s">
        <v>2904</v>
      </c>
      <c r="AH2971" t="s">
        <v>2917</v>
      </c>
      <c r="AI2971">
        <v>5</v>
      </c>
      <c r="AJ2971">
        <v>1</v>
      </c>
      <c r="AK2971">
        <v>5</v>
      </c>
      <c r="AL2971">
        <v>65.78</v>
      </c>
      <c r="AO2971" t="s">
        <v>2926</v>
      </c>
      <c r="AP2971">
        <v>22752</v>
      </c>
      <c r="AV2971">
        <v>6.5</v>
      </c>
      <c r="AW2971" t="s">
        <v>275</v>
      </c>
      <c r="AX2971" t="s">
        <v>3078</v>
      </c>
    </row>
    <row r="2972" spans="1:50">
      <c r="A2972" s="1" t="s">
        <v>51</v>
      </c>
      <c r="B2972" t="s">
        <v>85</v>
      </c>
      <c r="C2972" t="s">
        <v>164</v>
      </c>
      <c r="D2972" t="s">
        <v>6274</v>
      </c>
      <c r="E2972" t="s">
        <v>260</v>
      </c>
      <c r="F2972" t="s">
        <v>2003</v>
      </c>
      <c r="G2972" t="s">
        <v>7319</v>
      </c>
      <c r="H2972" t="s">
        <v>10752</v>
      </c>
      <c r="I2972" t="s">
        <v>11490</v>
      </c>
      <c r="J2972" t="s">
        <v>11767</v>
      </c>
      <c r="K2972" t="s">
        <v>11746</v>
      </c>
      <c r="L2972">
        <v>11416</v>
      </c>
      <c r="M2972" t="s">
        <v>1670</v>
      </c>
      <c r="P2972" t="s">
        <v>12780</v>
      </c>
      <c r="Q2972" t="s">
        <v>1940</v>
      </c>
      <c r="R2972" t="s">
        <v>1958</v>
      </c>
      <c r="S2972" t="s">
        <v>1965</v>
      </c>
      <c r="T2972" t="s">
        <v>1671</v>
      </c>
      <c r="V2972" t="s">
        <v>1972</v>
      </c>
      <c r="W2972" t="s">
        <v>1984</v>
      </c>
      <c r="X2972" t="s">
        <v>260</v>
      </c>
      <c r="Y2972">
        <v>1400</v>
      </c>
      <c r="Z2972" t="s">
        <v>2007</v>
      </c>
      <c r="AA2972" t="s">
        <v>2012</v>
      </c>
      <c r="AB2972" t="s">
        <v>2029</v>
      </c>
      <c r="AC2972" t="s">
        <v>15364</v>
      </c>
      <c r="AD2972" t="s">
        <v>17479</v>
      </c>
      <c r="AE2972" t="s">
        <v>17777</v>
      </c>
      <c r="AF2972">
        <v>2</v>
      </c>
      <c r="AG2972" t="s">
        <v>2903</v>
      </c>
      <c r="AH2972" t="s">
        <v>2917</v>
      </c>
      <c r="AI2972">
        <v>9</v>
      </c>
      <c r="AJ2972">
        <v>2</v>
      </c>
      <c r="AK2972">
        <v>3</v>
      </c>
      <c r="AL2972">
        <v>97.20999999999999</v>
      </c>
      <c r="AM2972" t="s">
        <v>2923</v>
      </c>
      <c r="AN2972" t="s">
        <v>2924</v>
      </c>
      <c r="AO2972" t="s">
        <v>2927</v>
      </c>
      <c r="AP2972">
        <v>28600</v>
      </c>
      <c r="AV2972">
        <v>1.4</v>
      </c>
      <c r="AW2972" t="s">
        <v>2003</v>
      </c>
      <c r="AX2972" t="s">
        <v>85</v>
      </c>
    </row>
    <row r="2973" spans="1:50">
      <c r="A2973" s="1" t="s">
        <v>50</v>
      </c>
      <c r="B2973" t="s">
        <v>66</v>
      </c>
      <c r="C2973" t="s">
        <v>163</v>
      </c>
      <c r="D2973" t="s">
        <v>6275</v>
      </c>
      <c r="E2973" t="s">
        <v>198</v>
      </c>
      <c r="G2973" t="s">
        <v>7135</v>
      </c>
      <c r="H2973" t="s">
        <v>10753</v>
      </c>
      <c r="I2973" t="s">
        <v>11491</v>
      </c>
      <c r="J2973">
        <v>4</v>
      </c>
      <c r="K2973" t="s">
        <v>1644</v>
      </c>
      <c r="L2973">
        <v>11233</v>
      </c>
      <c r="M2973" t="s">
        <v>1670</v>
      </c>
      <c r="P2973" t="s">
        <v>12781</v>
      </c>
      <c r="Q2973" t="s">
        <v>1936</v>
      </c>
      <c r="R2973" t="s">
        <v>1960</v>
      </c>
      <c r="T2973" t="s">
        <v>1671</v>
      </c>
      <c r="V2973" t="s">
        <v>1972</v>
      </c>
      <c r="W2973" t="s">
        <v>1984</v>
      </c>
      <c r="X2973" t="s">
        <v>390</v>
      </c>
      <c r="Y2973">
        <v>1477</v>
      </c>
      <c r="Z2973" t="s">
        <v>2009</v>
      </c>
      <c r="AA2973" t="s">
        <v>2020</v>
      </c>
      <c r="AC2973" t="s">
        <v>15365</v>
      </c>
      <c r="AD2973" t="s">
        <v>17480</v>
      </c>
      <c r="AE2973" t="s">
        <v>17778</v>
      </c>
      <c r="AF2973">
        <v>8</v>
      </c>
      <c r="AG2973" t="s">
        <v>2902</v>
      </c>
      <c r="AH2973" t="s">
        <v>2915</v>
      </c>
      <c r="AI2973">
        <v>4</v>
      </c>
      <c r="AJ2973">
        <v>3</v>
      </c>
      <c r="AK2973">
        <v>1</v>
      </c>
      <c r="AL2973">
        <v>15.45</v>
      </c>
      <c r="AO2973" t="s">
        <v>2926</v>
      </c>
      <c r="AP2973">
        <v>3978</v>
      </c>
      <c r="AV2973">
        <v>6.3</v>
      </c>
      <c r="AW2973" t="s">
        <v>393</v>
      </c>
      <c r="AX2973" t="s">
        <v>3060</v>
      </c>
    </row>
    <row r="2974" spans="1:50">
      <c r="A2974" s="1" t="s">
        <v>50</v>
      </c>
      <c r="B2974" t="s">
        <v>98</v>
      </c>
      <c r="C2974" t="s">
        <v>164</v>
      </c>
      <c r="D2974" t="s">
        <v>6276</v>
      </c>
      <c r="E2974" t="s">
        <v>252</v>
      </c>
      <c r="F2974" t="s">
        <v>376</v>
      </c>
      <c r="G2974" t="s">
        <v>9183</v>
      </c>
      <c r="H2974" t="s">
        <v>8616</v>
      </c>
      <c r="I2974" t="s">
        <v>1312</v>
      </c>
      <c r="J2974" t="s">
        <v>1550</v>
      </c>
      <c r="K2974" t="s">
        <v>1641</v>
      </c>
      <c r="L2974">
        <v>10459</v>
      </c>
      <c r="M2974" t="s">
        <v>1670</v>
      </c>
      <c r="Q2974" t="s">
        <v>1675</v>
      </c>
      <c r="R2974" t="s">
        <v>1958</v>
      </c>
      <c r="S2974" t="s">
        <v>1965</v>
      </c>
      <c r="T2974" t="s">
        <v>1671</v>
      </c>
      <c r="V2974" t="s">
        <v>1972</v>
      </c>
      <c r="X2974" t="s">
        <v>252</v>
      </c>
      <c r="Y2974">
        <v>1470</v>
      </c>
      <c r="Z2974" t="s">
        <v>2006</v>
      </c>
      <c r="AA2974" t="s">
        <v>2015</v>
      </c>
      <c r="AB2974" t="s">
        <v>2029</v>
      </c>
      <c r="AC2974" t="s">
        <v>15366</v>
      </c>
      <c r="AD2974" t="s">
        <v>17481</v>
      </c>
      <c r="AF2974">
        <v>50</v>
      </c>
      <c r="AG2974" t="s">
        <v>2902</v>
      </c>
      <c r="AH2974" t="s">
        <v>2915</v>
      </c>
      <c r="AI2974">
        <v>2</v>
      </c>
      <c r="AJ2974">
        <v>1</v>
      </c>
      <c r="AK2974">
        <v>2</v>
      </c>
      <c r="AL2974">
        <v>37.54</v>
      </c>
      <c r="AO2974" t="s">
        <v>2926</v>
      </c>
      <c r="AP2974">
        <v>7800</v>
      </c>
      <c r="AV2974">
        <v>2.5</v>
      </c>
      <c r="AW2974" t="s">
        <v>376</v>
      </c>
      <c r="AX2974" t="s">
        <v>98</v>
      </c>
    </row>
    <row r="2975" spans="1:50">
      <c r="A2975" s="1" t="s">
        <v>50</v>
      </c>
      <c r="B2975" t="s">
        <v>107</v>
      </c>
      <c r="C2975" t="s">
        <v>163</v>
      </c>
      <c r="D2975" t="s">
        <v>6277</v>
      </c>
      <c r="E2975" t="s">
        <v>3040</v>
      </c>
      <c r="G2975" t="s">
        <v>7116</v>
      </c>
      <c r="H2975" t="s">
        <v>10754</v>
      </c>
      <c r="I2975" t="s">
        <v>11491</v>
      </c>
      <c r="J2975">
        <v>7</v>
      </c>
      <c r="K2975" t="s">
        <v>1644</v>
      </c>
      <c r="L2975">
        <v>11233</v>
      </c>
      <c r="M2975" t="s">
        <v>1670</v>
      </c>
      <c r="P2975" t="s">
        <v>12782</v>
      </c>
      <c r="Q2975" t="s">
        <v>1936</v>
      </c>
      <c r="R2975" t="s">
        <v>1960</v>
      </c>
      <c r="T2975" t="s">
        <v>1671</v>
      </c>
      <c r="V2975" t="s">
        <v>1972</v>
      </c>
      <c r="W2975" t="s">
        <v>1984</v>
      </c>
      <c r="X2975" t="s">
        <v>3040</v>
      </c>
      <c r="Y2975">
        <v>1473.42</v>
      </c>
      <c r="Z2975" t="s">
        <v>2009</v>
      </c>
      <c r="AA2975" t="s">
        <v>2020</v>
      </c>
      <c r="AC2975" t="s">
        <v>15367</v>
      </c>
      <c r="AD2975" t="s">
        <v>17482</v>
      </c>
      <c r="AE2975" t="s">
        <v>17779</v>
      </c>
      <c r="AF2975">
        <v>8</v>
      </c>
      <c r="AG2975" t="s">
        <v>2902</v>
      </c>
      <c r="AH2975" t="s">
        <v>2919</v>
      </c>
      <c r="AI2975">
        <v>9</v>
      </c>
      <c r="AJ2975">
        <v>2</v>
      </c>
      <c r="AK2975">
        <v>1</v>
      </c>
      <c r="AL2975">
        <v>141.19</v>
      </c>
      <c r="AO2975" t="s">
        <v>2926</v>
      </c>
      <c r="AP2975">
        <v>29340</v>
      </c>
      <c r="AQ2975" t="s">
        <v>18429</v>
      </c>
      <c r="AV2975">
        <v>22.5</v>
      </c>
      <c r="AW2975" t="s">
        <v>171</v>
      </c>
      <c r="AX2975" t="s">
        <v>3060</v>
      </c>
    </row>
    <row r="2976" spans="1:50">
      <c r="A2976" s="1" t="s">
        <v>50</v>
      </c>
      <c r="B2976" t="s">
        <v>66</v>
      </c>
      <c r="C2976" t="s">
        <v>164</v>
      </c>
      <c r="D2976" t="s">
        <v>6278</v>
      </c>
      <c r="E2976" t="s">
        <v>279</v>
      </c>
      <c r="F2976" t="s">
        <v>361</v>
      </c>
      <c r="G2976" t="s">
        <v>9184</v>
      </c>
      <c r="H2976" t="s">
        <v>10755</v>
      </c>
      <c r="I2976" t="s">
        <v>11492</v>
      </c>
      <c r="J2976" t="s">
        <v>1569</v>
      </c>
      <c r="K2976" t="s">
        <v>1644</v>
      </c>
      <c r="L2976">
        <v>11212</v>
      </c>
      <c r="M2976" t="s">
        <v>1670</v>
      </c>
      <c r="P2976" t="s">
        <v>12783</v>
      </c>
      <c r="Q2976" t="s">
        <v>1936</v>
      </c>
      <c r="R2976" t="s">
        <v>1960</v>
      </c>
      <c r="S2976" t="s">
        <v>1969</v>
      </c>
      <c r="T2976" t="s">
        <v>1671</v>
      </c>
      <c r="V2976" t="s">
        <v>1972</v>
      </c>
      <c r="W2976" t="s">
        <v>1987</v>
      </c>
      <c r="X2976" t="s">
        <v>279</v>
      </c>
      <c r="Y2976">
        <v>1650</v>
      </c>
      <c r="Z2976" t="s">
        <v>2009</v>
      </c>
      <c r="AA2976" t="s">
        <v>2020</v>
      </c>
      <c r="AB2976" t="s">
        <v>2029</v>
      </c>
      <c r="AC2976" t="s">
        <v>15368</v>
      </c>
      <c r="AD2976" t="s">
        <v>17483</v>
      </c>
      <c r="AE2976" t="s">
        <v>17780</v>
      </c>
      <c r="AF2976">
        <v>49</v>
      </c>
      <c r="AG2976" t="s">
        <v>2902</v>
      </c>
      <c r="AH2976" t="s">
        <v>2918</v>
      </c>
      <c r="AI2976">
        <v>8</v>
      </c>
      <c r="AJ2976">
        <v>1</v>
      </c>
      <c r="AK2976">
        <v>1</v>
      </c>
      <c r="AL2976">
        <v>126.37</v>
      </c>
      <c r="AO2976" t="s">
        <v>2926</v>
      </c>
      <c r="AP2976">
        <v>20800</v>
      </c>
      <c r="AQ2976" t="s">
        <v>18069</v>
      </c>
      <c r="AV2976">
        <v>48.1</v>
      </c>
      <c r="AW2976" t="s">
        <v>361</v>
      </c>
      <c r="AX2976" t="s">
        <v>3060</v>
      </c>
    </row>
    <row r="2977" spans="1:50">
      <c r="A2977" s="1" t="s">
        <v>50</v>
      </c>
      <c r="B2977" t="s">
        <v>120</v>
      </c>
      <c r="C2977" t="s">
        <v>163</v>
      </c>
      <c r="D2977" t="s">
        <v>6279</v>
      </c>
      <c r="E2977" t="s">
        <v>295</v>
      </c>
      <c r="G2977" t="s">
        <v>9184</v>
      </c>
      <c r="H2977" t="s">
        <v>10755</v>
      </c>
      <c r="I2977" t="s">
        <v>11492</v>
      </c>
      <c r="J2977" t="s">
        <v>1569</v>
      </c>
      <c r="K2977" t="s">
        <v>1644</v>
      </c>
      <c r="L2977">
        <v>11212</v>
      </c>
      <c r="M2977" t="s">
        <v>1670</v>
      </c>
      <c r="Q2977" t="s">
        <v>1950</v>
      </c>
      <c r="R2977" t="s">
        <v>1959</v>
      </c>
      <c r="T2977" t="s">
        <v>1671</v>
      </c>
      <c r="V2977" t="s">
        <v>1974</v>
      </c>
      <c r="W2977" t="s">
        <v>1987</v>
      </c>
      <c r="X2977" t="s">
        <v>240</v>
      </c>
      <c r="Y2977">
        <v>1650</v>
      </c>
      <c r="Z2977" t="s">
        <v>2009</v>
      </c>
      <c r="AA2977" t="s">
        <v>2020</v>
      </c>
      <c r="AC2977" t="s">
        <v>15368</v>
      </c>
      <c r="AD2977" t="s">
        <v>17483</v>
      </c>
      <c r="AE2977" t="s">
        <v>17780</v>
      </c>
      <c r="AF2977">
        <v>49</v>
      </c>
      <c r="AG2977" t="s">
        <v>2902</v>
      </c>
      <c r="AH2977" t="s">
        <v>2918</v>
      </c>
      <c r="AI2977">
        <v>8</v>
      </c>
      <c r="AJ2977">
        <v>1</v>
      </c>
      <c r="AK2977">
        <v>1</v>
      </c>
      <c r="AL2977">
        <v>150.68</v>
      </c>
      <c r="AO2977" t="s">
        <v>2926</v>
      </c>
      <c r="AP2977">
        <v>25480</v>
      </c>
      <c r="AV2977">
        <v>7.8</v>
      </c>
      <c r="AW2977" t="s">
        <v>230</v>
      </c>
      <c r="AX2977" t="s">
        <v>3059</v>
      </c>
    </row>
    <row r="2978" spans="1:50">
      <c r="A2978" s="1" t="s">
        <v>50</v>
      </c>
      <c r="B2978" t="s">
        <v>105</v>
      </c>
      <c r="C2978" t="s">
        <v>164</v>
      </c>
      <c r="D2978" t="s">
        <v>6280</v>
      </c>
      <c r="E2978" t="s">
        <v>297</v>
      </c>
      <c r="F2978" t="s">
        <v>206</v>
      </c>
      <c r="G2978" t="s">
        <v>9185</v>
      </c>
      <c r="H2978" t="s">
        <v>10756</v>
      </c>
      <c r="I2978" t="s">
        <v>1312</v>
      </c>
      <c r="J2978" t="s">
        <v>1541</v>
      </c>
      <c r="K2978" t="s">
        <v>1641</v>
      </c>
      <c r="L2978">
        <v>10459</v>
      </c>
      <c r="M2978" t="s">
        <v>1670</v>
      </c>
      <c r="Q2978" t="s">
        <v>1939</v>
      </c>
      <c r="R2978" t="s">
        <v>1960</v>
      </c>
      <c r="S2978" t="s">
        <v>1968</v>
      </c>
      <c r="T2978" t="s">
        <v>1670</v>
      </c>
      <c r="V2978" t="s">
        <v>1972</v>
      </c>
      <c r="X2978" t="s">
        <v>359</v>
      </c>
      <c r="Y2978">
        <v>1442</v>
      </c>
      <c r="Z2978" t="s">
        <v>2006</v>
      </c>
      <c r="AA2978" t="s">
        <v>2015</v>
      </c>
      <c r="AB2978" t="s">
        <v>2030</v>
      </c>
      <c r="AC2978" t="s">
        <v>15369</v>
      </c>
      <c r="AD2978" t="s">
        <v>17484</v>
      </c>
      <c r="AE2978" t="s">
        <v>17781</v>
      </c>
      <c r="AF2978">
        <v>42</v>
      </c>
      <c r="AG2978" t="s">
        <v>2909</v>
      </c>
      <c r="AH2978" t="s">
        <v>2922</v>
      </c>
      <c r="AI2978">
        <v>23</v>
      </c>
      <c r="AJ2978">
        <v>2</v>
      </c>
      <c r="AK2978">
        <v>2</v>
      </c>
      <c r="AL2978">
        <v>66.93000000000001</v>
      </c>
      <c r="AO2978" t="s">
        <v>2926</v>
      </c>
      <c r="AP2978">
        <v>16800</v>
      </c>
      <c r="AV2978">
        <v>1.25</v>
      </c>
      <c r="AW2978" t="s">
        <v>249</v>
      </c>
      <c r="AX2978" t="s">
        <v>3047</v>
      </c>
    </row>
    <row r="2979" spans="1:50">
      <c r="A2979" s="1" t="s">
        <v>50</v>
      </c>
      <c r="B2979" t="s">
        <v>105</v>
      </c>
      <c r="C2979" t="s">
        <v>163</v>
      </c>
      <c r="D2979" t="s">
        <v>6281</v>
      </c>
      <c r="E2979" t="s">
        <v>307</v>
      </c>
      <c r="G2979" t="s">
        <v>9185</v>
      </c>
      <c r="H2979" t="s">
        <v>10756</v>
      </c>
      <c r="I2979" t="s">
        <v>1312</v>
      </c>
      <c r="J2979" t="s">
        <v>1541</v>
      </c>
      <c r="K2979" t="s">
        <v>1641</v>
      </c>
      <c r="L2979">
        <v>10459</v>
      </c>
      <c r="M2979" t="s">
        <v>1670</v>
      </c>
      <c r="P2979" t="s">
        <v>12784</v>
      </c>
      <c r="Q2979" t="s">
        <v>1939</v>
      </c>
      <c r="R2979" t="s">
        <v>1960</v>
      </c>
      <c r="T2979" t="s">
        <v>1670</v>
      </c>
      <c r="V2979" t="s">
        <v>1972</v>
      </c>
      <c r="X2979" t="s">
        <v>256</v>
      </c>
      <c r="Y2979">
        <v>1442</v>
      </c>
      <c r="Z2979" t="s">
        <v>2006</v>
      </c>
      <c r="AA2979" t="s">
        <v>2015</v>
      </c>
      <c r="AC2979" t="s">
        <v>15369</v>
      </c>
      <c r="AD2979" t="s">
        <v>17484</v>
      </c>
      <c r="AE2979" t="s">
        <v>17781</v>
      </c>
      <c r="AF2979">
        <v>42</v>
      </c>
      <c r="AG2979" t="s">
        <v>2907</v>
      </c>
      <c r="AH2979" t="s">
        <v>2922</v>
      </c>
      <c r="AI2979">
        <v>23</v>
      </c>
      <c r="AJ2979">
        <v>2</v>
      </c>
      <c r="AK2979">
        <v>2</v>
      </c>
      <c r="AL2979">
        <v>66.93000000000001</v>
      </c>
      <c r="AO2979" t="s">
        <v>2926</v>
      </c>
      <c r="AP2979">
        <v>16800</v>
      </c>
      <c r="AV2979">
        <v>1.4</v>
      </c>
      <c r="AW2979" t="s">
        <v>256</v>
      </c>
      <c r="AX2979" t="s">
        <v>3047</v>
      </c>
    </row>
    <row r="2980" spans="1:50">
      <c r="A2980" s="1" t="s">
        <v>50</v>
      </c>
      <c r="B2980" t="s">
        <v>105</v>
      </c>
      <c r="C2980" t="s">
        <v>163</v>
      </c>
      <c r="D2980" t="s">
        <v>6282</v>
      </c>
      <c r="E2980" t="s">
        <v>376</v>
      </c>
      <c r="G2980" t="s">
        <v>9185</v>
      </c>
      <c r="H2980" t="s">
        <v>10756</v>
      </c>
      <c r="I2980" t="s">
        <v>1312</v>
      </c>
      <c r="J2980" t="s">
        <v>1541</v>
      </c>
      <c r="K2980" t="s">
        <v>1641</v>
      </c>
      <c r="L2980">
        <v>10459</v>
      </c>
      <c r="M2980" t="s">
        <v>1670</v>
      </c>
      <c r="P2980" t="s">
        <v>12785</v>
      </c>
      <c r="Q2980" t="s">
        <v>1936</v>
      </c>
      <c r="R2980" t="s">
        <v>1960</v>
      </c>
      <c r="T2980" t="s">
        <v>1671</v>
      </c>
      <c r="V2980" t="s">
        <v>1972</v>
      </c>
      <c r="X2980" t="s">
        <v>376</v>
      </c>
      <c r="Y2980">
        <v>1442</v>
      </c>
      <c r="Z2980" t="s">
        <v>2006</v>
      </c>
      <c r="AA2980" t="s">
        <v>2015</v>
      </c>
      <c r="AC2980" t="s">
        <v>15369</v>
      </c>
      <c r="AD2980" t="s">
        <v>17484</v>
      </c>
      <c r="AE2980" t="s">
        <v>17781</v>
      </c>
      <c r="AF2980">
        <v>42</v>
      </c>
      <c r="AG2980" t="s">
        <v>2907</v>
      </c>
      <c r="AH2980" t="s">
        <v>2922</v>
      </c>
      <c r="AI2980">
        <v>23</v>
      </c>
      <c r="AJ2980">
        <v>2</v>
      </c>
      <c r="AK2980">
        <v>2</v>
      </c>
      <c r="AL2980">
        <v>66.93000000000001</v>
      </c>
      <c r="AO2980" t="s">
        <v>2926</v>
      </c>
      <c r="AP2980">
        <v>16800</v>
      </c>
      <c r="AV2980">
        <v>46</v>
      </c>
      <c r="AW2980" t="s">
        <v>3030</v>
      </c>
      <c r="AX2980" t="s">
        <v>3047</v>
      </c>
    </row>
    <row r="2981" spans="1:50">
      <c r="A2981" s="1" t="s">
        <v>51</v>
      </c>
      <c r="B2981" t="s">
        <v>146</v>
      </c>
      <c r="C2981" t="s">
        <v>164</v>
      </c>
      <c r="D2981" t="s">
        <v>6283</v>
      </c>
      <c r="E2981" t="s">
        <v>6138</v>
      </c>
      <c r="F2981" t="s">
        <v>359</v>
      </c>
      <c r="G2981" t="s">
        <v>9186</v>
      </c>
      <c r="H2981" t="s">
        <v>10757</v>
      </c>
      <c r="I2981" t="s">
        <v>11493</v>
      </c>
      <c r="J2981">
        <v>409</v>
      </c>
      <c r="K2981" t="s">
        <v>1641</v>
      </c>
      <c r="L2981">
        <v>10460</v>
      </c>
      <c r="M2981" t="s">
        <v>1670</v>
      </c>
      <c r="Q2981" t="s">
        <v>1675</v>
      </c>
      <c r="R2981" t="s">
        <v>1958</v>
      </c>
      <c r="S2981" t="s">
        <v>1965</v>
      </c>
      <c r="T2981" t="s">
        <v>1671</v>
      </c>
      <c r="V2981" t="s">
        <v>1972</v>
      </c>
      <c r="X2981" t="s">
        <v>352</v>
      </c>
      <c r="Y2981">
        <v>1479</v>
      </c>
      <c r="Z2981" t="s">
        <v>2006</v>
      </c>
      <c r="AA2981" t="s">
        <v>2012</v>
      </c>
      <c r="AB2981" t="s">
        <v>2029</v>
      </c>
      <c r="AC2981" t="s">
        <v>15370</v>
      </c>
      <c r="AD2981" t="s">
        <v>17485</v>
      </c>
      <c r="AE2981" t="s">
        <v>17782</v>
      </c>
      <c r="AF2981">
        <v>6</v>
      </c>
      <c r="AG2981" t="s">
        <v>2908</v>
      </c>
      <c r="AH2981" t="s">
        <v>2917</v>
      </c>
      <c r="AI2981">
        <v>2</v>
      </c>
      <c r="AJ2981">
        <v>1</v>
      </c>
      <c r="AK2981">
        <v>3</v>
      </c>
      <c r="AL2981">
        <v>76.48999999999999</v>
      </c>
      <c r="AM2981" t="s">
        <v>2923</v>
      </c>
      <c r="AN2981" t="s">
        <v>2924</v>
      </c>
      <c r="AO2981" t="s">
        <v>2927</v>
      </c>
      <c r="AP2981">
        <v>19200</v>
      </c>
      <c r="AV2981">
        <v>3.3</v>
      </c>
      <c r="AW2981" t="s">
        <v>187</v>
      </c>
      <c r="AX2981" t="s">
        <v>3080</v>
      </c>
    </row>
    <row r="2982" spans="1:50">
      <c r="A2982" s="1" t="s">
        <v>50</v>
      </c>
      <c r="B2982" t="s">
        <v>120</v>
      </c>
      <c r="C2982" t="s">
        <v>163</v>
      </c>
      <c r="D2982" t="s">
        <v>6284</v>
      </c>
      <c r="E2982" t="s">
        <v>180</v>
      </c>
      <c r="G2982" t="s">
        <v>609</v>
      </c>
      <c r="H2982" t="s">
        <v>8056</v>
      </c>
      <c r="I2982" t="s">
        <v>11494</v>
      </c>
      <c r="J2982" t="s">
        <v>1538</v>
      </c>
      <c r="K2982" t="s">
        <v>1643</v>
      </c>
      <c r="L2982">
        <v>10035</v>
      </c>
      <c r="M2982" t="s">
        <v>1670</v>
      </c>
      <c r="Q2982" t="s">
        <v>1944</v>
      </c>
      <c r="R2982" t="s">
        <v>1961</v>
      </c>
      <c r="T2982" t="s">
        <v>1671</v>
      </c>
      <c r="V2982" t="s">
        <v>1976</v>
      </c>
      <c r="W2982" t="s">
        <v>1984</v>
      </c>
      <c r="X2982" t="s">
        <v>180</v>
      </c>
      <c r="Y2982">
        <v>550</v>
      </c>
      <c r="Z2982" t="s">
        <v>2008</v>
      </c>
      <c r="AA2982" t="s">
        <v>2021</v>
      </c>
      <c r="AC2982" t="s">
        <v>15371</v>
      </c>
      <c r="AD2982" t="s">
        <v>17486</v>
      </c>
      <c r="AE2982" t="s">
        <v>17783</v>
      </c>
      <c r="AF2982">
        <v>30</v>
      </c>
      <c r="AG2982" t="s">
        <v>2902</v>
      </c>
      <c r="AH2982" t="s">
        <v>1754</v>
      </c>
      <c r="AI2982">
        <v>20</v>
      </c>
      <c r="AJ2982">
        <v>1</v>
      </c>
      <c r="AK2982">
        <v>2</v>
      </c>
      <c r="AL2982">
        <v>10.97</v>
      </c>
      <c r="AO2982" t="s">
        <v>2926</v>
      </c>
      <c r="AP2982">
        <v>2280</v>
      </c>
      <c r="AV2982">
        <v>16.3</v>
      </c>
      <c r="AW2982" t="s">
        <v>290</v>
      </c>
      <c r="AX2982" t="s">
        <v>3051</v>
      </c>
    </row>
    <row r="2983" spans="1:50">
      <c r="A2983" s="1" t="s">
        <v>50</v>
      </c>
      <c r="B2983" t="s">
        <v>120</v>
      </c>
      <c r="C2983" t="s">
        <v>163</v>
      </c>
      <c r="D2983" t="s">
        <v>6285</v>
      </c>
      <c r="E2983" t="s">
        <v>377</v>
      </c>
      <c r="G2983" t="s">
        <v>7241</v>
      </c>
      <c r="H2983" t="s">
        <v>946</v>
      </c>
      <c r="I2983" t="s">
        <v>11495</v>
      </c>
      <c r="J2983" t="s">
        <v>1501</v>
      </c>
      <c r="K2983" t="s">
        <v>1644</v>
      </c>
      <c r="L2983">
        <v>11207</v>
      </c>
      <c r="M2983" t="s">
        <v>1670</v>
      </c>
      <c r="P2983" t="s">
        <v>12786</v>
      </c>
      <c r="Q2983" t="s">
        <v>12742</v>
      </c>
      <c r="R2983" t="s">
        <v>1961</v>
      </c>
      <c r="T2983" t="s">
        <v>1671</v>
      </c>
      <c r="V2983" t="s">
        <v>1974</v>
      </c>
      <c r="W2983" t="s">
        <v>1984</v>
      </c>
      <c r="X2983" t="s">
        <v>252</v>
      </c>
      <c r="Y2983">
        <v>1277</v>
      </c>
      <c r="Z2983" t="s">
        <v>2009</v>
      </c>
      <c r="AA2983" t="s">
        <v>2020</v>
      </c>
      <c r="AC2983" t="s">
        <v>15372</v>
      </c>
      <c r="AD2983" t="s">
        <v>17487</v>
      </c>
      <c r="AE2983" t="s">
        <v>17784</v>
      </c>
      <c r="AF2983">
        <v>6</v>
      </c>
      <c r="AG2983" t="s">
        <v>2902</v>
      </c>
      <c r="AH2983" t="s">
        <v>2917</v>
      </c>
      <c r="AI2983">
        <v>23</v>
      </c>
      <c r="AJ2983">
        <v>2</v>
      </c>
      <c r="AK2983">
        <v>1</v>
      </c>
      <c r="AL2983">
        <v>86.58</v>
      </c>
      <c r="AO2983" t="s">
        <v>2926</v>
      </c>
      <c r="AP2983">
        <v>17992</v>
      </c>
      <c r="AV2983">
        <v>47.25</v>
      </c>
      <c r="AW2983" t="s">
        <v>3035</v>
      </c>
      <c r="AX2983" t="s">
        <v>3060</v>
      </c>
    </row>
    <row r="2984" spans="1:50">
      <c r="A2984" s="1" t="s">
        <v>50</v>
      </c>
      <c r="B2984" t="s">
        <v>107</v>
      </c>
      <c r="C2984" t="s">
        <v>163</v>
      </c>
      <c r="D2984" t="s">
        <v>6286</v>
      </c>
      <c r="E2984" t="s">
        <v>250</v>
      </c>
      <c r="G2984" t="s">
        <v>7241</v>
      </c>
      <c r="H2984" t="s">
        <v>946</v>
      </c>
      <c r="I2984" t="s">
        <v>11495</v>
      </c>
      <c r="J2984" t="s">
        <v>1501</v>
      </c>
      <c r="K2984" t="s">
        <v>1644</v>
      </c>
      <c r="L2984">
        <v>11207</v>
      </c>
      <c r="M2984" t="s">
        <v>1670</v>
      </c>
      <c r="P2984" t="s">
        <v>12786</v>
      </c>
      <c r="Q2984" t="s">
        <v>1936</v>
      </c>
      <c r="R2984" t="s">
        <v>1960</v>
      </c>
      <c r="T2984" t="s">
        <v>1671</v>
      </c>
      <c r="V2984" t="s">
        <v>1972</v>
      </c>
      <c r="W2984" t="s">
        <v>1985</v>
      </c>
      <c r="X2984" t="s">
        <v>252</v>
      </c>
      <c r="Y2984">
        <v>1277</v>
      </c>
      <c r="Z2984" t="s">
        <v>2009</v>
      </c>
      <c r="AA2984" t="s">
        <v>2020</v>
      </c>
      <c r="AC2984" t="s">
        <v>15372</v>
      </c>
      <c r="AD2984" t="s">
        <v>17487</v>
      </c>
      <c r="AE2984" t="s">
        <v>17784</v>
      </c>
      <c r="AF2984">
        <v>6</v>
      </c>
      <c r="AG2984" t="s">
        <v>2902</v>
      </c>
      <c r="AH2984" t="s">
        <v>2917</v>
      </c>
      <c r="AI2984">
        <v>23</v>
      </c>
      <c r="AJ2984">
        <v>2</v>
      </c>
      <c r="AK2984">
        <v>1</v>
      </c>
      <c r="AL2984">
        <v>119.63</v>
      </c>
      <c r="AO2984" t="s">
        <v>2926</v>
      </c>
      <c r="AP2984">
        <v>24860</v>
      </c>
      <c r="AV2984">
        <v>50.6</v>
      </c>
      <c r="AW2984" t="s">
        <v>275</v>
      </c>
      <c r="AX2984" t="s">
        <v>3060</v>
      </c>
    </row>
    <row r="2985" spans="1:50">
      <c r="A2985" s="1" t="s">
        <v>50</v>
      </c>
      <c r="B2985" t="s">
        <v>120</v>
      </c>
      <c r="C2985" t="s">
        <v>164</v>
      </c>
      <c r="D2985" t="s">
        <v>6287</v>
      </c>
      <c r="E2985" t="s">
        <v>340</v>
      </c>
      <c r="F2985" t="s">
        <v>6763</v>
      </c>
      <c r="G2985" t="s">
        <v>695</v>
      </c>
      <c r="H2985" t="s">
        <v>897</v>
      </c>
      <c r="I2985" t="s">
        <v>11496</v>
      </c>
      <c r="J2985" t="s">
        <v>11768</v>
      </c>
      <c r="K2985" t="s">
        <v>1644</v>
      </c>
      <c r="L2985">
        <v>11207</v>
      </c>
      <c r="M2985" t="s">
        <v>1670</v>
      </c>
      <c r="Q2985" t="s">
        <v>1947</v>
      </c>
      <c r="R2985" t="s">
        <v>1961</v>
      </c>
      <c r="S2985" t="s">
        <v>1970</v>
      </c>
      <c r="T2985" t="s">
        <v>1671</v>
      </c>
      <c r="V2985" t="s">
        <v>1974</v>
      </c>
      <c r="W2985" t="s">
        <v>1987</v>
      </c>
      <c r="X2985" t="s">
        <v>261</v>
      </c>
      <c r="Y2985">
        <v>1200</v>
      </c>
      <c r="Z2985" t="s">
        <v>2009</v>
      </c>
      <c r="AA2985" t="s">
        <v>2020</v>
      </c>
      <c r="AB2985" t="s">
        <v>2039</v>
      </c>
      <c r="AC2985" t="s">
        <v>15373</v>
      </c>
      <c r="AD2985" t="s">
        <v>17488</v>
      </c>
      <c r="AE2985" t="s">
        <v>17785</v>
      </c>
      <c r="AF2985">
        <v>6</v>
      </c>
      <c r="AG2985" t="s">
        <v>2902</v>
      </c>
      <c r="AH2985" t="s">
        <v>2917</v>
      </c>
      <c r="AI2985">
        <v>6</v>
      </c>
      <c r="AJ2985">
        <v>2</v>
      </c>
      <c r="AK2985">
        <v>1</v>
      </c>
      <c r="AL2985">
        <v>36.96</v>
      </c>
      <c r="AO2985" t="s">
        <v>2926</v>
      </c>
      <c r="AP2985">
        <v>7680</v>
      </c>
      <c r="AV2985">
        <v>45.25</v>
      </c>
      <c r="AW2985" t="s">
        <v>6763</v>
      </c>
      <c r="AX2985" t="s">
        <v>3060</v>
      </c>
    </row>
    <row r="2986" spans="1:50">
      <c r="A2986" s="1" t="s">
        <v>50</v>
      </c>
      <c r="B2986" t="s">
        <v>120</v>
      </c>
      <c r="C2986" t="s">
        <v>164</v>
      </c>
      <c r="D2986" t="s">
        <v>6288</v>
      </c>
      <c r="E2986" t="s">
        <v>296</v>
      </c>
      <c r="F2986" t="s">
        <v>6763</v>
      </c>
      <c r="G2986" t="s">
        <v>695</v>
      </c>
      <c r="H2986" t="s">
        <v>897</v>
      </c>
      <c r="I2986" t="s">
        <v>11496</v>
      </c>
      <c r="K2986" t="s">
        <v>1644</v>
      </c>
      <c r="L2986">
        <v>11207</v>
      </c>
      <c r="M2986" t="s">
        <v>1670</v>
      </c>
      <c r="Q2986" t="s">
        <v>1945</v>
      </c>
      <c r="R2986" t="s">
        <v>1961</v>
      </c>
      <c r="S2986" t="s">
        <v>1966</v>
      </c>
      <c r="T2986" t="s">
        <v>1671</v>
      </c>
      <c r="V2986" t="s">
        <v>1972</v>
      </c>
      <c r="W2986" t="s">
        <v>1987</v>
      </c>
      <c r="X2986" t="s">
        <v>261</v>
      </c>
      <c r="Y2986">
        <v>1200</v>
      </c>
      <c r="Z2986" t="s">
        <v>2009</v>
      </c>
      <c r="AA2986" t="s">
        <v>2020</v>
      </c>
      <c r="AB2986" t="s">
        <v>2030</v>
      </c>
      <c r="AC2986" t="s">
        <v>15373</v>
      </c>
      <c r="AD2986" t="s">
        <v>17488</v>
      </c>
      <c r="AE2986" t="s">
        <v>17785</v>
      </c>
      <c r="AF2986">
        <v>6</v>
      </c>
      <c r="AG2986" t="s">
        <v>2902</v>
      </c>
      <c r="AH2986" t="s">
        <v>2918</v>
      </c>
      <c r="AI2986">
        <v>6</v>
      </c>
      <c r="AJ2986">
        <v>2</v>
      </c>
      <c r="AK2986">
        <v>1</v>
      </c>
      <c r="AL2986">
        <v>36.96</v>
      </c>
      <c r="AO2986" t="s">
        <v>2926</v>
      </c>
      <c r="AP2986">
        <v>7680</v>
      </c>
      <c r="AV2986">
        <v>13.5</v>
      </c>
      <c r="AW2986" t="s">
        <v>6763</v>
      </c>
      <c r="AX2986" t="s">
        <v>3059</v>
      </c>
    </row>
    <row r="2987" spans="1:50">
      <c r="A2987" s="1" t="s">
        <v>51</v>
      </c>
      <c r="B2987" t="s">
        <v>107</v>
      </c>
      <c r="C2987" t="s">
        <v>163</v>
      </c>
      <c r="D2987" t="s">
        <v>6289</v>
      </c>
      <c r="E2987" t="s">
        <v>313</v>
      </c>
      <c r="G2987" t="s">
        <v>9187</v>
      </c>
      <c r="H2987" t="s">
        <v>10758</v>
      </c>
      <c r="I2987" t="s">
        <v>11497</v>
      </c>
      <c r="J2987" t="s">
        <v>10974</v>
      </c>
      <c r="K2987" t="s">
        <v>1644</v>
      </c>
      <c r="L2987">
        <v>11220</v>
      </c>
      <c r="M2987" t="s">
        <v>1670</v>
      </c>
      <c r="P2987" t="s">
        <v>12787</v>
      </c>
      <c r="Q2987" t="s">
        <v>1940</v>
      </c>
      <c r="R2987" t="s">
        <v>1960</v>
      </c>
      <c r="T2987" t="s">
        <v>1671</v>
      </c>
      <c r="V2987" t="s">
        <v>1972</v>
      </c>
      <c r="W2987" t="s">
        <v>1984</v>
      </c>
      <c r="X2987" t="s">
        <v>263</v>
      </c>
      <c r="Y2987">
        <v>1176</v>
      </c>
      <c r="Z2987" t="s">
        <v>2009</v>
      </c>
      <c r="AA2987" t="s">
        <v>2012</v>
      </c>
      <c r="AC2987" t="s">
        <v>15374</v>
      </c>
      <c r="AD2987" t="s">
        <v>17489</v>
      </c>
      <c r="AE2987" t="s">
        <v>17786</v>
      </c>
      <c r="AF2987">
        <v>11</v>
      </c>
      <c r="AG2987" t="s">
        <v>2904</v>
      </c>
      <c r="AI2987">
        <v>14</v>
      </c>
      <c r="AJ2987">
        <v>1</v>
      </c>
      <c r="AK2987">
        <v>4</v>
      </c>
      <c r="AL2987">
        <v>57.08</v>
      </c>
      <c r="AM2987" t="s">
        <v>2923</v>
      </c>
      <c r="AN2987" t="s">
        <v>2924</v>
      </c>
      <c r="AO2987" t="s">
        <v>2930</v>
      </c>
      <c r="AP2987">
        <v>17220</v>
      </c>
      <c r="AV2987">
        <v>16</v>
      </c>
      <c r="AW2987" t="s">
        <v>389</v>
      </c>
      <c r="AX2987" t="s">
        <v>3060</v>
      </c>
    </row>
    <row r="2988" spans="1:50">
      <c r="A2988" s="1" t="s">
        <v>50</v>
      </c>
      <c r="B2988" t="s">
        <v>68</v>
      </c>
      <c r="C2988" t="s">
        <v>163</v>
      </c>
      <c r="D2988" t="s">
        <v>6290</v>
      </c>
      <c r="E2988" t="s">
        <v>256</v>
      </c>
      <c r="G2988" t="s">
        <v>9188</v>
      </c>
      <c r="H2988" t="s">
        <v>10759</v>
      </c>
      <c r="I2988" t="s">
        <v>11498</v>
      </c>
      <c r="J2988" t="s">
        <v>11769</v>
      </c>
      <c r="K2988" t="s">
        <v>1643</v>
      </c>
      <c r="L2988">
        <v>10034</v>
      </c>
      <c r="M2988" t="s">
        <v>1670</v>
      </c>
      <c r="Q2988" t="s">
        <v>1938</v>
      </c>
      <c r="R2988" t="s">
        <v>1958</v>
      </c>
      <c r="T2988" t="s">
        <v>1671</v>
      </c>
      <c r="V2988" t="s">
        <v>1972</v>
      </c>
      <c r="X2988" t="s">
        <v>301</v>
      </c>
      <c r="Y2988">
        <v>1912</v>
      </c>
      <c r="Z2988" t="s">
        <v>2008</v>
      </c>
      <c r="AA2988" t="s">
        <v>2013</v>
      </c>
      <c r="AC2988" t="s">
        <v>15375</v>
      </c>
      <c r="AD2988" t="s">
        <v>17490</v>
      </c>
      <c r="AF2988">
        <v>60</v>
      </c>
      <c r="AG2988" t="s">
        <v>2902</v>
      </c>
      <c r="AH2988" t="s">
        <v>1754</v>
      </c>
      <c r="AI2988">
        <v>18</v>
      </c>
      <c r="AJ2988">
        <v>2</v>
      </c>
      <c r="AK2988">
        <v>1</v>
      </c>
      <c r="AL2988">
        <v>86.58</v>
      </c>
      <c r="AO2988" t="s">
        <v>2926</v>
      </c>
      <c r="AP2988">
        <v>18468</v>
      </c>
      <c r="AV2988">
        <v>1.75</v>
      </c>
      <c r="AW2988" t="s">
        <v>199</v>
      </c>
      <c r="AX2988" t="s">
        <v>18654</v>
      </c>
    </row>
    <row r="2989" spans="1:50">
      <c r="A2989" s="1" t="s">
        <v>50</v>
      </c>
      <c r="B2989" t="s">
        <v>103</v>
      </c>
      <c r="C2989" t="s">
        <v>163</v>
      </c>
      <c r="D2989" t="s">
        <v>6291</v>
      </c>
      <c r="E2989" t="s">
        <v>274</v>
      </c>
      <c r="G2989" t="s">
        <v>9189</v>
      </c>
      <c r="H2989" t="s">
        <v>10760</v>
      </c>
      <c r="I2989" t="s">
        <v>10588</v>
      </c>
      <c r="J2989" t="s">
        <v>11770</v>
      </c>
      <c r="K2989" t="s">
        <v>1644</v>
      </c>
      <c r="L2989">
        <v>11208</v>
      </c>
      <c r="M2989" t="s">
        <v>1670</v>
      </c>
      <c r="P2989" t="s">
        <v>12788</v>
      </c>
      <c r="Q2989" t="s">
        <v>1936</v>
      </c>
      <c r="R2989" t="s">
        <v>1960</v>
      </c>
      <c r="V2989" t="s">
        <v>1972</v>
      </c>
      <c r="X2989" t="s">
        <v>274</v>
      </c>
      <c r="Y2989">
        <v>1488</v>
      </c>
      <c r="Z2989" t="s">
        <v>2009</v>
      </c>
      <c r="AA2989" t="s">
        <v>2014</v>
      </c>
      <c r="AC2989" t="s">
        <v>15376</v>
      </c>
      <c r="AD2989" t="s">
        <v>17491</v>
      </c>
      <c r="AE2989" t="s">
        <v>17787</v>
      </c>
      <c r="AF2989">
        <v>18</v>
      </c>
      <c r="AG2989" t="s">
        <v>2904</v>
      </c>
      <c r="AI2989">
        <v>2</v>
      </c>
      <c r="AJ2989">
        <v>2</v>
      </c>
      <c r="AK2989">
        <v>2</v>
      </c>
      <c r="AL2989">
        <v>8.890000000000001</v>
      </c>
      <c r="AO2989" t="s">
        <v>2926</v>
      </c>
      <c r="AP2989">
        <v>2288</v>
      </c>
      <c r="AV2989">
        <v>32.5</v>
      </c>
      <c r="AW2989" t="s">
        <v>3030</v>
      </c>
      <c r="AX2989" t="s">
        <v>3049</v>
      </c>
    </row>
    <row r="2990" spans="1:50">
      <c r="A2990" s="1" t="s">
        <v>50</v>
      </c>
      <c r="B2990" t="s">
        <v>52</v>
      </c>
      <c r="C2990" t="s">
        <v>163</v>
      </c>
      <c r="D2990" t="s">
        <v>6292</v>
      </c>
      <c r="E2990" t="s">
        <v>268</v>
      </c>
      <c r="G2990" t="s">
        <v>9190</v>
      </c>
      <c r="H2990" t="s">
        <v>7695</v>
      </c>
      <c r="I2990" t="s">
        <v>11499</v>
      </c>
      <c r="J2990" t="s">
        <v>1486</v>
      </c>
      <c r="K2990" t="s">
        <v>1641</v>
      </c>
      <c r="L2990">
        <v>10460</v>
      </c>
      <c r="M2990" t="s">
        <v>1670</v>
      </c>
      <c r="P2990" t="s">
        <v>12789</v>
      </c>
      <c r="Q2990" t="s">
        <v>1939</v>
      </c>
      <c r="R2990" t="s">
        <v>1960</v>
      </c>
      <c r="T2990" t="s">
        <v>1671</v>
      </c>
      <c r="V2990" t="s">
        <v>1972</v>
      </c>
      <c r="W2990" t="s">
        <v>1984</v>
      </c>
      <c r="X2990" t="s">
        <v>268</v>
      </c>
      <c r="Y2990">
        <v>1980.45</v>
      </c>
      <c r="Z2990" t="s">
        <v>2006</v>
      </c>
      <c r="AA2990" t="s">
        <v>2020</v>
      </c>
      <c r="AC2990" t="s">
        <v>15377</v>
      </c>
      <c r="AD2990" t="s">
        <v>17492</v>
      </c>
      <c r="AE2990" t="s">
        <v>17788</v>
      </c>
      <c r="AF2990" t="s">
        <v>13051</v>
      </c>
      <c r="AG2990" t="s">
        <v>2902</v>
      </c>
      <c r="AH2990" t="s">
        <v>2918</v>
      </c>
      <c r="AI2990">
        <v>2</v>
      </c>
      <c r="AJ2990">
        <v>4</v>
      </c>
      <c r="AK2990">
        <v>1</v>
      </c>
      <c r="AL2990">
        <v>8.029999999999999</v>
      </c>
      <c r="AO2990" t="s">
        <v>2926</v>
      </c>
      <c r="AP2990">
        <v>2424</v>
      </c>
      <c r="AV2990">
        <v>5</v>
      </c>
      <c r="AW2990" t="s">
        <v>396</v>
      </c>
      <c r="AX2990" t="s">
        <v>3045</v>
      </c>
    </row>
    <row r="2991" spans="1:50">
      <c r="A2991" s="1" t="s">
        <v>50</v>
      </c>
      <c r="B2991" t="s">
        <v>52</v>
      </c>
      <c r="C2991" t="s">
        <v>163</v>
      </c>
      <c r="D2991" t="s">
        <v>6293</v>
      </c>
      <c r="E2991" t="s">
        <v>235</v>
      </c>
      <c r="G2991" t="s">
        <v>9190</v>
      </c>
      <c r="H2991" t="s">
        <v>7695</v>
      </c>
      <c r="I2991" t="s">
        <v>11499</v>
      </c>
      <c r="J2991" t="s">
        <v>1486</v>
      </c>
      <c r="K2991" t="s">
        <v>1641</v>
      </c>
      <c r="L2991">
        <v>10460</v>
      </c>
      <c r="M2991" t="s">
        <v>1670</v>
      </c>
      <c r="P2991" t="s">
        <v>12789</v>
      </c>
      <c r="Q2991" t="s">
        <v>1936</v>
      </c>
      <c r="R2991" t="s">
        <v>1960</v>
      </c>
      <c r="T2991" t="s">
        <v>1671</v>
      </c>
      <c r="V2991" t="s">
        <v>1972</v>
      </c>
      <c r="W2991" t="s">
        <v>1987</v>
      </c>
      <c r="X2991" t="s">
        <v>1999</v>
      </c>
      <c r="Y2991">
        <v>1980.45</v>
      </c>
      <c r="Z2991" t="s">
        <v>2006</v>
      </c>
      <c r="AA2991" t="s">
        <v>2020</v>
      </c>
      <c r="AC2991" t="s">
        <v>15377</v>
      </c>
      <c r="AD2991" t="s">
        <v>17492</v>
      </c>
      <c r="AE2991" t="s">
        <v>17788</v>
      </c>
      <c r="AF2991" t="s">
        <v>13051</v>
      </c>
      <c r="AG2991" t="s">
        <v>2902</v>
      </c>
      <c r="AH2991" t="s">
        <v>2918</v>
      </c>
      <c r="AI2991">
        <v>2</v>
      </c>
      <c r="AJ2991">
        <v>4</v>
      </c>
      <c r="AK2991">
        <v>1</v>
      </c>
      <c r="AL2991">
        <v>27.47</v>
      </c>
      <c r="AO2991" t="s">
        <v>2926</v>
      </c>
      <c r="AP2991">
        <v>8288.799999999999</v>
      </c>
      <c r="AV2991">
        <v>18.2</v>
      </c>
      <c r="AW2991" t="s">
        <v>396</v>
      </c>
      <c r="AX2991" t="s">
        <v>3045</v>
      </c>
    </row>
    <row r="2992" spans="1:50">
      <c r="A2992" s="1" t="s">
        <v>50</v>
      </c>
      <c r="B2992" t="s">
        <v>126</v>
      </c>
      <c r="C2992" t="s">
        <v>164</v>
      </c>
      <c r="D2992" t="s">
        <v>6294</v>
      </c>
      <c r="E2992" t="s">
        <v>168</v>
      </c>
      <c r="F2992" t="s">
        <v>359</v>
      </c>
      <c r="G2992" t="s">
        <v>484</v>
      </c>
      <c r="H2992" t="s">
        <v>8264</v>
      </c>
      <c r="I2992" t="s">
        <v>11500</v>
      </c>
      <c r="J2992" t="s">
        <v>11139</v>
      </c>
      <c r="K2992" t="s">
        <v>1641</v>
      </c>
      <c r="L2992">
        <v>10459</v>
      </c>
      <c r="M2992" t="s">
        <v>1670</v>
      </c>
      <c r="Q2992" t="s">
        <v>1941</v>
      </c>
      <c r="R2992" t="s">
        <v>1958</v>
      </c>
      <c r="S2992" t="s">
        <v>1965</v>
      </c>
      <c r="T2992" t="s">
        <v>1671</v>
      </c>
      <c r="V2992" t="s">
        <v>1972</v>
      </c>
      <c r="X2992" t="s">
        <v>216</v>
      </c>
      <c r="Y2992">
        <v>1600</v>
      </c>
      <c r="Z2992" t="s">
        <v>2006</v>
      </c>
      <c r="AA2992" t="s">
        <v>2013</v>
      </c>
      <c r="AB2992" t="s">
        <v>2029</v>
      </c>
      <c r="AC2992" t="s">
        <v>13170</v>
      </c>
      <c r="AD2992" t="s">
        <v>17493</v>
      </c>
      <c r="AE2992" t="s">
        <v>17789</v>
      </c>
      <c r="AF2992">
        <v>2</v>
      </c>
      <c r="AG2992" t="s">
        <v>2903</v>
      </c>
      <c r="AH2992" t="s">
        <v>2917</v>
      </c>
      <c r="AI2992">
        <v>15</v>
      </c>
      <c r="AJ2992">
        <v>1</v>
      </c>
      <c r="AK2992">
        <v>1</v>
      </c>
      <c r="AL2992">
        <v>53.95</v>
      </c>
      <c r="AO2992" t="s">
        <v>2926</v>
      </c>
      <c r="AP2992">
        <v>8880</v>
      </c>
      <c r="AV2992">
        <v>2.6</v>
      </c>
      <c r="AW2992" t="s">
        <v>330</v>
      </c>
      <c r="AX2992" t="s">
        <v>3066</v>
      </c>
    </row>
    <row r="2993" spans="1:50">
      <c r="A2993" s="1" t="s">
        <v>50</v>
      </c>
      <c r="B2993" t="s">
        <v>103</v>
      </c>
      <c r="C2993" t="s">
        <v>163</v>
      </c>
      <c r="D2993" t="s">
        <v>6295</v>
      </c>
      <c r="E2993" t="s">
        <v>342</v>
      </c>
      <c r="G2993" t="s">
        <v>9191</v>
      </c>
      <c r="H2993" t="s">
        <v>10761</v>
      </c>
      <c r="I2993" t="s">
        <v>11501</v>
      </c>
      <c r="J2993" t="s">
        <v>1510</v>
      </c>
      <c r="K2993" t="s">
        <v>1644</v>
      </c>
      <c r="L2993">
        <v>11208</v>
      </c>
      <c r="M2993" t="s">
        <v>1670</v>
      </c>
      <c r="P2993" t="s">
        <v>12790</v>
      </c>
      <c r="Q2993" t="s">
        <v>1936</v>
      </c>
      <c r="R2993" t="s">
        <v>1960</v>
      </c>
      <c r="T2993" t="s">
        <v>1671</v>
      </c>
      <c r="V2993" t="s">
        <v>1972</v>
      </c>
      <c r="W2993" t="s">
        <v>1984</v>
      </c>
      <c r="X2993" t="s">
        <v>342</v>
      </c>
      <c r="Y2993">
        <v>1425</v>
      </c>
      <c r="Z2993" t="s">
        <v>2009</v>
      </c>
      <c r="AA2993" t="s">
        <v>2020</v>
      </c>
      <c r="AC2993" t="s">
        <v>15378</v>
      </c>
      <c r="AD2993" t="s">
        <v>17494</v>
      </c>
      <c r="AE2993" t="s">
        <v>17790</v>
      </c>
      <c r="AF2993">
        <v>12</v>
      </c>
      <c r="AG2993" t="s">
        <v>2902</v>
      </c>
      <c r="AH2993" t="s">
        <v>2017</v>
      </c>
      <c r="AI2993">
        <v>1</v>
      </c>
      <c r="AJ2993">
        <v>1</v>
      </c>
      <c r="AK2993">
        <v>1</v>
      </c>
      <c r="AL2993">
        <v>92.09</v>
      </c>
      <c r="AO2993" t="s">
        <v>2927</v>
      </c>
      <c r="AP2993">
        <v>15158</v>
      </c>
      <c r="AV2993">
        <v>47.25</v>
      </c>
      <c r="AW2993" t="s">
        <v>393</v>
      </c>
      <c r="AX2993" t="s">
        <v>3060</v>
      </c>
    </row>
    <row r="2994" spans="1:50">
      <c r="A2994" s="1" t="s">
        <v>50</v>
      </c>
      <c r="B2994" t="s">
        <v>120</v>
      </c>
      <c r="C2994" t="s">
        <v>164</v>
      </c>
      <c r="D2994" t="s">
        <v>6296</v>
      </c>
      <c r="E2994" t="s">
        <v>336</v>
      </c>
      <c r="F2994" t="s">
        <v>399</v>
      </c>
      <c r="G2994" t="s">
        <v>9191</v>
      </c>
      <c r="H2994" t="s">
        <v>10761</v>
      </c>
      <c r="I2994" t="s">
        <v>11501</v>
      </c>
      <c r="J2994" t="s">
        <v>1510</v>
      </c>
      <c r="K2994" t="s">
        <v>1644</v>
      </c>
      <c r="L2994">
        <v>11208</v>
      </c>
      <c r="M2994" t="s">
        <v>1670</v>
      </c>
      <c r="P2994" t="s">
        <v>1675</v>
      </c>
      <c r="Q2994" t="s">
        <v>1950</v>
      </c>
      <c r="R2994" t="s">
        <v>1959</v>
      </c>
      <c r="S2994" t="s">
        <v>1970</v>
      </c>
      <c r="T2994" t="s">
        <v>1671</v>
      </c>
      <c r="V2994" t="s">
        <v>1974</v>
      </c>
      <c r="X2994" t="s">
        <v>266</v>
      </c>
      <c r="Y2994">
        <v>1303</v>
      </c>
      <c r="Z2994" t="s">
        <v>2009</v>
      </c>
      <c r="AA2994" t="s">
        <v>2020</v>
      </c>
      <c r="AB2994" t="s">
        <v>2039</v>
      </c>
      <c r="AC2994" t="s">
        <v>15378</v>
      </c>
      <c r="AD2994" t="s">
        <v>17494</v>
      </c>
      <c r="AE2994" t="s">
        <v>17790</v>
      </c>
      <c r="AF2994">
        <v>12</v>
      </c>
      <c r="AG2994" t="s">
        <v>2904</v>
      </c>
      <c r="AH2994" t="s">
        <v>2917</v>
      </c>
      <c r="AI2994">
        <v>2</v>
      </c>
      <c r="AJ2994">
        <v>1</v>
      </c>
      <c r="AK2994">
        <v>1</v>
      </c>
      <c r="AL2994">
        <v>97.70999999999999</v>
      </c>
      <c r="AO2994" t="s">
        <v>2927</v>
      </c>
      <c r="AP2994">
        <v>16523</v>
      </c>
      <c r="AV2994">
        <v>65.5</v>
      </c>
      <c r="AW2994" t="s">
        <v>399</v>
      </c>
      <c r="AX2994" t="s">
        <v>3060</v>
      </c>
    </row>
    <row r="2995" spans="1:50">
      <c r="A2995" s="1" t="s">
        <v>50</v>
      </c>
      <c r="B2995" t="s">
        <v>135</v>
      </c>
      <c r="C2995" t="s">
        <v>163</v>
      </c>
      <c r="D2995" t="s">
        <v>6297</v>
      </c>
      <c r="E2995" t="s">
        <v>195</v>
      </c>
      <c r="G2995" t="s">
        <v>9192</v>
      </c>
      <c r="H2995" t="s">
        <v>945</v>
      </c>
      <c r="I2995" t="s">
        <v>11502</v>
      </c>
      <c r="J2995">
        <v>3</v>
      </c>
      <c r="K2995" t="s">
        <v>1644</v>
      </c>
      <c r="L2995">
        <v>11208</v>
      </c>
      <c r="M2995" t="s">
        <v>1670</v>
      </c>
      <c r="P2995" t="s">
        <v>12791</v>
      </c>
      <c r="Q2995" t="s">
        <v>1940</v>
      </c>
      <c r="R2995" t="s">
        <v>1962</v>
      </c>
      <c r="T2995" t="s">
        <v>1671</v>
      </c>
      <c r="V2995" t="s">
        <v>1972</v>
      </c>
      <c r="W2995" t="s">
        <v>1984</v>
      </c>
      <c r="X2995" t="s">
        <v>266</v>
      </c>
      <c r="Y2995">
        <v>1515</v>
      </c>
      <c r="Z2995" t="s">
        <v>2009</v>
      </c>
      <c r="AA2995" t="s">
        <v>2011</v>
      </c>
      <c r="AC2995" t="s">
        <v>15379</v>
      </c>
      <c r="AD2995" t="s">
        <v>17495</v>
      </c>
      <c r="AE2995" t="s">
        <v>17791</v>
      </c>
      <c r="AF2995">
        <v>3</v>
      </c>
      <c r="AG2995" t="s">
        <v>2903</v>
      </c>
      <c r="AH2995" t="s">
        <v>2918</v>
      </c>
      <c r="AI2995">
        <v>1</v>
      </c>
      <c r="AJ2995">
        <v>2</v>
      </c>
      <c r="AK2995">
        <v>1</v>
      </c>
      <c r="AL2995">
        <v>23.65</v>
      </c>
      <c r="AO2995" t="s">
        <v>2926</v>
      </c>
      <c r="AP2995">
        <v>5044</v>
      </c>
      <c r="AV2995">
        <v>3.2</v>
      </c>
      <c r="AW2995" t="s">
        <v>239</v>
      </c>
      <c r="AX2995" t="s">
        <v>3060</v>
      </c>
    </row>
    <row r="2996" spans="1:50">
      <c r="A2996" s="1" t="s">
        <v>50</v>
      </c>
      <c r="B2996" t="s">
        <v>58</v>
      </c>
      <c r="C2996" t="s">
        <v>163</v>
      </c>
      <c r="D2996" t="s">
        <v>6298</v>
      </c>
      <c r="E2996" t="s">
        <v>171</v>
      </c>
      <c r="G2996" t="s">
        <v>9193</v>
      </c>
      <c r="H2996" t="s">
        <v>870</v>
      </c>
      <c r="I2996" t="s">
        <v>1113</v>
      </c>
      <c r="J2996" t="s">
        <v>1575</v>
      </c>
      <c r="K2996" t="s">
        <v>1641</v>
      </c>
      <c r="L2996">
        <v>10452</v>
      </c>
      <c r="M2996" t="s">
        <v>1670</v>
      </c>
      <c r="Q2996" t="s">
        <v>1938</v>
      </c>
      <c r="R2996" t="s">
        <v>1962</v>
      </c>
      <c r="T2996" t="s">
        <v>1670</v>
      </c>
      <c r="V2996" t="s">
        <v>1972</v>
      </c>
      <c r="X2996" t="s">
        <v>293</v>
      </c>
      <c r="Y2996">
        <v>1000</v>
      </c>
      <c r="Z2996" t="s">
        <v>2006</v>
      </c>
      <c r="AA2996" t="s">
        <v>2015</v>
      </c>
      <c r="AC2996" t="s">
        <v>15380</v>
      </c>
      <c r="AD2996" t="s">
        <v>17496</v>
      </c>
      <c r="AE2996" t="s">
        <v>17792</v>
      </c>
      <c r="AF2996">
        <v>41</v>
      </c>
      <c r="AG2996" t="s">
        <v>2902</v>
      </c>
      <c r="AH2996" t="s">
        <v>2918</v>
      </c>
      <c r="AI2996">
        <v>7</v>
      </c>
      <c r="AJ2996">
        <v>1</v>
      </c>
      <c r="AK2996">
        <v>2</v>
      </c>
      <c r="AL2996">
        <v>17.44</v>
      </c>
      <c r="AO2996" t="s">
        <v>2926</v>
      </c>
      <c r="AP2996">
        <v>3720</v>
      </c>
      <c r="AV2996" t="s">
        <v>13051</v>
      </c>
      <c r="AX2996" t="s">
        <v>3046</v>
      </c>
    </row>
    <row r="2997" spans="1:50">
      <c r="A2997" s="1" t="s">
        <v>50</v>
      </c>
      <c r="B2997" t="s">
        <v>58</v>
      </c>
      <c r="C2997" t="s">
        <v>163</v>
      </c>
      <c r="D2997" t="s">
        <v>6299</v>
      </c>
      <c r="E2997" t="s">
        <v>172</v>
      </c>
      <c r="G2997" t="s">
        <v>9193</v>
      </c>
      <c r="H2997" t="s">
        <v>870</v>
      </c>
      <c r="I2997" t="s">
        <v>1113</v>
      </c>
      <c r="J2997" t="s">
        <v>1575</v>
      </c>
      <c r="K2997" t="s">
        <v>1641</v>
      </c>
      <c r="L2997">
        <v>10452</v>
      </c>
      <c r="M2997" t="s">
        <v>1670</v>
      </c>
      <c r="P2997" t="s">
        <v>12792</v>
      </c>
      <c r="Q2997" t="s">
        <v>1939</v>
      </c>
      <c r="R2997" t="s">
        <v>1960</v>
      </c>
      <c r="T2997" t="s">
        <v>1670</v>
      </c>
      <c r="V2997" t="s">
        <v>1972</v>
      </c>
      <c r="X2997" t="s">
        <v>359</v>
      </c>
      <c r="Y2997">
        <v>1000</v>
      </c>
      <c r="Z2997" t="s">
        <v>2006</v>
      </c>
      <c r="AA2997" t="s">
        <v>2016</v>
      </c>
      <c r="AC2997" t="s">
        <v>15380</v>
      </c>
      <c r="AD2997" t="s">
        <v>17496</v>
      </c>
      <c r="AE2997" t="s">
        <v>17792</v>
      </c>
      <c r="AF2997">
        <v>41</v>
      </c>
      <c r="AG2997" t="s">
        <v>2902</v>
      </c>
      <c r="AH2997" t="s">
        <v>2918</v>
      </c>
      <c r="AI2997">
        <v>7</v>
      </c>
      <c r="AJ2997">
        <v>1</v>
      </c>
      <c r="AK2997">
        <v>2</v>
      </c>
      <c r="AL2997">
        <v>17.9</v>
      </c>
      <c r="AO2997" t="s">
        <v>2926</v>
      </c>
      <c r="AP2997">
        <v>3720</v>
      </c>
      <c r="AV2997" t="s">
        <v>13051</v>
      </c>
      <c r="AX2997" t="s">
        <v>3046</v>
      </c>
    </row>
    <row r="2998" spans="1:50">
      <c r="A2998" s="1" t="s">
        <v>50</v>
      </c>
      <c r="B2998" t="s">
        <v>58</v>
      </c>
      <c r="C2998" t="s">
        <v>163</v>
      </c>
      <c r="D2998" t="s">
        <v>6300</v>
      </c>
      <c r="E2998" t="s">
        <v>383</v>
      </c>
      <c r="G2998" t="s">
        <v>9193</v>
      </c>
      <c r="H2998" t="s">
        <v>870</v>
      </c>
      <c r="I2998" t="s">
        <v>1113</v>
      </c>
      <c r="J2998" t="s">
        <v>1575</v>
      </c>
      <c r="K2998" t="s">
        <v>1641</v>
      </c>
      <c r="L2998">
        <v>10452</v>
      </c>
      <c r="M2998" t="s">
        <v>1670</v>
      </c>
      <c r="P2998" t="s">
        <v>12793</v>
      </c>
      <c r="Q2998" t="s">
        <v>1936</v>
      </c>
      <c r="R2998" t="s">
        <v>1960</v>
      </c>
      <c r="T2998" t="s">
        <v>1671</v>
      </c>
      <c r="V2998" t="s">
        <v>1972</v>
      </c>
      <c r="W2998" t="s">
        <v>1984</v>
      </c>
      <c r="X2998" t="s">
        <v>359</v>
      </c>
      <c r="Y2998">
        <v>1519.01</v>
      </c>
      <c r="Z2998" t="s">
        <v>2006</v>
      </c>
      <c r="AA2998" t="s">
        <v>2020</v>
      </c>
      <c r="AC2998" t="s">
        <v>15380</v>
      </c>
      <c r="AD2998" t="s">
        <v>17496</v>
      </c>
      <c r="AE2998" t="s">
        <v>17792</v>
      </c>
      <c r="AF2998">
        <v>41</v>
      </c>
      <c r="AG2998" t="s">
        <v>2902</v>
      </c>
      <c r="AH2998" t="s">
        <v>2918</v>
      </c>
      <c r="AI2998">
        <v>7</v>
      </c>
      <c r="AJ2998">
        <v>1</v>
      </c>
      <c r="AK2998">
        <v>2</v>
      </c>
      <c r="AL2998">
        <v>17.9</v>
      </c>
      <c r="AO2998" t="s">
        <v>2926</v>
      </c>
      <c r="AP2998">
        <v>3720</v>
      </c>
      <c r="AV2998">
        <v>37.65</v>
      </c>
      <c r="AW2998" t="s">
        <v>346</v>
      </c>
      <c r="AX2998" t="s">
        <v>3046</v>
      </c>
    </row>
    <row r="2999" spans="1:50">
      <c r="A2999" s="1" t="s">
        <v>50</v>
      </c>
      <c r="B2999" t="s">
        <v>120</v>
      </c>
      <c r="C2999" t="s">
        <v>163</v>
      </c>
      <c r="D2999" t="s">
        <v>6301</v>
      </c>
      <c r="E2999" t="s">
        <v>337</v>
      </c>
      <c r="G2999" t="s">
        <v>7590</v>
      </c>
      <c r="H2999" t="s">
        <v>914</v>
      </c>
      <c r="I2999" t="s">
        <v>11503</v>
      </c>
      <c r="J2999" t="s">
        <v>1543</v>
      </c>
      <c r="K2999" t="s">
        <v>1644</v>
      </c>
      <c r="L2999">
        <v>11207</v>
      </c>
      <c r="M2999" t="s">
        <v>1670</v>
      </c>
      <c r="P2999" t="s">
        <v>12794</v>
      </c>
      <c r="Q2999" t="s">
        <v>1950</v>
      </c>
      <c r="R2999" t="s">
        <v>1961</v>
      </c>
      <c r="T2999" t="s">
        <v>1671</v>
      </c>
      <c r="V2999" t="s">
        <v>1974</v>
      </c>
      <c r="X2999" t="s">
        <v>239</v>
      </c>
      <c r="Y2999">
        <v>1762.77</v>
      </c>
      <c r="Z2999" t="s">
        <v>2009</v>
      </c>
      <c r="AA2999" t="s">
        <v>2014</v>
      </c>
      <c r="AC2999" t="s">
        <v>15381</v>
      </c>
      <c r="AD2999" t="s">
        <v>17497</v>
      </c>
      <c r="AE2999" t="s">
        <v>17793</v>
      </c>
      <c r="AF2999">
        <v>6</v>
      </c>
      <c r="AG2999" t="s">
        <v>2902</v>
      </c>
      <c r="AI2999">
        <v>11</v>
      </c>
      <c r="AJ2999">
        <v>1</v>
      </c>
      <c r="AK2999">
        <v>2</v>
      </c>
      <c r="AL2999">
        <v>60.95</v>
      </c>
      <c r="AO2999" t="s">
        <v>2935</v>
      </c>
      <c r="AP2999">
        <v>13000</v>
      </c>
      <c r="AV2999">
        <v>2.5</v>
      </c>
      <c r="AW2999" t="s">
        <v>3034</v>
      </c>
      <c r="AX2999" t="s">
        <v>3059</v>
      </c>
    </row>
    <row r="3000" spans="1:50">
      <c r="A3000" s="1" t="s">
        <v>50</v>
      </c>
      <c r="B3000" t="s">
        <v>103</v>
      </c>
      <c r="C3000" t="s">
        <v>163</v>
      </c>
      <c r="D3000" t="s">
        <v>6302</v>
      </c>
      <c r="E3000" t="s">
        <v>239</v>
      </c>
      <c r="G3000" t="s">
        <v>7590</v>
      </c>
      <c r="H3000" t="s">
        <v>914</v>
      </c>
      <c r="I3000" t="s">
        <v>11503</v>
      </c>
      <c r="J3000" t="s">
        <v>1543</v>
      </c>
      <c r="K3000" t="s">
        <v>1644</v>
      </c>
      <c r="L3000">
        <v>11207</v>
      </c>
      <c r="M3000" t="s">
        <v>1670</v>
      </c>
      <c r="P3000" t="s">
        <v>12794</v>
      </c>
      <c r="Q3000" t="s">
        <v>1936</v>
      </c>
      <c r="R3000" t="s">
        <v>1960</v>
      </c>
      <c r="V3000" t="s">
        <v>1972</v>
      </c>
      <c r="X3000" t="s">
        <v>239</v>
      </c>
      <c r="Y3000">
        <v>11762.77</v>
      </c>
      <c r="Z3000" t="s">
        <v>2009</v>
      </c>
      <c r="AA3000" t="s">
        <v>2014</v>
      </c>
      <c r="AC3000" t="s">
        <v>15381</v>
      </c>
      <c r="AD3000" t="s">
        <v>17497</v>
      </c>
      <c r="AE3000" t="s">
        <v>17793</v>
      </c>
      <c r="AF3000">
        <v>6</v>
      </c>
      <c r="AG3000" t="s">
        <v>2902</v>
      </c>
      <c r="AI3000">
        <v>11</v>
      </c>
      <c r="AJ3000">
        <v>1</v>
      </c>
      <c r="AK3000">
        <v>2</v>
      </c>
      <c r="AL3000">
        <v>60.95</v>
      </c>
      <c r="AO3000" t="s">
        <v>2935</v>
      </c>
      <c r="AP3000">
        <v>13000</v>
      </c>
      <c r="AV3000">
        <v>20.75</v>
      </c>
      <c r="AW3000" t="s">
        <v>3034</v>
      </c>
      <c r="AX3000" t="s">
        <v>3049</v>
      </c>
    </row>
    <row r="3001" spans="1:50">
      <c r="A3001" s="1" t="s">
        <v>50</v>
      </c>
      <c r="B3001" t="s">
        <v>126</v>
      </c>
      <c r="C3001" t="s">
        <v>163</v>
      </c>
      <c r="D3001" t="s">
        <v>6303</v>
      </c>
      <c r="E3001" t="s">
        <v>328</v>
      </c>
      <c r="G3001" t="s">
        <v>695</v>
      </c>
      <c r="H3001" t="s">
        <v>808</v>
      </c>
      <c r="I3001" t="s">
        <v>11504</v>
      </c>
      <c r="J3001" t="s">
        <v>11771</v>
      </c>
      <c r="K3001" t="s">
        <v>1641</v>
      </c>
      <c r="L3001">
        <v>10452</v>
      </c>
      <c r="M3001" t="s">
        <v>1670</v>
      </c>
      <c r="P3001" t="s">
        <v>12795</v>
      </c>
      <c r="Q3001" t="s">
        <v>1936</v>
      </c>
      <c r="R3001" t="s">
        <v>1960</v>
      </c>
      <c r="T3001" t="s">
        <v>1671</v>
      </c>
      <c r="V3001" t="s">
        <v>1972</v>
      </c>
      <c r="W3001" t="s">
        <v>1983</v>
      </c>
      <c r="X3001" t="s">
        <v>1991</v>
      </c>
      <c r="Y3001">
        <v>1000</v>
      </c>
      <c r="Z3001" t="s">
        <v>2006</v>
      </c>
      <c r="AA3001" t="s">
        <v>2013</v>
      </c>
      <c r="AC3001" t="s">
        <v>15382</v>
      </c>
      <c r="AD3001" t="s">
        <v>17498</v>
      </c>
      <c r="AE3001" t="s">
        <v>17794</v>
      </c>
      <c r="AF3001" t="s">
        <v>13051</v>
      </c>
      <c r="AG3001" t="s">
        <v>2902</v>
      </c>
      <c r="AH3001" t="s">
        <v>2918</v>
      </c>
      <c r="AI3001">
        <v>22</v>
      </c>
      <c r="AJ3001">
        <v>1</v>
      </c>
      <c r="AK3001">
        <v>3</v>
      </c>
      <c r="AL3001" t="s">
        <v>13051</v>
      </c>
      <c r="AO3001" t="s">
        <v>2926</v>
      </c>
      <c r="AP3001" t="s">
        <v>13051</v>
      </c>
      <c r="AV3001">
        <v>7.5</v>
      </c>
      <c r="AW3001" t="s">
        <v>403</v>
      </c>
      <c r="AX3001" t="s">
        <v>18687</v>
      </c>
    </row>
    <row r="3002" spans="1:50">
      <c r="A3002" s="1" t="s">
        <v>50</v>
      </c>
      <c r="B3002" t="s">
        <v>118</v>
      </c>
      <c r="C3002" t="s">
        <v>163</v>
      </c>
      <c r="D3002" t="s">
        <v>6304</v>
      </c>
      <c r="E3002" t="s">
        <v>292</v>
      </c>
      <c r="G3002" t="s">
        <v>9194</v>
      </c>
      <c r="H3002" t="s">
        <v>10762</v>
      </c>
      <c r="I3002" t="s">
        <v>9700</v>
      </c>
      <c r="J3002" t="s">
        <v>1545</v>
      </c>
      <c r="K3002" t="s">
        <v>1641</v>
      </c>
      <c r="L3002">
        <v>10452</v>
      </c>
      <c r="M3002" t="s">
        <v>1670</v>
      </c>
      <c r="Q3002" t="s">
        <v>1675</v>
      </c>
      <c r="R3002" t="s">
        <v>1959</v>
      </c>
      <c r="T3002" t="s">
        <v>1670</v>
      </c>
      <c r="V3002" t="s">
        <v>1972</v>
      </c>
      <c r="X3002" t="s">
        <v>359</v>
      </c>
      <c r="Y3002">
        <v>230</v>
      </c>
      <c r="Z3002" t="s">
        <v>2006</v>
      </c>
      <c r="AA3002" t="s">
        <v>2015</v>
      </c>
      <c r="AC3002" t="s">
        <v>15383</v>
      </c>
      <c r="AD3002" t="s">
        <v>17499</v>
      </c>
      <c r="AE3002" t="s">
        <v>17795</v>
      </c>
      <c r="AF3002">
        <v>149</v>
      </c>
      <c r="AG3002" t="s">
        <v>2902</v>
      </c>
      <c r="AH3002" t="s">
        <v>2921</v>
      </c>
      <c r="AI3002">
        <v>27</v>
      </c>
      <c r="AJ3002">
        <v>1</v>
      </c>
      <c r="AK3002">
        <v>1</v>
      </c>
      <c r="AL3002">
        <v>53.66</v>
      </c>
      <c r="AO3002" t="s">
        <v>2927</v>
      </c>
      <c r="AP3002">
        <v>8832</v>
      </c>
      <c r="AV3002">
        <v>1.5</v>
      </c>
      <c r="AW3002" t="s">
        <v>356</v>
      </c>
      <c r="AX3002" t="s">
        <v>3054</v>
      </c>
    </row>
    <row r="3003" spans="1:50">
      <c r="A3003" s="1" t="s">
        <v>50</v>
      </c>
      <c r="B3003" t="s">
        <v>118</v>
      </c>
      <c r="C3003" t="s">
        <v>163</v>
      </c>
      <c r="D3003" t="s">
        <v>6305</v>
      </c>
      <c r="E3003" t="s">
        <v>292</v>
      </c>
      <c r="G3003" t="s">
        <v>9194</v>
      </c>
      <c r="H3003" t="s">
        <v>10762</v>
      </c>
      <c r="I3003" t="s">
        <v>9700</v>
      </c>
      <c r="J3003" t="s">
        <v>1545</v>
      </c>
      <c r="K3003" t="s">
        <v>1641</v>
      </c>
      <c r="L3003">
        <v>10452</v>
      </c>
      <c r="M3003" t="s">
        <v>1670</v>
      </c>
      <c r="P3003" t="s">
        <v>12372</v>
      </c>
      <c r="Q3003" t="s">
        <v>1939</v>
      </c>
      <c r="R3003" t="s">
        <v>1960</v>
      </c>
      <c r="T3003" t="s">
        <v>1670</v>
      </c>
      <c r="V3003" t="s">
        <v>1972</v>
      </c>
      <c r="X3003" t="s">
        <v>359</v>
      </c>
      <c r="Y3003">
        <v>230</v>
      </c>
      <c r="Z3003" t="s">
        <v>2006</v>
      </c>
      <c r="AA3003" t="s">
        <v>2015</v>
      </c>
      <c r="AC3003" t="s">
        <v>15383</v>
      </c>
      <c r="AD3003" t="s">
        <v>17499</v>
      </c>
      <c r="AE3003" t="s">
        <v>17795</v>
      </c>
      <c r="AF3003">
        <v>149</v>
      </c>
      <c r="AG3003" t="s">
        <v>2902</v>
      </c>
      <c r="AH3003" t="s">
        <v>2921</v>
      </c>
      <c r="AI3003">
        <v>27</v>
      </c>
      <c r="AJ3003">
        <v>1</v>
      </c>
      <c r="AK3003">
        <v>1</v>
      </c>
      <c r="AL3003">
        <v>53.66</v>
      </c>
      <c r="AO3003" t="s">
        <v>2927</v>
      </c>
      <c r="AP3003">
        <v>8832</v>
      </c>
      <c r="AV3003">
        <v>1.5</v>
      </c>
      <c r="AW3003" t="s">
        <v>335</v>
      </c>
      <c r="AX3003" t="s">
        <v>3054</v>
      </c>
    </row>
    <row r="3004" spans="1:50">
      <c r="A3004" s="1" t="s">
        <v>50</v>
      </c>
      <c r="B3004" t="s">
        <v>89</v>
      </c>
      <c r="C3004" t="s">
        <v>164</v>
      </c>
      <c r="D3004" t="s">
        <v>6306</v>
      </c>
      <c r="E3004" t="s">
        <v>284</v>
      </c>
      <c r="F3004" t="s">
        <v>358</v>
      </c>
      <c r="G3004" t="s">
        <v>7144</v>
      </c>
      <c r="H3004" t="s">
        <v>810</v>
      </c>
      <c r="I3004" t="s">
        <v>1200</v>
      </c>
      <c r="J3004">
        <v>806</v>
      </c>
      <c r="K3004" t="s">
        <v>1649</v>
      </c>
      <c r="L3004">
        <v>11692</v>
      </c>
      <c r="M3004" t="s">
        <v>1670</v>
      </c>
      <c r="P3004" t="s">
        <v>12796</v>
      </c>
      <c r="Q3004" t="s">
        <v>1936</v>
      </c>
      <c r="R3004" t="s">
        <v>1958</v>
      </c>
      <c r="S3004" t="s">
        <v>1965</v>
      </c>
      <c r="T3004" t="s">
        <v>1671</v>
      </c>
      <c r="V3004" t="s">
        <v>1972</v>
      </c>
      <c r="W3004" t="s">
        <v>1987</v>
      </c>
      <c r="X3004" t="s">
        <v>284</v>
      </c>
      <c r="Y3004">
        <v>1675</v>
      </c>
      <c r="Z3004" t="s">
        <v>2007</v>
      </c>
      <c r="AA3004" t="s">
        <v>2014</v>
      </c>
      <c r="AB3004" t="s">
        <v>2029</v>
      </c>
      <c r="AC3004" t="s">
        <v>13815</v>
      </c>
      <c r="AD3004" t="s">
        <v>17500</v>
      </c>
      <c r="AE3004" t="s">
        <v>17796</v>
      </c>
      <c r="AF3004">
        <v>103</v>
      </c>
      <c r="AG3004" t="s">
        <v>2907</v>
      </c>
      <c r="AH3004" t="s">
        <v>2915</v>
      </c>
      <c r="AI3004">
        <v>5</v>
      </c>
      <c r="AJ3004">
        <v>1</v>
      </c>
      <c r="AK3004">
        <v>2</v>
      </c>
      <c r="AL3004" t="s">
        <v>13051</v>
      </c>
      <c r="AO3004" t="s">
        <v>2926</v>
      </c>
      <c r="AP3004" t="s">
        <v>13051</v>
      </c>
      <c r="AV3004">
        <v>0.6</v>
      </c>
      <c r="AW3004" t="s">
        <v>358</v>
      </c>
      <c r="AX3004" t="s">
        <v>85</v>
      </c>
    </row>
    <row r="3005" spans="1:50">
      <c r="A3005" s="1" t="s">
        <v>50</v>
      </c>
      <c r="B3005" t="s">
        <v>96</v>
      </c>
      <c r="C3005" t="s">
        <v>163</v>
      </c>
      <c r="D3005" t="s">
        <v>6307</v>
      </c>
      <c r="E3005" t="s">
        <v>217</v>
      </c>
      <c r="G3005" t="s">
        <v>695</v>
      </c>
      <c r="H3005" t="s">
        <v>10763</v>
      </c>
      <c r="I3005" t="s">
        <v>11505</v>
      </c>
      <c r="J3005" t="s">
        <v>1602</v>
      </c>
      <c r="K3005" t="s">
        <v>1644</v>
      </c>
      <c r="L3005">
        <v>11216</v>
      </c>
      <c r="M3005" t="s">
        <v>1670</v>
      </c>
      <c r="Q3005" t="s">
        <v>1938</v>
      </c>
      <c r="R3005" t="s">
        <v>1959</v>
      </c>
      <c r="T3005" t="s">
        <v>1671</v>
      </c>
      <c r="V3005" t="s">
        <v>1972</v>
      </c>
      <c r="W3005" t="s">
        <v>1984</v>
      </c>
      <c r="X3005" t="s">
        <v>217</v>
      </c>
      <c r="Y3005">
        <v>1414.37</v>
      </c>
      <c r="Z3005" t="s">
        <v>2009</v>
      </c>
      <c r="AA3005" t="s">
        <v>2020</v>
      </c>
      <c r="AC3005" t="s">
        <v>15384</v>
      </c>
      <c r="AD3005" t="s">
        <v>17501</v>
      </c>
      <c r="AE3005" t="s">
        <v>17797</v>
      </c>
      <c r="AF3005">
        <v>6</v>
      </c>
      <c r="AG3005" t="s">
        <v>2902</v>
      </c>
      <c r="AI3005">
        <v>8</v>
      </c>
      <c r="AJ3005">
        <v>2</v>
      </c>
      <c r="AK3005">
        <v>7</v>
      </c>
      <c r="AL3005">
        <v>67.51000000000001</v>
      </c>
      <c r="AO3005" t="s">
        <v>2927</v>
      </c>
      <c r="AP3005">
        <v>32304</v>
      </c>
      <c r="AV3005">
        <v>7</v>
      </c>
      <c r="AW3005" t="s">
        <v>339</v>
      </c>
      <c r="AX3005" t="s">
        <v>96</v>
      </c>
    </row>
    <row r="3006" spans="1:50">
      <c r="A3006" s="1" t="s">
        <v>50</v>
      </c>
      <c r="B3006" t="s">
        <v>96</v>
      </c>
      <c r="C3006" t="s">
        <v>164</v>
      </c>
      <c r="D3006" t="s">
        <v>6308</v>
      </c>
      <c r="E3006" t="s">
        <v>225</v>
      </c>
      <c r="F3006" t="s">
        <v>359</v>
      </c>
      <c r="G3006" t="s">
        <v>695</v>
      </c>
      <c r="H3006" t="s">
        <v>10763</v>
      </c>
      <c r="I3006" t="s">
        <v>11505</v>
      </c>
      <c r="J3006" t="s">
        <v>1602</v>
      </c>
      <c r="K3006" t="s">
        <v>1644</v>
      </c>
      <c r="L3006">
        <v>11216</v>
      </c>
      <c r="M3006" t="s">
        <v>1670</v>
      </c>
      <c r="Q3006" t="s">
        <v>1675</v>
      </c>
      <c r="R3006" t="s">
        <v>1959</v>
      </c>
      <c r="S3006" t="s">
        <v>1968</v>
      </c>
      <c r="T3006" t="s">
        <v>1671</v>
      </c>
      <c r="V3006" t="s">
        <v>1972</v>
      </c>
      <c r="W3006" t="s">
        <v>1984</v>
      </c>
      <c r="X3006" t="s">
        <v>252</v>
      </c>
      <c r="Y3006">
        <v>1414.48</v>
      </c>
      <c r="Z3006" t="s">
        <v>2009</v>
      </c>
      <c r="AA3006" t="s">
        <v>2020</v>
      </c>
      <c r="AB3006" t="s">
        <v>2030</v>
      </c>
      <c r="AC3006" t="s">
        <v>15384</v>
      </c>
      <c r="AD3006" t="s">
        <v>17501</v>
      </c>
      <c r="AE3006" t="s">
        <v>17797</v>
      </c>
      <c r="AF3006">
        <v>6</v>
      </c>
      <c r="AG3006" t="s">
        <v>2902</v>
      </c>
      <c r="AH3006" t="s">
        <v>1754</v>
      </c>
      <c r="AI3006">
        <v>8</v>
      </c>
      <c r="AJ3006">
        <v>2</v>
      </c>
      <c r="AK3006">
        <v>7</v>
      </c>
      <c r="AL3006">
        <v>69.17</v>
      </c>
      <c r="AO3006" t="s">
        <v>2927</v>
      </c>
      <c r="AP3006">
        <v>32304</v>
      </c>
      <c r="AS3006" t="s">
        <v>2017</v>
      </c>
      <c r="AV3006">
        <v>12.8</v>
      </c>
      <c r="AW3006" t="s">
        <v>332</v>
      </c>
      <c r="AX3006" t="s">
        <v>96</v>
      </c>
    </row>
    <row r="3007" spans="1:50">
      <c r="A3007" s="1" t="s">
        <v>50</v>
      </c>
      <c r="B3007" t="s">
        <v>103</v>
      </c>
      <c r="C3007" t="s">
        <v>163</v>
      </c>
      <c r="D3007" t="s">
        <v>6309</v>
      </c>
      <c r="E3007" t="s">
        <v>265</v>
      </c>
      <c r="G3007" t="s">
        <v>9195</v>
      </c>
      <c r="H3007" t="s">
        <v>8287</v>
      </c>
      <c r="I3007" t="s">
        <v>11506</v>
      </c>
      <c r="J3007" t="s">
        <v>1553</v>
      </c>
      <c r="K3007" t="s">
        <v>1644</v>
      </c>
      <c r="L3007">
        <v>11212</v>
      </c>
      <c r="M3007" t="s">
        <v>1670</v>
      </c>
      <c r="P3007" t="s">
        <v>12797</v>
      </c>
      <c r="Q3007" t="s">
        <v>1936</v>
      </c>
      <c r="R3007" t="s">
        <v>1958</v>
      </c>
      <c r="T3007" t="s">
        <v>1671</v>
      </c>
      <c r="V3007" t="s">
        <v>1972</v>
      </c>
      <c r="W3007" t="s">
        <v>1985</v>
      </c>
      <c r="X3007" t="s">
        <v>286</v>
      </c>
      <c r="Y3007">
        <v>1298</v>
      </c>
      <c r="Z3007" t="s">
        <v>2009</v>
      </c>
      <c r="AA3007" t="s">
        <v>2017</v>
      </c>
      <c r="AC3007" t="s">
        <v>15385</v>
      </c>
      <c r="AD3007" t="s">
        <v>17502</v>
      </c>
      <c r="AE3007" t="s">
        <v>17798</v>
      </c>
      <c r="AF3007">
        <v>3</v>
      </c>
      <c r="AG3007" t="s">
        <v>2903</v>
      </c>
      <c r="AH3007" t="s">
        <v>1754</v>
      </c>
      <c r="AI3007">
        <v>9</v>
      </c>
      <c r="AJ3007">
        <v>1</v>
      </c>
      <c r="AK3007">
        <v>2</v>
      </c>
      <c r="AL3007">
        <v>196.91</v>
      </c>
      <c r="AO3007" t="s">
        <v>2926</v>
      </c>
      <c r="AP3007">
        <v>42000</v>
      </c>
      <c r="AV3007">
        <v>2.08</v>
      </c>
      <c r="AW3007" t="s">
        <v>254</v>
      </c>
      <c r="AX3007" t="s">
        <v>3067</v>
      </c>
    </row>
    <row r="3008" spans="1:50">
      <c r="A3008" s="1" t="s">
        <v>50</v>
      </c>
      <c r="B3008" t="s">
        <v>56</v>
      </c>
      <c r="C3008" t="s">
        <v>163</v>
      </c>
      <c r="D3008" t="s">
        <v>6310</v>
      </c>
      <c r="E3008" t="s">
        <v>211</v>
      </c>
      <c r="G3008" t="s">
        <v>7375</v>
      </c>
      <c r="H3008" t="s">
        <v>10764</v>
      </c>
      <c r="I3008" t="s">
        <v>11507</v>
      </c>
      <c r="J3008" t="s">
        <v>1562</v>
      </c>
      <c r="K3008" t="s">
        <v>1645</v>
      </c>
      <c r="L3008">
        <v>11691</v>
      </c>
      <c r="M3008" t="s">
        <v>1670</v>
      </c>
      <c r="P3008" t="s">
        <v>12798</v>
      </c>
      <c r="Q3008" t="s">
        <v>1936</v>
      </c>
      <c r="R3008" t="s">
        <v>1958</v>
      </c>
      <c r="T3008" t="s">
        <v>1671</v>
      </c>
      <c r="V3008" t="s">
        <v>1972</v>
      </c>
      <c r="W3008" t="s">
        <v>1984</v>
      </c>
      <c r="X3008" t="s">
        <v>211</v>
      </c>
      <c r="Y3008">
        <v>1213.18</v>
      </c>
      <c r="Z3008" t="s">
        <v>2007</v>
      </c>
      <c r="AA3008" t="s">
        <v>2014</v>
      </c>
      <c r="AC3008" t="s">
        <v>15386</v>
      </c>
      <c r="AD3008" t="s">
        <v>17503</v>
      </c>
      <c r="AE3008" t="s">
        <v>17799</v>
      </c>
      <c r="AF3008">
        <v>24</v>
      </c>
      <c r="AG3008" t="s">
        <v>2904</v>
      </c>
      <c r="AH3008" t="s">
        <v>2919</v>
      </c>
      <c r="AI3008">
        <v>20</v>
      </c>
      <c r="AJ3008">
        <v>1</v>
      </c>
      <c r="AK3008">
        <v>1</v>
      </c>
      <c r="AL3008">
        <v>41.88</v>
      </c>
      <c r="AO3008" t="s">
        <v>2926</v>
      </c>
      <c r="AP3008">
        <v>6892.8</v>
      </c>
      <c r="AV3008">
        <v>1.2</v>
      </c>
      <c r="AW3008" t="s">
        <v>278</v>
      </c>
      <c r="AX3008" t="s">
        <v>3044</v>
      </c>
    </row>
    <row r="3009" spans="1:50">
      <c r="A3009" s="1" t="s">
        <v>50</v>
      </c>
      <c r="B3009" t="s">
        <v>129</v>
      </c>
      <c r="C3009" t="s">
        <v>164</v>
      </c>
      <c r="D3009" t="s">
        <v>6311</v>
      </c>
      <c r="E3009" t="s">
        <v>395</v>
      </c>
      <c r="F3009" t="s">
        <v>361</v>
      </c>
      <c r="G3009" t="s">
        <v>651</v>
      </c>
      <c r="H3009" t="s">
        <v>9068</v>
      </c>
      <c r="I3009" t="s">
        <v>11508</v>
      </c>
      <c r="J3009" t="s">
        <v>1627</v>
      </c>
      <c r="K3009" t="s">
        <v>1644</v>
      </c>
      <c r="L3009">
        <v>11207</v>
      </c>
      <c r="M3009" t="s">
        <v>1670</v>
      </c>
      <c r="P3009" t="s">
        <v>12799</v>
      </c>
      <c r="Q3009" t="s">
        <v>1940</v>
      </c>
      <c r="R3009" t="s">
        <v>1962</v>
      </c>
      <c r="S3009" t="s">
        <v>1968</v>
      </c>
      <c r="T3009" t="s">
        <v>1671</v>
      </c>
      <c r="V3009" t="s">
        <v>1972</v>
      </c>
      <c r="W3009" t="s">
        <v>1984</v>
      </c>
      <c r="X3009" t="s">
        <v>320</v>
      </c>
      <c r="Y3009">
        <v>1992</v>
      </c>
      <c r="Z3009" t="s">
        <v>2009</v>
      </c>
      <c r="AA3009" t="s">
        <v>2025</v>
      </c>
      <c r="AB3009" t="s">
        <v>2034</v>
      </c>
      <c r="AC3009" t="s">
        <v>15387</v>
      </c>
      <c r="AD3009" t="s">
        <v>17504</v>
      </c>
      <c r="AE3009" t="s">
        <v>17800</v>
      </c>
      <c r="AF3009">
        <v>3</v>
      </c>
      <c r="AG3009" t="s">
        <v>2903</v>
      </c>
      <c r="AH3009" t="s">
        <v>2915</v>
      </c>
      <c r="AI3009">
        <v>4</v>
      </c>
      <c r="AJ3009">
        <v>3</v>
      </c>
      <c r="AK3009">
        <v>1</v>
      </c>
      <c r="AL3009">
        <v>139.81</v>
      </c>
      <c r="AO3009" t="s">
        <v>2926</v>
      </c>
      <c r="AP3009">
        <v>36000</v>
      </c>
      <c r="AV3009">
        <v>3.75</v>
      </c>
      <c r="AW3009" t="s">
        <v>237</v>
      </c>
      <c r="AX3009" t="s">
        <v>3060</v>
      </c>
    </row>
    <row r="3010" spans="1:50">
      <c r="A3010" s="1" t="s">
        <v>50</v>
      </c>
      <c r="B3010" t="s">
        <v>107</v>
      </c>
      <c r="C3010" t="s">
        <v>163</v>
      </c>
      <c r="D3010" t="s">
        <v>6312</v>
      </c>
      <c r="E3010" t="s">
        <v>226</v>
      </c>
      <c r="G3010" t="s">
        <v>6791</v>
      </c>
      <c r="H3010" t="s">
        <v>6804</v>
      </c>
      <c r="I3010" t="s">
        <v>9380</v>
      </c>
      <c r="J3010" t="s">
        <v>10941</v>
      </c>
      <c r="K3010" t="s">
        <v>1644</v>
      </c>
      <c r="L3010">
        <v>11233</v>
      </c>
      <c r="M3010" t="s">
        <v>1670</v>
      </c>
      <c r="P3010" t="s">
        <v>11836</v>
      </c>
      <c r="Q3010" t="s">
        <v>1936</v>
      </c>
      <c r="R3010" t="s">
        <v>1960</v>
      </c>
      <c r="T3010" t="s">
        <v>1671</v>
      </c>
      <c r="V3010" t="s">
        <v>1972</v>
      </c>
      <c r="X3010" t="s">
        <v>275</v>
      </c>
      <c r="Y3010">
        <v>850</v>
      </c>
      <c r="Z3010" t="s">
        <v>2009</v>
      </c>
      <c r="AA3010" t="s">
        <v>2014</v>
      </c>
      <c r="AC3010" t="s">
        <v>13080</v>
      </c>
      <c r="AD3010" t="s">
        <v>15071</v>
      </c>
      <c r="AF3010">
        <v>107</v>
      </c>
      <c r="AG3010" t="s">
        <v>2910</v>
      </c>
      <c r="AI3010">
        <v>0</v>
      </c>
      <c r="AJ3010">
        <v>1</v>
      </c>
      <c r="AK3010">
        <v>3</v>
      </c>
      <c r="AL3010">
        <v>57.18</v>
      </c>
      <c r="AO3010" t="s">
        <v>2926</v>
      </c>
      <c r="AP3010">
        <v>14724</v>
      </c>
      <c r="AV3010">
        <v>5.3</v>
      </c>
      <c r="AW3010" t="s">
        <v>334</v>
      </c>
      <c r="AX3010" t="s">
        <v>3069</v>
      </c>
    </row>
    <row r="3011" spans="1:50">
      <c r="A3011" s="1" t="s">
        <v>50</v>
      </c>
      <c r="B3011" t="s">
        <v>3176</v>
      </c>
      <c r="C3011" t="s">
        <v>164</v>
      </c>
      <c r="D3011" t="s">
        <v>6313</v>
      </c>
      <c r="E3011" t="s">
        <v>225</v>
      </c>
      <c r="F3011" t="s">
        <v>170</v>
      </c>
      <c r="G3011" t="s">
        <v>9196</v>
      </c>
      <c r="H3011" t="s">
        <v>7181</v>
      </c>
      <c r="I3011" t="s">
        <v>11509</v>
      </c>
      <c r="K3011" t="s">
        <v>1645</v>
      </c>
      <c r="L3011">
        <v>11691</v>
      </c>
      <c r="M3011" t="s">
        <v>1670</v>
      </c>
      <c r="P3011" t="s">
        <v>12800</v>
      </c>
      <c r="Q3011" t="s">
        <v>12748</v>
      </c>
      <c r="R3011" t="s">
        <v>1964</v>
      </c>
      <c r="S3011" t="s">
        <v>1969</v>
      </c>
      <c r="T3011" t="s">
        <v>1671</v>
      </c>
      <c r="V3011" t="s">
        <v>1972</v>
      </c>
      <c r="W3011" t="s">
        <v>1984</v>
      </c>
      <c r="X3011" t="s">
        <v>225</v>
      </c>
      <c r="Y3011">
        <v>1184</v>
      </c>
      <c r="Z3011" t="s">
        <v>2007</v>
      </c>
      <c r="AA3011" t="s">
        <v>2020</v>
      </c>
      <c r="AB3011" t="s">
        <v>13063</v>
      </c>
      <c r="AC3011" t="s">
        <v>15388</v>
      </c>
      <c r="AD3011" t="s">
        <v>17505</v>
      </c>
      <c r="AE3011" t="s">
        <v>17801</v>
      </c>
      <c r="AF3011">
        <v>284</v>
      </c>
      <c r="AG3011" t="s">
        <v>2909</v>
      </c>
      <c r="AH3011" t="s">
        <v>2915</v>
      </c>
      <c r="AI3011">
        <v>2</v>
      </c>
      <c r="AJ3011">
        <v>1</v>
      </c>
      <c r="AK3011">
        <v>2</v>
      </c>
      <c r="AL3011">
        <v>71.2</v>
      </c>
      <c r="AO3011" t="s">
        <v>2926</v>
      </c>
      <c r="AP3011">
        <v>14796</v>
      </c>
      <c r="AR3011" t="s">
        <v>18425</v>
      </c>
      <c r="AS3011" t="s">
        <v>2017</v>
      </c>
      <c r="AT3011" t="s">
        <v>2992</v>
      </c>
      <c r="AU3011" t="s">
        <v>18530</v>
      </c>
      <c r="AV3011">
        <v>59.8</v>
      </c>
      <c r="AW3011" t="s">
        <v>170</v>
      </c>
      <c r="AX3011" t="s">
        <v>3044</v>
      </c>
    </row>
    <row r="3012" spans="1:50">
      <c r="A3012" s="1" t="s">
        <v>50</v>
      </c>
      <c r="B3012" t="s">
        <v>59</v>
      </c>
      <c r="C3012" t="s">
        <v>163</v>
      </c>
      <c r="D3012" t="s">
        <v>6314</v>
      </c>
      <c r="E3012" t="s">
        <v>341</v>
      </c>
      <c r="G3012" t="s">
        <v>9197</v>
      </c>
      <c r="H3012" t="s">
        <v>960</v>
      </c>
      <c r="I3012" t="s">
        <v>11510</v>
      </c>
      <c r="J3012" t="s">
        <v>11772</v>
      </c>
      <c r="K3012" t="s">
        <v>1641</v>
      </c>
      <c r="L3012">
        <v>10459</v>
      </c>
      <c r="M3012" t="s">
        <v>1670</v>
      </c>
      <c r="P3012" t="s">
        <v>12801</v>
      </c>
      <c r="Q3012" t="s">
        <v>1936</v>
      </c>
      <c r="R3012" t="s">
        <v>1962</v>
      </c>
      <c r="V3012" t="s">
        <v>1972</v>
      </c>
      <c r="X3012" t="s">
        <v>267</v>
      </c>
      <c r="Y3012">
        <v>1750</v>
      </c>
      <c r="Z3012" t="s">
        <v>2006</v>
      </c>
      <c r="AA3012" t="s">
        <v>2017</v>
      </c>
      <c r="AC3012" t="s">
        <v>15389</v>
      </c>
      <c r="AD3012" t="s">
        <v>17506</v>
      </c>
      <c r="AE3012" t="s">
        <v>17802</v>
      </c>
      <c r="AF3012">
        <v>9</v>
      </c>
      <c r="AG3012" t="s">
        <v>2902</v>
      </c>
      <c r="AH3012" t="s">
        <v>1754</v>
      </c>
      <c r="AI3012">
        <v>4</v>
      </c>
      <c r="AJ3012">
        <v>3</v>
      </c>
      <c r="AK3012">
        <v>2</v>
      </c>
      <c r="AL3012">
        <v>57.27</v>
      </c>
      <c r="AO3012" t="s">
        <v>2927</v>
      </c>
      <c r="AP3012">
        <v>16848</v>
      </c>
      <c r="AQ3012" t="s">
        <v>18371</v>
      </c>
      <c r="AV3012">
        <v>1.5</v>
      </c>
      <c r="AW3012" t="s">
        <v>267</v>
      </c>
      <c r="AX3012" t="s">
        <v>3043</v>
      </c>
    </row>
    <row r="3013" spans="1:50">
      <c r="A3013" s="1" t="s">
        <v>50</v>
      </c>
      <c r="B3013" t="s">
        <v>85</v>
      </c>
      <c r="C3013" t="s">
        <v>164</v>
      </c>
      <c r="D3013" t="s">
        <v>6315</v>
      </c>
      <c r="E3013" t="s">
        <v>352</v>
      </c>
      <c r="F3013" t="s">
        <v>6160</v>
      </c>
      <c r="G3013" t="s">
        <v>9198</v>
      </c>
      <c r="H3013" t="s">
        <v>10765</v>
      </c>
      <c r="I3013" t="s">
        <v>11511</v>
      </c>
      <c r="J3013" t="s">
        <v>11381</v>
      </c>
      <c r="K3013" t="s">
        <v>11826</v>
      </c>
      <c r="L3013">
        <v>11693</v>
      </c>
      <c r="M3013" t="s">
        <v>1670</v>
      </c>
      <c r="P3013" t="s">
        <v>12802</v>
      </c>
      <c r="Q3013" t="s">
        <v>1939</v>
      </c>
      <c r="R3013" t="s">
        <v>1958</v>
      </c>
      <c r="S3013" t="s">
        <v>1965</v>
      </c>
      <c r="T3013" t="s">
        <v>1671</v>
      </c>
      <c r="V3013" t="s">
        <v>1972</v>
      </c>
      <c r="W3013" t="s">
        <v>1984</v>
      </c>
      <c r="X3013" t="s">
        <v>6764</v>
      </c>
      <c r="Y3013">
        <v>1515</v>
      </c>
      <c r="Z3013" t="s">
        <v>2007</v>
      </c>
      <c r="AA3013" t="s">
        <v>2014</v>
      </c>
      <c r="AB3013" t="s">
        <v>2029</v>
      </c>
      <c r="AC3013" t="s">
        <v>15390</v>
      </c>
      <c r="AD3013" t="s">
        <v>17507</v>
      </c>
      <c r="AE3013" t="s">
        <v>17803</v>
      </c>
      <c r="AF3013">
        <v>2</v>
      </c>
      <c r="AG3013" t="s">
        <v>2903</v>
      </c>
      <c r="AH3013" t="s">
        <v>2916</v>
      </c>
      <c r="AI3013">
        <v>3</v>
      </c>
      <c r="AJ3013">
        <v>1</v>
      </c>
      <c r="AK3013">
        <v>2</v>
      </c>
      <c r="AL3013" t="s">
        <v>13051</v>
      </c>
      <c r="AO3013" t="s">
        <v>2926</v>
      </c>
      <c r="AP3013" t="s">
        <v>13051</v>
      </c>
      <c r="AV3013">
        <v>1.85</v>
      </c>
      <c r="AW3013" t="s">
        <v>6160</v>
      </c>
      <c r="AX3013" t="s">
        <v>85</v>
      </c>
    </row>
    <row r="3014" spans="1:50">
      <c r="A3014" s="1" t="s">
        <v>50</v>
      </c>
      <c r="B3014" t="s">
        <v>135</v>
      </c>
      <c r="C3014" t="s">
        <v>163</v>
      </c>
      <c r="D3014" t="s">
        <v>6316</v>
      </c>
      <c r="E3014" t="s">
        <v>182</v>
      </c>
      <c r="G3014" t="s">
        <v>9199</v>
      </c>
      <c r="H3014" t="s">
        <v>10766</v>
      </c>
      <c r="I3014" t="s">
        <v>11512</v>
      </c>
      <c r="J3014" t="s">
        <v>1475</v>
      </c>
      <c r="K3014" t="s">
        <v>1644</v>
      </c>
      <c r="L3014">
        <v>11208</v>
      </c>
      <c r="M3014" t="s">
        <v>1670</v>
      </c>
      <c r="P3014" t="s">
        <v>1675</v>
      </c>
      <c r="Q3014" t="s">
        <v>1938</v>
      </c>
      <c r="R3014" t="s">
        <v>1961</v>
      </c>
      <c r="T3014" t="s">
        <v>1671</v>
      </c>
      <c r="V3014" t="s">
        <v>1972</v>
      </c>
      <c r="W3014" t="s">
        <v>1984</v>
      </c>
      <c r="X3014" t="s">
        <v>331</v>
      </c>
      <c r="Y3014">
        <v>1350</v>
      </c>
      <c r="Z3014" t="s">
        <v>2009</v>
      </c>
      <c r="AA3014" t="s">
        <v>2020</v>
      </c>
      <c r="AC3014" t="s">
        <v>15391</v>
      </c>
      <c r="AD3014" t="s">
        <v>17508</v>
      </c>
      <c r="AE3014" t="s">
        <v>17804</v>
      </c>
      <c r="AF3014">
        <v>15</v>
      </c>
      <c r="AG3014" t="s">
        <v>2902</v>
      </c>
      <c r="AH3014" t="s">
        <v>1754</v>
      </c>
      <c r="AI3014">
        <v>2</v>
      </c>
      <c r="AJ3014">
        <v>2</v>
      </c>
      <c r="AK3014">
        <v>3</v>
      </c>
      <c r="AL3014">
        <v>64.43000000000001</v>
      </c>
      <c r="AO3014" t="s">
        <v>2926</v>
      </c>
      <c r="AP3014">
        <v>19440</v>
      </c>
      <c r="AQ3014" t="s">
        <v>18430</v>
      </c>
      <c r="AV3014">
        <v>6</v>
      </c>
      <c r="AW3014" t="s">
        <v>3034</v>
      </c>
      <c r="AX3014" t="s">
        <v>3060</v>
      </c>
    </row>
    <row r="3015" spans="1:50">
      <c r="A3015" s="1" t="s">
        <v>50</v>
      </c>
      <c r="B3015" t="s">
        <v>3192</v>
      </c>
      <c r="C3015" t="s">
        <v>164</v>
      </c>
      <c r="D3015" t="s">
        <v>6317</v>
      </c>
      <c r="E3015" t="s">
        <v>343</v>
      </c>
      <c r="F3015" t="s">
        <v>270</v>
      </c>
      <c r="G3015" t="s">
        <v>9200</v>
      </c>
      <c r="H3015" t="s">
        <v>10767</v>
      </c>
      <c r="I3015" t="s">
        <v>11513</v>
      </c>
      <c r="J3015" t="s">
        <v>1490</v>
      </c>
      <c r="K3015" t="s">
        <v>1645</v>
      </c>
      <c r="L3015">
        <v>11691</v>
      </c>
      <c r="M3015" t="s">
        <v>1670</v>
      </c>
      <c r="P3015" t="s">
        <v>12803</v>
      </c>
      <c r="Q3015" t="s">
        <v>1936</v>
      </c>
      <c r="R3015" t="s">
        <v>1960</v>
      </c>
      <c r="S3015" t="s">
        <v>1969</v>
      </c>
      <c r="T3015" t="s">
        <v>1671</v>
      </c>
      <c r="V3015" t="s">
        <v>1972</v>
      </c>
      <c r="W3015" t="s">
        <v>1987</v>
      </c>
      <c r="X3015" t="s">
        <v>343</v>
      </c>
      <c r="Y3015">
        <v>1424</v>
      </c>
      <c r="Z3015" t="s">
        <v>2007</v>
      </c>
      <c r="AA3015" t="s">
        <v>2014</v>
      </c>
      <c r="AB3015" t="s">
        <v>2032</v>
      </c>
      <c r="AC3015" t="s">
        <v>15392</v>
      </c>
      <c r="AD3015" t="s">
        <v>17509</v>
      </c>
      <c r="AE3015" t="s">
        <v>17805</v>
      </c>
      <c r="AF3015">
        <v>42</v>
      </c>
      <c r="AG3015" t="s">
        <v>2904</v>
      </c>
      <c r="AH3015" t="s">
        <v>1754</v>
      </c>
      <c r="AI3015">
        <v>2</v>
      </c>
      <c r="AJ3015">
        <v>1</v>
      </c>
      <c r="AK3015">
        <v>3</v>
      </c>
      <c r="AL3015">
        <v>191.24</v>
      </c>
      <c r="AO3015" t="s">
        <v>2926</v>
      </c>
      <c r="AP3015">
        <v>48000</v>
      </c>
      <c r="AR3015" t="s">
        <v>2978</v>
      </c>
      <c r="AS3015" t="s">
        <v>2017</v>
      </c>
      <c r="AT3015" t="s">
        <v>2992</v>
      </c>
      <c r="AU3015" t="s">
        <v>18501</v>
      </c>
      <c r="AV3015">
        <v>7.6</v>
      </c>
      <c r="AW3015" t="s">
        <v>178</v>
      </c>
      <c r="AX3015" t="s">
        <v>3044</v>
      </c>
    </row>
    <row r="3016" spans="1:50">
      <c r="A3016" s="1" t="s">
        <v>50</v>
      </c>
      <c r="B3016" t="s">
        <v>3155</v>
      </c>
      <c r="C3016" t="s">
        <v>163</v>
      </c>
      <c r="D3016" t="s">
        <v>6318</v>
      </c>
      <c r="E3016" t="s">
        <v>321</v>
      </c>
      <c r="G3016" t="s">
        <v>428</v>
      </c>
      <c r="H3016" t="s">
        <v>8332</v>
      </c>
      <c r="I3016" t="s">
        <v>11514</v>
      </c>
      <c r="J3016" t="s">
        <v>10957</v>
      </c>
      <c r="K3016" t="s">
        <v>1644</v>
      </c>
      <c r="L3016">
        <v>11208</v>
      </c>
      <c r="M3016" t="s">
        <v>1670</v>
      </c>
      <c r="P3016" t="s">
        <v>12804</v>
      </c>
      <c r="Q3016" t="s">
        <v>1936</v>
      </c>
      <c r="R3016" t="s">
        <v>1960</v>
      </c>
      <c r="V3016" t="s">
        <v>1972</v>
      </c>
      <c r="X3016" t="s">
        <v>321</v>
      </c>
      <c r="Y3016">
        <v>1515</v>
      </c>
      <c r="Z3016" t="s">
        <v>2009</v>
      </c>
      <c r="AA3016" t="s">
        <v>2020</v>
      </c>
      <c r="AC3016" t="s">
        <v>15393</v>
      </c>
      <c r="AD3016" t="s">
        <v>17510</v>
      </c>
      <c r="AE3016" t="s">
        <v>17806</v>
      </c>
      <c r="AF3016">
        <v>6</v>
      </c>
      <c r="AG3016" t="s">
        <v>2902</v>
      </c>
      <c r="AH3016" t="s">
        <v>2918</v>
      </c>
      <c r="AI3016">
        <v>3</v>
      </c>
      <c r="AJ3016">
        <v>1</v>
      </c>
      <c r="AK3016">
        <v>2</v>
      </c>
      <c r="AL3016">
        <v>13.74</v>
      </c>
      <c r="AO3016" t="s">
        <v>2926</v>
      </c>
      <c r="AP3016">
        <v>2856</v>
      </c>
      <c r="AV3016">
        <v>12.5</v>
      </c>
      <c r="AW3016" t="s">
        <v>226</v>
      </c>
      <c r="AX3016" t="s">
        <v>3060</v>
      </c>
    </row>
    <row r="3017" spans="1:50">
      <c r="A3017" s="1" t="s">
        <v>50</v>
      </c>
      <c r="B3017" t="s">
        <v>63</v>
      </c>
      <c r="C3017" t="s">
        <v>163</v>
      </c>
      <c r="D3017" t="s">
        <v>6319</v>
      </c>
      <c r="E3017" t="s">
        <v>287</v>
      </c>
      <c r="G3017" t="s">
        <v>7510</v>
      </c>
      <c r="H3017" t="s">
        <v>890</v>
      </c>
      <c r="I3017" t="s">
        <v>10132</v>
      </c>
      <c r="J3017" t="s">
        <v>11773</v>
      </c>
      <c r="K3017" t="s">
        <v>1641</v>
      </c>
      <c r="L3017">
        <v>10452</v>
      </c>
      <c r="M3017" t="s">
        <v>1670</v>
      </c>
      <c r="P3017" t="s">
        <v>12315</v>
      </c>
      <c r="Q3017" t="s">
        <v>1949</v>
      </c>
      <c r="R3017" t="s">
        <v>1961</v>
      </c>
      <c r="T3017" t="s">
        <v>1670</v>
      </c>
      <c r="V3017" t="s">
        <v>1972</v>
      </c>
      <c r="W3017" t="s">
        <v>1984</v>
      </c>
      <c r="X3017" t="s">
        <v>1992</v>
      </c>
      <c r="Y3017">
        <v>1004.86</v>
      </c>
      <c r="Z3017" t="s">
        <v>2006</v>
      </c>
      <c r="AA3017" t="s">
        <v>2015</v>
      </c>
      <c r="AC3017" t="s">
        <v>15394</v>
      </c>
      <c r="AD3017" t="s">
        <v>17511</v>
      </c>
      <c r="AE3017" t="s">
        <v>17807</v>
      </c>
      <c r="AF3017">
        <v>70</v>
      </c>
      <c r="AG3017" t="s">
        <v>2902</v>
      </c>
      <c r="AH3017" t="s">
        <v>2917</v>
      </c>
      <c r="AI3017">
        <v>10</v>
      </c>
      <c r="AJ3017">
        <v>1</v>
      </c>
      <c r="AK3017">
        <v>3</v>
      </c>
      <c r="AL3017">
        <v>19.12</v>
      </c>
      <c r="AO3017" t="s">
        <v>2926</v>
      </c>
      <c r="AP3017">
        <v>4800</v>
      </c>
      <c r="AV3017" t="s">
        <v>13051</v>
      </c>
      <c r="AX3017" t="s">
        <v>3046</v>
      </c>
    </row>
    <row r="3018" spans="1:50">
      <c r="A3018" s="1" t="s">
        <v>50</v>
      </c>
      <c r="B3018" t="s">
        <v>74</v>
      </c>
      <c r="C3018" t="s">
        <v>164</v>
      </c>
      <c r="D3018" t="s">
        <v>6320</v>
      </c>
      <c r="E3018" t="s">
        <v>6138</v>
      </c>
      <c r="F3018" t="s">
        <v>318</v>
      </c>
      <c r="G3018" t="s">
        <v>9201</v>
      </c>
      <c r="H3018" t="s">
        <v>10768</v>
      </c>
      <c r="I3018" t="s">
        <v>11515</v>
      </c>
      <c r="J3018" t="s">
        <v>1570</v>
      </c>
      <c r="K3018" t="s">
        <v>1641</v>
      </c>
      <c r="L3018">
        <v>10459</v>
      </c>
      <c r="M3018" t="s">
        <v>1670</v>
      </c>
      <c r="P3018" t="s">
        <v>12805</v>
      </c>
      <c r="Q3018" t="s">
        <v>1940</v>
      </c>
      <c r="R3018" t="s">
        <v>1962</v>
      </c>
      <c r="S3018" t="s">
        <v>1968</v>
      </c>
      <c r="T3018" t="s">
        <v>1671</v>
      </c>
      <c r="V3018" t="s">
        <v>1972</v>
      </c>
      <c r="X3018" t="s">
        <v>250</v>
      </c>
      <c r="Y3018">
        <v>1000</v>
      </c>
      <c r="Z3018" t="s">
        <v>2006</v>
      </c>
      <c r="AB3018" t="s">
        <v>2038</v>
      </c>
      <c r="AC3018" t="s">
        <v>15395</v>
      </c>
      <c r="AD3018" t="s">
        <v>17512</v>
      </c>
      <c r="AE3018" t="s">
        <v>17808</v>
      </c>
      <c r="AF3018">
        <v>17</v>
      </c>
      <c r="AG3018" t="s">
        <v>2904</v>
      </c>
      <c r="AI3018">
        <v>1</v>
      </c>
      <c r="AJ3018">
        <v>1</v>
      </c>
      <c r="AK3018">
        <v>3</v>
      </c>
      <c r="AL3018">
        <v>49.72</v>
      </c>
      <c r="AO3018" t="s">
        <v>2927</v>
      </c>
      <c r="AP3018">
        <v>12480</v>
      </c>
      <c r="AV3018">
        <v>0.5</v>
      </c>
      <c r="AW3018" t="s">
        <v>370</v>
      </c>
      <c r="AX3018" t="s">
        <v>3054</v>
      </c>
    </row>
    <row r="3019" spans="1:50">
      <c r="A3019" s="1" t="s">
        <v>50</v>
      </c>
      <c r="B3019" t="s">
        <v>115</v>
      </c>
      <c r="C3019" t="s">
        <v>164</v>
      </c>
      <c r="D3019" t="s">
        <v>6321</v>
      </c>
      <c r="E3019" t="s">
        <v>169</v>
      </c>
      <c r="F3019" t="s">
        <v>169</v>
      </c>
      <c r="G3019" t="s">
        <v>6872</v>
      </c>
      <c r="H3019" t="s">
        <v>10769</v>
      </c>
      <c r="I3019" t="s">
        <v>11516</v>
      </c>
      <c r="J3019">
        <v>1</v>
      </c>
      <c r="K3019" t="s">
        <v>1641</v>
      </c>
      <c r="L3019">
        <v>10459</v>
      </c>
      <c r="M3019" t="s">
        <v>1670</v>
      </c>
      <c r="Q3019" t="s">
        <v>1675</v>
      </c>
      <c r="R3019" t="s">
        <v>1958</v>
      </c>
      <c r="S3019" t="s">
        <v>1965</v>
      </c>
      <c r="T3019" t="s">
        <v>1671</v>
      </c>
      <c r="V3019" t="s">
        <v>1980</v>
      </c>
      <c r="X3019" t="s">
        <v>216</v>
      </c>
      <c r="Y3019">
        <v>1599.75</v>
      </c>
      <c r="Z3019" t="s">
        <v>2006</v>
      </c>
      <c r="AA3019" t="s">
        <v>2020</v>
      </c>
      <c r="AB3019" t="s">
        <v>2029</v>
      </c>
      <c r="AC3019" t="s">
        <v>15396</v>
      </c>
      <c r="AD3019" t="s">
        <v>17513</v>
      </c>
      <c r="AE3019" t="s">
        <v>17809</v>
      </c>
      <c r="AF3019">
        <v>53</v>
      </c>
      <c r="AG3019" t="s">
        <v>2902</v>
      </c>
      <c r="AH3019" t="s">
        <v>1754</v>
      </c>
      <c r="AI3019">
        <v>5</v>
      </c>
      <c r="AJ3019">
        <v>3</v>
      </c>
      <c r="AK3019">
        <v>2</v>
      </c>
      <c r="AL3019">
        <v>184.41</v>
      </c>
      <c r="AO3019" t="s">
        <v>2927</v>
      </c>
      <c r="AP3019">
        <v>54254.2</v>
      </c>
      <c r="AV3019">
        <v>1</v>
      </c>
      <c r="AW3019" t="s">
        <v>169</v>
      </c>
      <c r="AX3019" t="s">
        <v>115</v>
      </c>
    </row>
    <row r="3020" spans="1:50">
      <c r="A3020" s="1" t="s">
        <v>50</v>
      </c>
      <c r="B3020" t="s">
        <v>3202</v>
      </c>
      <c r="C3020" t="s">
        <v>163</v>
      </c>
      <c r="D3020" t="s">
        <v>6322</v>
      </c>
      <c r="E3020" t="s">
        <v>395</v>
      </c>
      <c r="G3020" t="s">
        <v>6790</v>
      </c>
      <c r="H3020" t="s">
        <v>7879</v>
      </c>
      <c r="I3020" t="s">
        <v>9379</v>
      </c>
      <c r="J3020" t="s">
        <v>1486</v>
      </c>
      <c r="K3020" t="s">
        <v>1644</v>
      </c>
      <c r="L3020">
        <v>11208</v>
      </c>
      <c r="M3020" t="s">
        <v>1670</v>
      </c>
      <c r="P3020" t="s">
        <v>11835</v>
      </c>
      <c r="Q3020" t="s">
        <v>1936</v>
      </c>
      <c r="R3020" t="s">
        <v>1960</v>
      </c>
      <c r="T3020" t="s">
        <v>1671</v>
      </c>
      <c r="V3020" t="s">
        <v>1972</v>
      </c>
      <c r="W3020" t="s">
        <v>1984</v>
      </c>
      <c r="X3020" t="s">
        <v>184</v>
      </c>
      <c r="Y3020">
        <v>984.01</v>
      </c>
      <c r="Z3020" t="s">
        <v>2009</v>
      </c>
      <c r="AC3020" t="s">
        <v>13079</v>
      </c>
      <c r="AD3020" t="s">
        <v>15070</v>
      </c>
      <c r="AE3020" t="s">
        <v>15711</v>
      </c>
      <c r="AF3020">
        <v>53</v>
      </c>
      <c r="AG3020" t="s">
        <v>2902</v>
      </c>
      <c r="AH3020" t="s">
        <v>2917</v>
      </c>
      <c r="AI3020">
        <v>0</v>
      </c>
      <c r="AJ3020">
        <v>1</v>
      </c>
      <c r="AK3020">
        <v>1</v>
      </c>
      <c r="AL3020">
        <v>58.32</v>
      </c>
      <c r="AO3020" t="s">
        <v>2926</v>
      </c>
      <c r="AP3020">
        <v>9600</v>
      </c>
      <c r="AV3020">
        <v>5.8</v>
      </c>
      <c r="AW3020" t="s">
        <v>393</v>
      </c>
      <c r="AX3020" t="s">
        <v>3202</v>
      </c>
    </row>
    <row r="3021" spans="1:50">
      <c r="A3021" s="1" t="s">
        <v>50</v>
      </c>
      <c r="B3021" t="s">
        <v>130</v>
      </c>
      <c r="C3021" t="s">
        <v>164</v>
      </c>
      <c r="D3021" t="s">
        <v>6323</v>
      </c>
      <c r="E3021" t="s">
        <v>377</v>
      </c>
      <c r="F3021" t="s">
        <v>407</v>
      </c>
      <c r="G3021" t="s">
        <v>724</v>
      </c>
      <c r="H3021" t="s">
        <v>870</v>
      </c>
      <c r="I3021" t="s">
        <v>10259</v>
      </c>
      <c r="J3021" t="s">
        <v>1575</v>
      </c>
      <c r="K3021" t="s">
        <v>1644</v>
      </c>
      <c r="L3021">
        <v>11213</v>
      </c>
      <c r="M3021" t="s">
        <v>1670</v>
      </c>
      <c r="Q3021" t="s">
        <v>1937</v>
      </c>
      <c r="R3021" t="s">
        <v>1959</v>
      </c>
      <c r="S3021" t="s">
        <v>1966</v>
      </c>
      <c r="T3021" t="s">
        <v>1670</v>
      </c>
      <c r="V3021" t="s">
        <v>1972</v>
      </c>
      <c r="X3021" t="s">
        <v>13045</v>
      </c>
      <c r="Y3021">
        <v>728.3099999999999</v>
      </c>
      <c r="Z3021" t="s">
        <v>2009</v>
      </c>
      <c r="AA3021" t="s">
        <v>2016</v>
      </c>
      <c r="AB3021" t="s">
        <v>2030</v>
      </c>
      <c r="AC3021" t="s">
        <v>15397</v>
      </c>
      <c r="AD3021" t="s">
        <v>17514</v>
      </c>
      <c r="AE3021" t="s">
        <v>17810</v>
      </c>
      <c r="AF3021">
        <v>23</v>
      </c>
      <c r="AG3021" t="s">
        <v>2902</v>
      </c>
      <c r="AI3021">
        <v>41</v>
      </c>
      <c r="AJ3021">
        <v>3</v>
      </c>
      <c r="AK3021">
        <v>3</v>
      </c>
      <c r="AL3021">
        <v>28.45</v>
      </c>
      <c r="AO3021" t="s">
        <v>2927</v>
      </c>
      <c r="AP3021">
        <v>9600</v>
      </c>
      <c r="AS3021" t="s">
        <v>18453</v>
      </c>
      <c r="AU3021" t="s">
        <v>18588</v>
      </c>
      <c r="AV3021">
        <v>1</v>
      </c>
      <c r="AW3021" t="s">
        <v>377</v>
      </c>
      <c r="AX3021" t="s">
        <v>130</v>
      </c>
    </row>
    <row r="3022" spans="1:50">
      <c r="A3022" s="1" t="s">
        <v>50</v>
      </c>
      <c r="B3022" t="s">
        <v>78</v>
      </c>
      <c r="C3022" t="s">
        <v>163</v>
      </c>
      <c r="D3022" t="s">
        <v>6324</v>
      </c>
      <c r="E3022" t="s">
        <v>279</v>
      </c>
      <c r="G3022" t="s">
        <v>442</v>
      </c>
      <c r="H3022" t="s">
        <v>10770</v>
      </c>
      <c r="I3022" t="s">
        <v>11517</v>
      </c>
      <c r="J3022" t="s">
        <v>1484</v>
      </c>
      <c r="K3022" t="s">
        <v>1646</v>
      </c>
      <c r="L3022">
        <v>10301</v>
      </c>
      <c r="M3022" t="s">
        <v>1670</v>
      </c>
      <c r="P3022" t="s">
        <v>12806</v>
      </c>
      <c r="Q3022" t="s">
        <v>1936</v>
      </c>
      <c r="R3022" t="s">
        <v>1960</v>
      </c>
      <c r="T3022" t="s">
        <v>1671</v>
      </c>
      <c r="V3022" t="s">
        <v>1972</v>
      </c>
      <c r="W3022" t="s">
        <v>1987</v>
      </c>
      <c r="X3022" t="s">
        <v>279</v>
      </c>
      <c r="Y3022">
        <v>1650</v>
      </c>
      <c r="Z3022" t="s">
        <v>2010</v>
      </c>
      <c r="AA3022" t="s">
        <v>2017</v>
      </c>
      <c r="AC3022" t="s">
        <v>15398</v>
      </c>
      <c r="AD3022" t="s">
        <v>17515</v>
      </c>
      <c r="AF3022">
        <v>5</v>
      </c>
      <c r="AG3022" t="s">
        <v>2903</v>
      </c>
      <c r="AH3022" t="s">
        <v>1754</v>
      </c>
      <c r="AI3022">
        <v>5</v>
      </c>
      <c r="AJ3022">
        <v>2</v>
      </c>
      <c r="AK3022">
        <v>2</v>
      </c>
      <c r="AL3022">
        <v>7.17</v>
      </c>
      <c r="AO3022" t="s">
        <v>2926</v>
      </c>
      <c r="AP3022">
        <v>1800</v>
      </c>
      <c r="AR3022" t="s">
        <v>2978</v>
      </c>
      <c r="AV3022">
        <v>28</v>
      </c>
      <c r="AW3022" t="s">
        <v>396</v>
      </c>
      <c r="AX3022" t="s">
        <v>3062</v>
      </c>
    </row>
    <row r="3023" spans="1:50">
      <c r="A3023" s="1" t="s">
        <v>50</v>
      </c>
      <c r="B3023" t="s">
        <v>103</v>
      </c>
      <c r="C3023" t="s">
        <v>164</v>
      </c>
      <c r="D3023" t="s">
        <v>6325</v>
      </c>
      <c r="E3023" t="s">
        <v>245</v>
      </c>
      <c r="F3023" t="s">
        <v>306</v>
      </c>
      <c r="G3023" t="s">
        <v>576</v>
      </c>
      <c r="H3023" t="s">
        <v>7602</v>
      </c>
      <c r="I3023" t="s">
        <v>11518</v>
      </c>
      <c r="J3023">
        <v>3</v>
      </c>
      <c r="K3023" t="s">
        <v>1644</v>
      </c>
      <c r="L3023">
        <v>11208</v>
      </c>
      <c r="M3023" t="s">
        <v>1670</v>
      </c>
      <c r="P3023" t="s">
        <v>12807</v>
      </c>
      <c r="Q3023" t="s">
        <v>1940</v>
      </c>
      <c r="R3023" t="s">
        <v>1958</v>
      </c>
      <c r="S3023" t="s">
        <v>1965</v>
      </c>
      <c r="V3023" t="s">
        <v>1972</v>
      </c>
      <c r="X3023" t="s">
        <v>245</v>
      </c>
      <c r="Y3023">
        <v>1450</v>
      </c>
      <c r="Z3023" t="s">
        <v>2009</v>
      </c>
      <c r="AA3023" t="s">
        <v>2014</v>
      </c>
      <c r="AB3023" t="s">
        <v>2029</v>
      </c>
      <c r="AC3023" t="s">
        <v>15399</v>
      </c>
      <c r="AD3023" t="s">
        <v>17516</v>
      </c>
      <c r="AE3023" t="s">
        <v>17811</v>
      </c>
      <c r="AF3023">
        <v>3</v>
      </c>
      <c r="AH3023" t="s">
        <v>1754</v>
      </c>
      <c r="AI3023">
        <v>7</v>
      </c>
      <c r="AJ3023">
        <v>1</v>
      </c>
      <c r="AK3023">
        <v>1</v>
      </c>
      <c r="AL3023">
        <v>99.81999999999999</v>
      </c>
      <c r="AO3023" t="s">
        <v>2926</v>
      </c>
      <c r="AP3023">
        <v>16430.96</v>
      </c>
      <c r="AV3023">
        <v>2.15</v>
      </c>
      <c r="AW3023" t="s">
        <v>335</v>
      </c>
      <c r="AX3023" t="s">
        <v>3074</v>
      </c>
    </row>
    <row r="3024" spans="1:50">
      <c r="A3024" s="1" t="s">
        <v>50</v>
      </c>
      <c r="B3024" t="s">
        <v>105</v>
      </c>
      <c r="C3024" t="s">
        <v>163</v>
      </c>
      <c r="D3024" t="s">
        <v>6326</v>
      </c>
      <c r="E3024" t="s">
        <v>339</v>
      </c>
      <c r="G3024" t="s">
        <v>544</v>
      </c>
      <c r="H3024" t="s">
        <v>873</v>
      </c>
      <c r="I3024" t="s">
        <v>9692</v>
      </c>
      <c r="J3024">
        <v>59</v>
      </c>
      <c r="K3024" t="s">
        <v>1641</v>
      </c>
      <c r="L3024">
        <v>10458</v>
      </c>
      <c r="M3024" t="s">
        <v>1670</v>
      </c>
      <c r="Q3024" t="s">
        <v>1938</v>
      </c>
      <c r="R3024" t="s">
        <v>1961</v>
      </c>
      <c r="T3024" t="s">
        <v>1670</v>
      </c>
      <c r="V3024" t="s">
        <v>1972</v>
      </c>
      <c r="X3024" t="s">
        <v>339</v>
      </c>
      <c r="Y3024">
        <v>1092</v>
      </c>
      <c r="Z3024" t="s">
        <v>2006</v>
      </c>
      <c r="AA3024" t="s">
        <v>2015</v>
      </c>
      <c r="AC3024" t="s">
        <v>15400</v>
      </c>
      <c r="AD3024" t="s">
        <v>17517</v>
      </c>
      <c r="AE3024" t="s">
        <v>17812</v>
      </c>
      <c r="AF3024">
        <v>48</v>
      </c>
      <c r="AG3024" t="s">
        <v>2902</v>
      </c>
      <c r="AH3024" t="s">
        <v>2917</v>
      </c>
      <c r="AI3024">
        <v>6</v>
      </c>
      <c r="AJ3024">
        <v>2</v>
      </c>
      <c r="AK3024">
        <v>3</v>
      </c>
      <c r="AL3024">
        <v>9.94</v>
      </c>
      <c r="AO3024" t="s">
        <v>2926</v>
      </c>
      <c r="AP3024">
        <v>3000</v>
      </c>
      <c r="AV3024">
        <v>9.199999999999999</v>
      </c>
      <c r="AW3024" t="s">
        <v>3034</v>
      </c>
      <c r="AX3024" t="s">
        <v>98</v>
      </c>
    </row>
    <row r="3025" spans="1:50">
      <c r="A3025" s="1" t="s">
        <v>50</v>
      </c>
      <c r="B3025" t="s">
        <v>105</v>
      </c>
      <c r="C3025" t="s">
        <v>163</v>
      </c>
      <c r="D3025" t="s">
        <v>6327</v>
      </c>
      <c r="E3025" t="s">
        <v>310</v>
      </c>
      <c r="G3025" t="s">
        <v>544</v>
      </c>
      <c r="H3025" t="s">
        <v>873</v>
      </c>
      <c r="I3025" t="s">
        <v>9692</v>
      </c>
      <c r="J3025">
        <v>59</v>
      </c>
      <c r="K3025" t="s">
        <v>1641</v>
      </c>
      <c r="L3025">
        <v>10458</v>
      </c>
      <c r="M3025" t="s">
        <v>1670</v>
      </c>
      <c r="Q3025" t="s">
        <v>1936</v>
      </c>
      <c r="R3025" t="s">
        <v>1960</v>
      </c>
      <c r="T3025" t="s">
        <v>1671</v>
      </c>
      <c r="V3025" t="s">
        <v>1972</v>
      </c>
      <c r="X3025" t="s">
        <v>310</v>
      </c>
      <c r="Y3025" t="s">
        <v>13051</v>
      </c>
      <c r="Z3025" t="s">
        <v>2006</v>
      </c>
      <c r="AA3025" t="s">
        <v>2020</v>
      </c>
      <c r="AC3025" t="s">
        <v>15400</v>
      </c>
      <c r="AD3025" t="s">
        <v>17517</v>
      </c>
      <c r="AE3025" t="s">
        <v>17812</v>
      </c>
      <c r="AF3025">
        <v>48</v>
      </c>
      <c r="AG3025" t="s">
        <v>2902</v>
      </c>
      <c r="AH3025" t="s">
        <v>2917</v>
      </c>
      <c r="AI3025">
        <v>6</v>
      </c>
      <c r="AJ3025">
        <v>2</v>
      </c>
      <c r="AK3025">
        <v>3</v>
      </c>
      <c r="AL3025">
        <v>41.52</v>
      </c>
      <c r="AO3025" t="s">
        <v>2926</v>
      </c>
      <c r="AP3025">
        <v>12528</v>
      </c>
      <c r="AV3025">
        <v>33.8</v>
      </c>
      <c r="AW3025" t="s">
        <v>3034</v>
      </c>
      <c r="AX3025" t="s">
        <v>3047</v>
      </c>
    </row>
    <row r="3026" spans="1:50">
      <c r="A3026" s="1" t="s">
        <v>50</v>
      </c>
      <c r="B3026" t="s">
        <v>108</v>
      </c>
      <c r="C3026" t="s">
        <v>163</v>
      </c>
      <c r="D3026" t="s">
        <v>6328</v>
      </c>
      <c r="E3026" t="s">
        <v>260</v>
      </c>
      <c r="G3026" t="s">
        <v>476</v>
      </c>
      <c r="H3026" t="s">
        <v>877</v>
      </c>
      <c r="I3026" t="s">
        <v>11519</v>
      </c>
      <c r="J3026" t="s">
        <v>11191</v>
      </c>
      <c r="K3026" t="s">
        <v>1649</v>
      </c>
      <c r="L3026">
        <v>11692</v>
      </c>
      <c r="M3026" t="s">
        <v>1670</v>
      </c>
      <c r="P3026" t="s">
        <v>12808</v>
      </c>
      <c r="Q3026" t="s">
        <v>1940</v>
      </c>
      <c r="R3026" t="s">
        <v>1963</v>
      </c>
      <c r="T3026" t="s">
        <v>1671</v>
      </c>
      <c r="V3026" t="s">
        <v>1972</v>
      </c>
      <c r="W3026" t="s">
        <v>1984</v>
      </c>
      <c r="X3026" t="s">
        <v>260</v>
      </c>
      <c r="Y3026">
        <v>791</v>
      </c>
      <c r="Z3026" t="s">
        <v>2007</v>
      </c>
      <c r="AA3026" t="s">
        <v>2014</v>
      </c>
      <c r="AC3026" t="s">
        <v>2247</v>
      </c>
      <c r="AD3026" t="s">
        <v>17518</v>
      </c>
      <c r="AE3026" t="s">
        <v>17813</v>
      </c>
      <c r="AF3026">
        <v>2</v>
      </c>
      <c r="AG3026" t="s">
        <v>2903</v>
      </c>
      <c r="AH3026" t="s">
        <v>1754</v>
      </c>
      <c r="AI3026">
        <v>8</v>
      </c>
      <c r="AJ3026">
        <v>1</v>
      </c>
      <c r="AK3026">
        <v>3</v>
      </c>
      <c r="AL3026">
        <v>36</v>
      </c>
      <c r="AO3026" t="s">
        <v>2926</v>
      </c>
      <c r="AP3026">
        <v>9036</v>
      </c>
      <c r="AR3026" t="s">
        <v>2976</v>
      </c>
      <c r="AS3026" t="s">
        <v>2982</v>
      </c>
      <c r="AT3026" t="s">
        <v>2992</v>
      </c>
      <c r="AU3026" t="s">
        <v>18620</v>
      </c>
      <c r="AV3026">
        <v>2.15</v>
      </c>
      <c r="AW3026" t="s">
        <v>323</v>
      </c>
      <c r="AX3026" t="s">
        <v>85</v>
      </c>
    </row>
    <row r="3027" spans="1:50">
      <c r="A3027" s="1" t="s">
        <v>50</v>
      </c>
      <c r="B3027" t="s">
        <v>126</v>
      </c>
      <c r="C3027" t="s">
        <v>163</v>
      </c>
      <c r="D3027" t="s">
        <v>6329</v>
      </c>
      <c r="E3027" t="s">
        <v>224</v>
      </c>
      <c r="G3027" t="s">
        <v>724</v>
      </c>
      <c r="H3027" t="s">
        <v>7941</v>
      </c>
      <c r="I3027" t="s">
        <v>11520</v>
      </c>
      <c r="J3027" t="s">
        <v>11393</v>
      </c>
      <c r="K3027" t="s">
        <v>1641</v>
      </c>
      <c r="L3027">
        <v>10458</v>
      </c>
      <c r="M3027" t="s">
        <v>1670</v>
      </c>
      <c r="P3027" t="s">
        <v>12809</v>
      </c>
      <c r="Q3027" t="s">
        <v>1936</v>
      </c>
      <c r="R3027" t="s">
        <v>1960</v>
      </c>
      <c r="V3027" t="s">
        <v>1972</v>
      </c>
      <c r="X3027" t="s">
        <v>224</v>
      </c>
      <c r="Y3027">
        <v>2600</v>
      </c>
      <c r="Z3027" t="s">
        <v>2006</v>
      </c>
      <c r="AA3027" t="s">
        <v>2014</v>
      </c>
      <c r="AC3027" t="s">
        <v>15401</v>
      </c>
      <c r="AD3027" t="s">
        <v>17519</v>
      </c>
      <c r="AE3027" t="s">
        <v>17814</v>
      </c>
      <c r="AF3027" t="s">
        <v>13051</v>
      </c>
      <c r="AG3027" t="s">
        <v>2904</v>
      </c>
      <c r="AI3027">
        <v>0</v>
      </c>
      <c r="AJ3027">
        <v>1</v>
      </c>
      <c r="AK3027">
        <v>2</v>
      </c>
      <c r="AL3027">
        <v>7.38</v>
      </c>
      <c r="AO3027" t="s">
        <v>2927</v>
      </c>
      <c r="AP3027">
        <v>1534</v>
      </c>
      <c r="AV3027">
        <v>9.300000000000001</v>
      </c>
      <c r="AW3027" t="s">
        <v>246</v>
      </c>
      <c r="AX3027" t="s">
        <v>3081</v>
      </c>
    </row>
    <row r="3028" spans="1:50">
      <c r="A3028" s="1" t="s">
        <v>50</v>
      </c>
      <c r="B3028" t="s">
        <v>146</v>
      </c>
      <c r="C3028" t="s">
        <v>163</v>
      </c>
      <c r="D3028" t="s">
        <v>6330</v>
      </c>
      <c r="E3028" t="s">
        <v>340</v>
      </c>
      <c r="G3028" t="s">
        <v>9202</v>
      </c>
      <c r="H3028" t="s">
        <v>792</v>
      </c>
      <c r="I3028" t="s">
        <v>11463</v>
      </c>
      <c r="K3028" t="s">
        <v>1641</v>
      </c>
      <c r="L3028">
        <v>10453</v>
      </c>
      <c r="M3028" t="s">
        <v>1670</v>
      </c>
      <c r="Q3028" t="s">
        <v>1955</v>
      </c>
      <c r="R3028" t="s">
        <v>1959</v>
      </c>
      <c r="T3028" t="s">
        <v>1671</v>
      </c>
      <c r="V3028" t="s">
        <v>1973</v>
      </c>
      <c r="X3028" t="s">
        <v>340</v>
      </c>
      <c r="Y3028">
        <v>1931</v>
      </c>
      <c r="Z3028" t="s">
        <v>2006</v>
      </c>
      <c r="AA3028" t="s">
        <v>2020</v>
      </c>
      <c r="AC3028" t="s">
        <v>15402</v>
      </c>
      <c r="AD3028" t="s">
        <v>17520</v>
      </c>
      <c r="AE3028" t="s">
        <v>17815</v>
      </c>
      <c r="AF3028">
        <v>1654</v>
      </c>
      <c r="AG3028" t="s">
        <v>2902</v>
      </c>
      <c r="AH3028" t="s">
        <v>2915</v>
      </c>
      <c r="AI3028">
        <v>7</v>
      </c>
      <c r="AJ3028">
        <v>3</v>
      </c>
      <c r="AK3028">
        <v>3</v>
      </c>
      <c r="AL3028" t="s">
        <v>13051</v>
      </c>
      <c r="AO3028" t="s">
        <v>2926</v>
      </c>
      <c r="AP3028" t="s">
        <v>13051</v>
      </c>
      <c r="AV3028">
        <v>2.25</v>
      </c>
      <c r="AW3028" t="s">
        <v>226</v>
      </c>
      <c r="AX3028" t="s">
        <v>3047</v>
      </c>
    </row>
    <row r="3029" spans="1:50">
      <c r="A3029" s="1" t="s">
        <v>50</v>
      </c>
      <c r="B3029" t="s">
        <v>146</v>
      </c>
      <c r="C3029" t="s">
        <v>163</v>
      </c>
      <c r="D3029" t="s">
        <v>6331</v>
      </c>
      <c r="E3029" t="s">
        <v>6172</v>
      </c>
      <c r="G3029" t="s">
        <v>9202</v>
      </c>
      <c r="H3029" t="s">
        <v>792</v>
      </c>
      <c r="I3029" t="s">
        <v>11463</v>
      </c>
      <c r="K3029" t="s">
        <v>1641</v>
      </c>
      <c r="L3029">
        <v>10453</v>
      </c>
      <c r="M3029" t="s">
        <v>1670</v>
      </c>
      <c r="P3029" t="s">
        <v>12810</v>
      </c>
      <c r="Q3029" t="s">
        <v>1936</v>
      </c>
      <c r="R3029" t="s">
        <v>1960</v>
      </c>
      <c r="V3029" t="s">
        <v>1972</v>
      </c>
      <c r="W3029" t="s">
        <v>1984</v>
      </c>
      <c r="X3029" t="s">
        <v>1992</v>
      </c>
      <c r="Y3029">
        <v>1931</v>
      </c>
      <c r="Z3029" t="s">
        <v>2006</v>
      </c>
      <c r="AA3029" t="s">
        <v>2020</v>
      </c>
      <c r="AC3029" t="s">
        <v>15402</v>
      </c>
      <c r="AD3029" t="s">
        <v>17520</v>
      </c>
      <c r="AE3029" t="s">
        <v>17815</v>
      </c>
      <c r="AF3029">
        <v>439</v>
      </c>
      <c r="AG3029" t="s">
        <v>2902</v>
      </c>
      <c r="AH3029" t="s">
        <v>2915</v>
      </c>
      <c r="AI3029">
        <v>7</v>
      </c>
      <c r="AJ3029">
        <v>3</v>
      </c>
      <c r="AK3029">
        <v>3</v>
      </c>
      <c r="AL3029" t="s">
        <v>13051</v>
      </c>
      <c r="AO3029" t="s">
        <v>2926</v>
      </c>
      <c r="AP3029" t="s">
        <v>13051</v>
      </c>
      <c r="AV3029">
        <v>44</v>
      </c>
      <c r="AW3029" t="s">
        <v>3034</v>
      </c>
      <c r="AX3029" t="s">
        <v>3047</v>
      </c>
    </row>
    <row r="3030" spans="1:50">
      <c r="A3030" s="1" t="s">
        <v>50</v>
      </c>
      <c r="B3030" t="s">
        <v>149</v>
      </c>
      <c r="C3030" t="s">
        <v>164</v>
      </c>
      <c r="D3030" t="s">
        <v>6332</v>
      </c>
      <c r="E3030" t="s">
        <v>347</v>
      </c>
      <c r="F3030" t="s">
        <v>226</v>
      </c>
      <c r="G3030" t="s">
        <v>9203</v>
      </c>
      <c r="H3030" t="s">
        <v>1020</v>
      </c>
      <c r="I3030" t="s">
        <v>11521</v>
      </c>
      <c r="J3030">
        <v>18</v>
      </c>
      <c r="K3030" t="s">
        <v>1656</v>
      </c>
      <c r="L3030">
        <v>11101</v>
      </c>
      <c r="M3030" t="s">
        <v>1670</v>
      </c>
      <c r="P3030" t="s">
        <v>12811</v>
      </c>
      <c r="Q3030" t="s">
        <v>1936</v>
      </c>
      <c r="R3030" t="s">
        <v>1960</v>
      </c>
      <c r="S3030" t="s">
        <v>1969</v>
      </c>
      <c r="T3030" t="s">
        <v>1671</v>
      </c>
      <c r="V3030" t="s">
        <v>1972</v>
      </c>
      <c r="W3030" t="s">
        <v>1985</v>
      </c>
      <c r="X3030" t="s">
        <v>347</v>
      </c>
      <c r="Y3030">
        <v>871</v>
      </c>
      <c r="Z3030" t="s">
        <v>2007</v>
      </c>
      <c r="AA3030" t="s">
        <v>2014</v>
      </c>
      <c r="AB3030" t="s">
        <v>2032</v>
      </c>
      <c r="AC3030" t="s">
        <v>15403</v>
      </c>
      <c r="AD3030" t="s">
        <v>17521</v>
      </c>
      <c r="AE3030" t="s">
        <v>17816</v>
      </c>
      <c r="AF3030">
        <v>20</v>
      </c>
      <c r="AG3030" t="s">
        <v>2902</v>
      </c>
      <c r="AH3030" t="s">
        <v>1754</v>
      </c>
      <c r="AI3030">
        <v>1</v>
      </c>
      <c r="AJ3030">
        <v>1</v>
      </c>
      <c r="AK3030">
        <v>2</v>
      </c>
      <c r="AL3030" t="s">
        <v>13051</v>
      </c>
      <c r="AO3030" t="s">
        <v>2926</v>
      </c>
      <c r="AP3030" t="s">
        <v>13051</v>
      </c>
      <c r="AR3030" t="s">
        <v>2976</v>
      </c>
      <c r="AS3030" t="s">
        <v>2982</v>
      </c>
      <c r="AT3030" t="s">
        <v>2992</v>
      </c>
      <c r="AU3030" t="s">
        <v>18541</v>
      </c>
      <c r="AV3030">
        <v>20.15</v>
      </c>
      <c r="AW3030" t="s">
        <v>199</v>
      </c>
      <c r="AX3030" t="s">
        <v>149</v>
      </c>
    </row>
    <row r="3031" spans="1:50">
      <c r="A3031" s="1" t="s">
        <v>50</v>
      </c>
      <c r="B3031" t="s">
        <v>99</v>
      </c>
      <c r="C3031" t="s">
        <v>164</v>
      </c>
      <c r="D3031" t="s">
        <v>6333</v>
      </c>
      <c r="E3031" t="s">
        <v>229</v>
      </c>
      <c r="F3031" t="s">
        <v>297</v>
      </c>
      <c r="G3031" t="s">
        <v>9204</v>
      </c>
      <c r="H3031" t="s">
        <v>7990</v>
      </c>
      <c r="I3031" t="s">
        <v>11522</v>
      </c>
      <c r="J3031">
        <v>302</v>
      </c>
      <c r="K3031" t="s">
        <v>1649</v>
      </c>
      <c r="L3031">
        <v>11692</v>
      </c>
      <c r="M3031" t="s">
        <v>1670</v>
      </c>
      <c r="P3031" t="s">
        <v>12812</v>
      </c>
      <c r="Q3031" t="s">
        <v>1936</v>
      </c>
      <c r="R3031" t="s">
        <v>1958</v>
      </c>
      <c r="S3031" t="s">
        <v>1965</v>
      </c>
      <c r="T3031" t="s">
        <v>1671</v>
      </c>
      <c r="V3031" t="s">
        <v>1972</v>
      </c>
      <c r="W3031" t="s">
        <v>1984</v>
      </c>
      <c r="X3031" t="s">
        <v>229</v>
      </c>
      <c r="Y3031">
        <v>2181</v>
      </c>
      <c r="Z3031" t="s">
        <v>2007</v>
      </c>
      <c r="AA3031" t="s">
        <v>2014</v>
      </c>
      <c r="AB3031" t="s">
        <v>2029</v>
      </c>
      <c r="AC3031" t="s">
        <v>15404</v>
      </c>
      <c r="AD3031" t="s">
        <v>17522</v>
      </c>
      <c r="AE3031" t="s">
        <v>17817</v>
      </c>
      <c r="AF3031">
        <v>10</v>
      </c>
      <c r="AG3031" t="s">
        <v>2906</v>
      </c>
      <c r="AH3031" t="s">
        <v>2915</v>
      </c>
      <c r="AI3031">
        <v>5</v>
      </c>
      <c r="AJ3031">
        <v>1</v>
      </c>
      <c r="AK3031">
        <v>4</v>
      </c>
      <c r="AL3031">
        <v>84.98</v>
      </c>
      <c r="AO3031" t="s">
        <v>2926</v>
      </c>
      <c r="AP3031">
        <v>25000</v>
      </c>
      <c r="AV3031">
        <v>3.98</v>
      </c>
      <c r="AW3031" t="s">
        <v>297</v>
      </c>
      <c r="AX3031" t="s">
        <v>85</v>
      </c>
    </row>
    <row r="3032" spans="1:50">
      <c r="A3032" s="1" t="s">
        <v>50</v>
      </c>
      <c r="B3032" t="s">
        <v>63</v>
      </c>
      <c r="C3032" t="s">
        <v>163</v>
      </c>
      <c r="D3032" t="s">
        <v>6334</v>
      </c>
      <c r="E3032" t="s">
        <v>166</v>
      </c>
      <c r="G3032" t="s">
        <v>682</v>
      </c>
      <c r="H3032" t="s">
        <v>1002</v>
      </c>
      <c r="I3032" t="s">
        <v>11523</v>
      </c>
      <c r="J3032" t="s">
        <v>1550</v>
      </c>
      <c r="K3032" t="s">
        <v>1641</v>
      </c>
      <c r="L3032">
        <v>10460</v>
      </c>
      <c r="M3032" t="s">
        <v>1670</v>
      </c>
      <c r="P3032" t="s">
        <v>12813</v>
      </c>
      <c r="Q3032" t="s">
        <v>1936</v>
      </c>
      <c r="R3032" t="s">
        <v>1960</v>
      </c>
      <c r="T3032" t="s">
        <v>1671</v>
      </c>
      <c r="V3032" t="s">
        <v>1972</v>
      </c>
      <c r="W3032" t="s">
        <v>1985</v>
      </c>
      <c r="X3032" t="s">
        <v>209</v>
      </c>
      <c r="Y3032">
        <v>1042</v>
      </c>
      <c r="Z3032" t="s">
        <v>2006</v>
      </c>
      <c r="AA3032" t="s">
        <v>2011</v>
      </c>
      <c r="AC3032" t="s">
        <v>15405</v>
      </c>
      <c r="AD3032" t="s">
        <v>17523</v>
      </c>
      <c r="AE3032" t="s">
        <v>17818</v>
      </c>
      <c r="AF3032">
        <v>84</v>
      </c>
      <c r="AG3032" t="s">
        <v>2902</v>
      </c>
      <c r="AH3032" t="s">
        <v>1754</v>
      </c>
      <c r="AI3032">
        <v>3</v>
      </c>
      <c r="AJ3032">
        <v>1</v>
      </c>
      <c r="AK3032">
        <v>4</v>
      </c>
      <c r="AL3032">
        <v>52.66</v>
      </c>
      <c r="AO3032" t="s">
        <v>2926</v>
      </c>
      <c r="AP3032">
        <v>15492</v>
      </c>
      <c r="AV3032">
        <v>48.1</v>
      </c>
      <c r="AW3032" t="s">
        <v>3031</v>
      </c>
      <c r="AX3032" t="s">
        <v>3054</v>
      </c>
    </row>
    <row r="3033" spans="1:50">
      <c r="A3033" s="1" t="s">
        <v>50</v>
      </c>
      <c r="B3033" t="s">
        <v>53</v>
      </c>
      <c r="C3033" t="s">
        <v>164</v>
      </c>
      <c r="D3033" t="s">
        <v>6335</v>
      </c>
      <c r="E3033" t="s">
        <v>257</v>
      </c>
      <c r="F3033" t="s">
        <v>230</v>
      </c>
      <c r="G3033" t="s">
        <v>9205</v>
      </c>
      <c r="H3033" t="s">
        <v>938</v>
      </c>
      <c r="I3033" t="s">
        <v>1111</v>
      </c>
      <c r="J3033" t="s">
        <v>1510</v>
      </c>
      <c r="K3033" t="s">
        <v>1645</v>
      </c>
      <c r="L3033">
        <v>11691</v>
      </c>
      <c r="M3033" t="s">
        <v>1670</v>
      </c>
      <c r="P3033" t="s">
        <v>12814</v>
      </c>
      <c r="Q3033" t="s">
        <v>1936</v>
      </c>
      <c r="R3033" t="s">
        <v>1960</v>
      </c>
      <c r="S3033" t="s">
        <v>1969</v>
      </c>
      <c r="T3033" t="s">
        <v>1671</v>
      </c>
      <c r="V3033" t="s">
        <v>1972</v>
      </c>
      <c r="W3033" t="s">
        <v>1984</v>
      </c>
      <c r="X3033" t="s">
        <v>257</v>
      </c>
      <c r="Y3033">
        <v>1515</v>
      </c>
      <c r="Z3033" t="s">
        <v>2007</v>
      </c>
      <c r="AA3033" t="s">
        <v>2014</v>
      </c>
      <c r="AB3033" t="s">
        <v>2032</v>
      </c>
      <c r="AC3033" t="s">
        <v>15406</v>
      </c>
      <c r="AD3033" t="s">
        <v>17524</v>
      </c>
      <c r="AE3033" t="s">
        <v>17819</v>
      </c>
      <c r="AF3033">
        <v>28</v>
      </c>
      <c r="AG3033" t="s">
        <v>2902</v>
      </c>
      <c r="AH3033" t="s">
        <v>2918</v>
      </c>
      <c r="AI3033">
        <v>1</v>
      </c>
      <c r="AJ3033">
        <v>1</v>
      </c>
      <c r="AK3033">
        <v>3</v>
      </c>
      <c r="AL3033">
        <v>44.02</v>
      </c>
      <c r="AO3033" t="s">
        <v>2926</v>
      </c>
      <c r="AP3033">
        <v>11050</v>
      </c>
      <c r="AR3033" t="s">
        <v>2980</v>
      </c>
      <c r="AS3033" t="s">
        <v>18465</v>
      </c>
      <c r="AT3033" t="s">
        <v>2992</v>
      </c>
      <c r="AU3033" t="s">
        <v>18556</v>
      </c>
      <c r="AV3033">
        <v>44.95</v>
      </c>
      <c r="AW3033" t="s">
        <v>6191</v>
      </c>
      <c r="AX3033" t="s">
        <v>3044</v>
      </c>
    </row>
    <row r="3034" spans="1:50">
      <c r="A3034" s="1" t="s">
        <v>51</v>
      </c>
      <c r="B3034" t="s">
        <v>119</v>
      </c>
      <c r="C3034" t="s">
        <v>164</v>
      </c>
      <c r="D3034" t="s">
        <v>6336</v>
      </c>
      <c r="E3034" t="s">
        <v>382</v>
      </c>
      <c r="F3034" t="s">
        <v>306</v>
      </c>
      <c r="G3034" t="s">
        <v>9206</v>
      </c>
      <c r="H3034" t="s">
        <v>10771</v>
      </c>
      <c r="I3034" t="s">
        <v>11524</v>
      </c>
      <c r="J3034">
        <v>2</v>
      </c>
      <c r="K3034" t="s">
        <v>1644</v>
      </c>
      <c r="L3034">
        <v>11208</v>
      </c>
      <c r="M3034" t="s">
        <v>1670</v>
      </c>
      <c r="Q3034" t="s">
        <v>1675</v>
      </c>
      <c r="R3034" t="s">
        <v>1958</v>
      </c>
      <c r="S3034" t="s">
        <v>1965</v>
      </c>
      <c r="T3034" t="s">
        <v>1671</v>
      </c>
      <c r="V3034" t="s">
        <v>1972</v>
      </c>
      <c r="X3034" t="s">
        <v>382</v>
      </c>
      <c r="Y3034">
        <v>850</v>
      </c>
      <c r="Z3034" t="s">
        <v>2009</v>
      </c>
      <c r="AA3034" t="s">
        <v>2012</v>
      </c>
      <c r="AB3034" t="s">
        <v>2029</v>
      </c>
      <c r="AC3034" t="s">
        <v>15407</v>
      </c>
      <c r="AD3034" t="s">
        <v>17525</v>
      </c>
      <c r="AE3034" t="s">
        <v>15077</v>
      </c>
      <c r="AF3034">
        <v>2</v>
      </c>
      <c r="AG3034" t="s">
        <v>2904</v>
      </c>
      <c r="AI3034">
        <v>21</v>
      </c>
      <c r="AJ3034">
        <v>2</v>
      </c>
      <c r="AK3034">
        <v>2</v>
      </c>
      <c r="AL3034">
        <v>18.6</v>
      </c>
      <c r="AM3034" t="s">
        <v>2923</v>
      </c>
      <c r="AN3034" t="s">
        <v>2924</v>
      </c>
      <c r="AO3034" t="s">
        <v>2926</v>
      </c>
      <c r="AP3034">
        <v>4668</v>
      </c>
      <c r="AQ3034" t="s">
        <v>18059</v>
      </c>
      <c r="AV3034">
        <v>2.75</v>
      </c>
      <c r="AW3034" t="s">
        <v>296</v>
      </c>
      <c r="AX3034" t="s">
        <v>3049</v>
      </c>
    </row>
    <row r="3035" spans="1:50">
      <c r="A3035" s="1" t="s">
        <v>50</v>
      </c>
      <c r="B3035" t="s">
        <v>73</v>
      </c>
      <c r="C3035" t="s">
        <v>163</v>
      </c>
      <c r="D3035" t="s">
        <v>6337</v>
      </c>
      <c r="E3035" t="s">
        <v>222</v>
      </c>
      <c r="G3035" t="s">
        <v>7029</v>
      </c>
      <c r="H3035" t="s">
        <v>1016</v>
      </c>
      <c r="I3035" t="s">
        <v>11525</v>
      </c>
      <c r="J3035" t="s">
        <v>1521</v>
      </c>
      <c r="K3035" t="s">
        <v>11827</v>
      </c>
      <c r="L3035">
        <v>11413</v>
      </c>
      <c r="M3035" t="s">
        <v>1670</v>
      </c>
      <c r="P3035" t="s">
        <v>12815</v>
      </c>
      <c r="Q3035" t="s">
        <v>1936</v>
      </c>
      <c r="R3035" t="s">
        <v>1960</v>
      </c>
      <c r="T3035" t="s">
        <v>1671</v>
      </c>
      <c r="V3035" t="s">
        <v>1972</v>
      </c>
      <c r="X3035" t="s">
        <v>222</v>
      </c>
      <c r="Y3035">
        <v>2000</v>
      </c>
      <c r="Z3035" t="s">
        <v>2007</v>
      </c>
      <c r="AA3035" t="s">
        <v>2014</v>
      </c>
      <c r="AC3035" t="s">
        <v>15408</v>
      </c>
      <c r="AD3035" t="s">
        <v>17526</v>
      </c>
      <c r="AE3035" t="s">
        <v>17820</v>
      </c>
      <c r="AF3035">
        <v>2</v>
      </c>
      <c r="AG3035" t="s">
        <v>2904</v>
      </c>
      <c r="AH3035" t="s">
        <v>1754</v>
      </c>
      <c r="AI3035">
        <v>1</v>
      </c>
      <c r="AJ3035">
        <v>2</v>
      </c>
      <c r="AK3035">
        <v>1</v>
      </c>
      <c r="AL3035">
        <v>42.19</v>
      </c>
      <c r="AO3035" t="s">
        <v>2926</v>
      </c>
      <c r="AP3035">
        <v>9000</v>
      </c>
      <c r="AS3035" t="s">
        <v>18486</v>
      </c>
      <c r="AT3035" t="s">
        <v>2992</v>
      </c>
      <c r="AU3035" t="s">
        <v>18557</v>
      </c>
      <c r="AV3035">
        <v>1.2</v>
      </c>
      <c r="AW3035" t="s">
        <v>346</v>
      </c>
      <c r="AX3035" t="s">
        <v>3044</v>
      </c>
    </row>
    <row r="3036" spans="1:50">
      <c r="A3036" s="1" t="s">
        <v>50</v>
      </c>
      <c r="B3036" t="s">
        <v>141</v>
      </c>
      <c r="C3036" t="s">
        <v>164</v>
      </c>
      <c r="D3036" t="s">
        <v>6338</v>
      </c>
      <c r="E3036" t="s">
        <v>211</v>
      </c>
      <c r="F3036" t="s">
        <v>306</v>
      </c>
      <c r="G3036" t="s">
        <v>682</v>
      </c>
      <c r="H3036" t="s">
        <v>10772</v>
      </c>
      <c r="I3036" t="s">
        <v>11507</v>
      </c>
      <c r="J3036" t="s">
        <v>1571</v>
      </c>
      <c r="K3036" t="s">
        <v>1645</v>
      </c>
      <c r="L3036">
        <v>11691</v>
      </c>
      <c r="M3036" t="s">
        <v>1670</v>
      </c>
      <c r="P3036" t="s">
        <v>12816</v>
      </c>
      <c r="Q3036" t="s">
        <v>1936</v>
      </c>
      <c r="R3036" t="s">
        <v>1958</v>
      </c>
      <c r="S3036" t="s">
        <v>1965</v>
      </c>
      <c r="T3036" t="s">
        <v>1671</v>
      </c>
      <c r="V3036" t="s">
        <v>1972</v>
      </c>
      <c r="W3036" t="s">
        <v>1984</v>
      </c>
      <c r="X3036" t="s">
        <v>211</v>
      </c>
      <c r="Y3036">
        <v>1268</v>
      </c>
      <c r="Z3036" t="s">
        <v>2007</v>
      </c>
      <c r="AA3036" t="s">
        <v>2014</v>
      </c>
      <c r="AB3036" t="s">
        <v>2029</v>
      </c>
      <c r="AC3036" t="s">
        <v>15409</v>
      </c>
      <c r="AD3036" t="s">
        <v>17527</v>
      </c>
      <c r="AE3036" t="s">
        <v>17821</v>
      </c>
      <c r="AF3036">
        <v>24</v>
      </c>
      <c r="AG3036" t="s">
        <v>2904</v>
      </c>
      <c r="AH3036" t="s">
        <v>2918</v>
      </c>
      <c r="AI3036">
        <v>3</v>
      </c>
      <c r="AJ3036">
        <v>1</v>
      </c>
      <c r="AK3036">
        <v>3</v>
      </c>
      <c r="AL3036">
        <v>34.9</v>
      </c>
      <c r="AO3036" t="s">
        <v>2926</v>
      </c>
      <c r="AP3036">
        <v>8760</v>
      </c>
      <c r="AV3036">
        <v>1.5</v>
      </c>
      <c r="AW3036" t="s">
        <v>315</v>
      </c>
      <c r="AX3036" t="s">
        <v>3044</v>
      </c>
    </row>
    <row r="3037" spans="1:50">
      <c r="A3037" s="1" t="s">
        <v>50</v>
      </c>
      <c r="B3037" t="s">
        <v>66</v>
      </c>
      <c r="C3037" t="s">
        <v>163</v>
      </c>
      <c r="D3037" t="s">
        <v>6339</v>
      </c>
      <c r="E3037" t="s">
        <v>357</v>
      </c>
      <c r="G3037" t="s">
        <v>7089</v>
      </c>
      <c r="H3037" t="s">
        <v>8026</v>
      </c>
      <c r="I3037" t="s">
        <v>11526</v>
      </c>
      <c r="J3037" t="s">
        <v>1633</v>
      </c>
      <c r="K3037" t="s">
        <v>1644</v>
      </c>
      <c r="L3037">
        <v>11233</v>
      </c>
      <c r="M3037" t="s">
        <v>1670</v>
      </c>
      <c r="P3037" t="s">
        <v>12817</v>
      </c>
      <c r="Q3037" t="s">
        <v>1936</v>
      </c>
      <c r="R3037" t="s">
        <v>1960</v>
      </c>
      <c r="T3037" t="s">
        <v>1671</v>
      </c>
      <c r="V3037" t="s">
        <v>1972</v>
      </c>
      <c r="X3037" t="s">
        <v>328</v>
      </c>
      <c r="Y3037">
        <v>904</v>
      </c>
      <c r="Z3037" t="s">
        <v>2009</v>
      </c>
      <c r="AA3037" t="s">
        <v>2017</v>
      </c>
      <c r="AC3037" t="s">
        <v>15410</v>
      </c>
      <c r="AD3037" t="s">
        <v>17528</v>
      </c>
      <c r="AE3037" t="s">
        <v>17822</v>
      </c>
      <c r="AF3037" t="s">
        <v>13051</v>
      </c>
      <c r="AG3037" t="s">
        <v>2902</v>
      </c>
      <c r="AH3037" t="s">
        <v>2918</v>
      </c>
      <c r="AI3037">
        <v>10</v>
      </c>
      <c r="AJ3037">
        <v>1</v>
      </c>
      <c r="AK3037">
        <v>2</v>
      </c>
      <c r="AL3037">
        <v>23.16</v>
      </c>
      <c r="AO3037" t="s">
        <v>2926</v>
      </c>
      <c r="AP3037">
        <v>4940</v>
      </c>
      <c r="AV3037">
        <v>13.2</v>
      </c>
      <c r="AW3037" t="s">
        <v>393</v>
      </c>
      <c r="AX3037" t="s">
        <v>3059</v>
      </c>
    </row>
    <row r="3038" spans="1:50">
      <c r="A3038" s="1" t="s">
        <v>50</v>
      </c>
      <c r="B3038" t="s">
        <v>3175</v>
      </c>
      <c r="C3038" t="s">
        <v>164</v>
      </c>
      <c r="D3038" t="s">
        <v>6340</v>
      </c>
      <c r="E3038" t="s">
        <v>356</v>
      </c>
      <c r="F3038" t="s">
        <v>288</v>
      </c>
      <c r="G3038" t="s">
        <v>624</v>
      </c>
      <c r="H3038" t="s">
        <v>892</v>
      </c>
      <c r="I3038" t="s">
        <v>1191</v>
      </c>
      <c r="J3038" t="s">
        <v>1490</v>
      </c>
      <c r="K3038" t="s">
        <v>1645</v>
      </c>
      <c r="L3038">
        <v>11691</v>
      </c>
      <c r="M3038" t="s">
        <v>1670</v>
      </c>
      <c r="P3038" t="s">
        <v>12818</v>
      </c>
      <c r="Q3038" t="s">
        <v>1936</v>
      </c>
      <c r="R3038" t="s">
        <v>1958</v>
      </c>
      <c r="S3038" t="s">
        <v>1965</v>
      </c>
      <c r="T3038" t="s">
        <v>1671</v>
      </c>
      <c r="V3038" t="s">
        <v>1972</v>
      </c>
      <c r="W3038" t="s">
        <v>1984</v>
      </c>
      <c r="X3038" t="s">
        <v>288</v>
      </c>
      <c r="Y3038">
        <v>1956</v>
      </c>
      <c r="Z3038" t="s">
        <v>2007</v>
      </c>
      <c r="AA3038" t="s">
        <v>2014</v>
      </c>
      <c r="AB3038" t="s">
        <v>2029</v>
      </c>
      <c r="AC3038" t="s">
        <v>15411</v>
      </c>
      <c r="AD3038" t="s">
        <v>17529</v>
      </c>
      <c r="AE3038" t="s">
        <v>17823</v>
      </c>
      <c r="AF3038">
        <v>20</v>
      </c>
      <c r="AG3038" t="s">
        <v>2902</v>
      </c>
      <c r="AH3038" t="s">
        <v>2918</v>
      </c>
      <c r="AI3038">
        <v>1</v>
      </c>
      <c r="AJ3038">
        <v>1</v>
      </c>
      <c r="AK3038">
        <v>5</v>
      </c>
      <c r="AL3038">
        <v>56.31</v>
      </c>
      <c r="AO3038" t="s">
        <v>2926</v>
      </c>
      <c r="AP3038">
        <v>19000</v>
      </c>
      <c r="AV3038">
        <v>1.95</v>
      </c>
      <c r="AW3038" t="s">
        <v>286</v>
      </c>
      <c r="AX3038" t="s">
        <v>3044</v>
      </c>
    </row>
    <row r="3039" spans="1:50">
      <c r="A3039" s="1" t="s">
        <v>50</v>
      </c>
      <c r="B3039" t="s">
        <v>3200</v>
      </c>
      <c r="C3039" t="s">
        <v>164</v>
      </c>
      <c r="D3039" t="s">
        <v>6341</v>
      </c>
      <c r="E3039" t="s">
        <v>270</v>
      </c>
      <c r="F3039" t="s">
        <v>406</v>
      </c>
      <c r="G3039" t="s">
        <v>9207</v>
      </c>
      <c r="H3039" t="s">
        <v>1007</v>
      </c>
      <c r="I3039" t="s">
        <v>9890</v>
      </c>
      <c r="J3039" t="s">
        <v>11327</v>
      </c>
      <c r="K3039" t="s">
        <v>1645</v>
      </c>
      <c r="L3039">
        <v>11691</v>
      </c>
      <c r="M3039" t="s">
        <v>1670</v>
      </c>
      <c r="P3039" t="s">
        <v>12819</v>
      </c>
      <c r="Q3039" t="s">
        <v>1936</v>
      </c>
      <c r="R3039" t="s">
        <v>1960</v>
      </c>
      <c r="S3039" t="s">
        <v>1967</v>
      </c>
      <c r="T3039" t="s">
        <v>1671</v>
      </c>
      <c r="V3039" t="s">
        <v>1972</v>
      </c>
      <c r="W3039" t="s">
        <v>1987</v>
      </c>
      <c r="X3039" t="s">
        <v>170</v>
      </c>
      <c r="Y3039">
        <v>1497</v>
      </c>
      <c r="Z3039" t="s">
        <v>2007</v>
      </c>
      <c r="AA3039" t="s">
        <v>2014</v>
      </c>
      <c r="AB3039" t="s">
        <v>2037</v>
      </c>
      <c r="AC3039" t="s">
        <v>15412</v>
      </c>
      <c r="AD3039" t="s">
        <v>17530</v>
      </c>
      <c r="AE3039" t="s">
        <v>17824</v>
      </c>
      <c r="AF3039">
        <v>231</v>
      </c>
      <c r="AG3039" t="s">
        <v>2906</v>
      </c>
      <c r="AH3039" t="s">
        <v>2915</v>
      </c>
      <c r="AI3039">
        <v>2</v>
      </c>
      <c r="AJ3039">
        <v>2</v>
      </c>
      <c r="AK3039">
        <v>2</v>
      </c>
      <c r="AL3039">
        <v>40.7</v>
      </c>
      <c r="AO3039" t="s">
        <v>2926</v>
      </c>
      <c r="AP3039">
        <v>10216</v>
      </c>
      <c r="AR3039" t="s">
        <v>2976</v>
      </c>
      <c r="AS3039" t="s">
        <v>2982</v>
      </c>
      <c r="AT3039" t="s">
        <v>2992</v>
      </c>
      <c r="AU3039" t="s">
        <v>18621</v>
      </c>
      <c r="AV3039">
        <v>7.28</v>
      </c>
      <c r="AW3039" t="s">
        <v>170</v>
      </c>
      <c r="AX3039" t="s">
        <v>3044</v>
      </c>
    </row>
    <row r="3040" spans="1:50">
      <c r="A3040" s="1" t="s">
        <v>50</v>
      </c>
      <c r="B3040" t="s">
        <v>149</v>
      </c>
      <c r="C3040" t="s">
        <v>164</v>
      </c>
      <c r="D3040" t="s">
        <v>6342</v>
      </c>
      <c r="E3040" t="s">
        <v>274</v>
      </c>
      <c r="F3040" t="s">
        <v>219</v>
      </c>
      <c r="G3040" t="s">
        <v>685</v>
      </c>
      <c r="H3040" t="s">
        <v>10773</v>
      </c>
      <c r="I3040" t="s">
        <v>11527</v>
      </c>
      <c r="K3040" t="s">
        <v>1654</v>
      </c>
      <c r="L3040">
        <v>11102</v>
      </c>
      <c r="M3040" t="s">
        <v>1670</v>
      </c>
      <c r="P3040" t="s">
        <v>12820</v>
      </c>
      <c r="Q3040" t="s">
        <v>1940</v>
      </c>
      <c r="R3040" t="s">
        <v>1960</v>
      </c>
      <c r="S3040" t="s">
        <v>1969</v>
      </c>
      <c r="T3040" t="s">
        <v>1671</v>
      </c>
      <c r="V3040" t="s">
        <v>1972</v>
      </c>
      <c r="W3040" t="s">
        <v>1984</v>
      </c>
      <c r="X3040" t="s">
        <v>294</v>
      </c>
      <c r="Y3040">
        <v>1557</v>
      </c>
      <c r="Z3040" t="s">
        <v>2007</v>
      </c>
      <c r="AA3040" t="s">
        <v>2026</v>
      </c>
      <c r="AB3040" t="s">
        <v>2032</v>
      </c>
      <c r="AC3040" t="s">
        <v>15037</v>
      </c>
      <c r="AD3040" t="s">
        <v>17531</v>
      </c>
      <c r="AE3040" t="s">
        <v>17825</v>
      </c>
      <c r="AF3040">
        <v>6</v>
      </c>
      <c r="AG3040" t="s">
        <v>2902</v>
      </c>
      <c r="AH3040" t="s">
        <v>2917</v>
      </c>
      <c r="AI3040">
        <v>1</v>
      </c>
      <c r="AJ3040">
        <v>1</v>
      </c>
      <c r="AK3040">
        <v>3</v>
      </c>
      <c r="AL3040" t="s">
        <v>13051</v>
      </c>
      <c r="AP3040" t="s">
        <v>13051</v>
      </c>
      <c r="AR3040" t="s">
        <v>2976</v>
      </c>
      <c r="AS3040" t="s">
        <v>2982</v>
      </c>
      <c r="AT3040" t="s">
        <v>2992</v>
      </c>
      <c r="AU3040" t="s">
        <v>3015</v>
      </c>
      <c r="AV3040">
        <v>17.6</v>
      </c>
      <c r="AW3040" t="s">
        <v>269</v>
      </c>
      <c r="AX3040" t="s">
        <v>149</v>
      </c>
    </row>
    <row r="3041" spans="1:50">
      <c r="A3041" s="1" t="s">
        <v>50</v>
      </c>
      <c r="B3041" t="s">
        <v>57</v>
      </c>
      <c r="C3041" t="s">
        <v>163</v>
      </c>
      <c r="D3041" t="s">
        <v>6343</v>
      </c>
      <c r="E3041" t="s">
        <v>6189</v>
      </c>
      <c r="G3041" t="s">
        <v>7135</v>
      </c>
      <c r="H3041" t="s">
        <v>806</v>
      </c>
      <c r="I3041" t="s">
        <v>1214</v>
      </c>
      <c r="J3041" t="s">
        <v>1522</v>
      </c>
      <c r="K3041" t="s">
        <v>1641</v>
      </c>
      <c r="L3041">
        <v>10452</v>
      </c>
      <c r="M3041" t="s">
        <v>1670</v>
      </c>
      <c r="Q3041" t="s">
        <v>1941</v>
      </c>
      <c r="R3041" t="s">
        <v>1958</v>
      </c>
      <c r="T3041" t="s">
        <v>1670</v>
      </c>
      <c r="V3041" t="s">
        <v>1972</v>
      </c>
      <c r="W3041" t="s">
        <v>1984</v>
      </c>
      <c r="X3041" t="s">
        <v>216</v>
      </c>
      <c r="Y3041">
        <v>1946</v>
      </c>
      <c r="Z3041" t="s">
        <v>2006</v>
      </c>
      <c r="AA3041" t="s">
        <v>2015</v>
      </c>
      <c r="AC3041" t="s">
        <v>15413</v>
      </c>
      <c r="AD3041" t="s">
        <v>17532</v>
      </c>
      <c r="AE3041" t="s">
        <v>17826</v>
      </c>
      <c r="AF3041">
        <v>53</v>
      </c>
      <c r="AG3041" t="s">
        <v>2902</v>
      </c>
      <c r="AH3041" t="s">
        <v>2916</v>
      </c>
      <c r="AI3041">
        <v>1</v>
      </c>
      <c r="AJ3041">
        <v>1</v>
      </c>
      <c r="AK3041">
        <v>3</v>
      </c>
      <c r="AL3041">
        <v>18.74</v>
      </c>
      <c r="AO3041" t="s">
        <v>2926</v>
      </c>
      <c r="AP3041">
        <v>4704</v>
      </c>
      <c r="AV3041">
        <v>0.95</v>
      </c>
      <c r="AW3041" t="s">
        <v>216</v>
      </c>
      <c r="AX3041" t="s">
        <v>3046</v>
      </c>
    </row>
    <row r="3042" spans="1:50">
      <c r="A3042" s="1" t="s">
        <v>50</v>
      </c>
      <c r="B3042" t="s">
        <v>126</v>
      </c>
      <c r="C3042" t="s">
        <v>163</v>
      </c>
      <c r="D3042" t="s">
        <v>6344</v>
      </c>
      <c r="E3042" t="s">
        <v>251</v>
      </c>
      <c r="G3042" t="s">
        <v>9208</v>
      </c>
      <c r="H3042" t="s">
        <v>10774</v>
      </c>
      <c r="I3042" t="s">
        <v>11528</v>
      </c>
      <c r="J3042">
        <v>7</v>
      </c>
      <c r="K3042" t="s">
        <v>1641</v>
      </c>
      <c r="L3042">
        <v>10460</v>
      </c>
      <c r="M3042" t="s">
        <v>1670</v>
      </c>
      <c r="P3042" t="s">
        <v>12821</v>
      </c>
      <c r="Q3042" t="s">
        <v>1936</v>
      </c>
      <c r="R3042" t="s">
        <v>1960</v>
      </c>
      <c r="T3042" t="s">
        <v>1671</v>
      </c>
      <c r="V3042" t="s">
        <v>1972</v>
      </c>
      <c r="X3042" t="s">
        <v>250</v>
      </c>
      <c r="Y3042" t="s">
        <v>13051</v>
      </c>
      <c r="Z3042" t="s">
        <v>2006</v>
      </c>
      <c r="AA3042" t="s">
        <v>2023</v>
      </c>
      <c r="AC3042" t="s">
        <v>15414</v>
      </c>
      <c r="AD3042" t="s">
        <v>17533</v>
      </c>
      <c r="AE3042" t="s">
        <v>17827</v>
      </c>
      <c r="AF3042">
        <v>30</v>
      </c>
      <c r="AG3042" t="s">
        <v>2909</v>
      </c>
      <c r="AH3042" t="s">
        <v>2915</v>
      </c>
      <c r="AI3042">
        <v>0</v>
      </c>
      <c r="AJ3042">
        <v>2</v>
      </c>
      <c r="AK3042">
        <v>1</v>
      </c>
      <c r="AL3042">
        <v>59.25</v>
      </c>
      <c r="AO3042" t="s">
        <v>2926</v>
      </c>
      <c r="AP3042">
        <v>12312</v>
      </c>
      <c r="AV3042">
        <v>32.6</v>
      </c>
      <c r="AW3042" t="s">
        <v>364</v>
      </c>
      <c r="AX3042" t="s">
        <v>3054</v>
      </c>
    </row>
    <row r="3043" spans="1:50">
      <c r="A3043" s="1" t="s">
        <v>50</v>
      </c>
      <c r="B3043" t="s">
        <v>52</v>
      </c>
      <c r="C3043" t="s">
        <v>163</v>
      </c>
      <c r="D3043" t="s">
        <v>6345</v>
      </c>
      <c r="E3043" t="s">
        <v>334</v>
      </c>
      <c r="G3043" t="s">
        <v>7435</v>
      </c>
      <c r="H3043" t="s">
        <v>10775</v>
      </c>
      <c r="I3043" t="s">
        <v>10601</v>
      </c>
      <c r="J3043">
        <v>220</v>
      </c>
      <c r="K3043" t="s">
        <v>1641</v>
      </c>
      <c r="L3043">
        <v>10459</v>
      </c>
      <c r="M3043" t="s">
        <v>1670</v>
      </c>
      <c r="P3043" t="s">
        <v>12822</v>
      </c>
      <c r="Q3043" t="s">
        <v>1936</v>
      </c>
      <c r="R3043" t="s">
        <v>1960</v>
      </c>
      <c r="T3043" t="s">
        <v>1671</v>
      </c>
      <c r="V3043" t="s">
        <v>1972</v>
      </c>
      <c r="X3043" t="s">
        <v>334</v>
      </c>
      <c r="Y3043">
        <v>1022</v>
      </c>
      <c r="Z3043" t="s">
        <v>2006</v>
      </c>
      <c r="AA3043" t="s">
        <v>2020</v>
      </c>
      <c r="AC3043" t="s">
        <v>15415</v>
      </c>
      <c r="AD3043" t="s">
        <v>17534</v>
      </c>
      <c r="AE3043" t="s">
        <v>17828</v>
      </c>
      <c r="AF3043">
        <v>144</v>
      </c>
      <c r="AG3043" t="s">
        <v>2902</v>
      </c>
      <c r="AH3043" t="s">
        <v>2917</v>
      </c>
      <c r="AI3043">
        <v>2</v>
      </c>
      <c r="AJ3043">
        <v>2</v>
      </c>
      <c r="AK3043">
        <v>2</v>
      </c>
      <c r="AL3043">
        <v>73</v>
      </c>
      <c r="AO3043" t="s">
        <v>2927</v>
      </c>
      <c r="AP3043">
        <v>18798</v>
      </c>
      <c r="AV3043">
        <v>9.35</v>
      </c>
      <c r="AW3043" t="s">
        <v>325</v>
      </c>
      <c r="AX3043" t="s">
        <v>3045</v>
      </c>
    </row>
    <row r="3044" spans="1:50">
      <c r="A3044" s="1" t="s">
        <v>50</v>
      </c>
      <c r="B3044" t="s">
        <v>3179</v>
      </c>
      <c r="C3044" t="s">
        <v>163</v>
      </c>
      <c r="D3044" t="s">
        <v>6346</v>
      </c>
      <c r="E3044" t="s">
        <v>207</v>
      </c>
      <c r="G3044" t="s">
        <v>9209</v>
      </c>
      <c r="H3044" t="s">
        <v>10776</v>
      </c>
      <c r="I3044" t="s">
        <v>11529</v>
      </c>
      <c r="J3044" t="s">
        <v>11774</v>
      </c>
      <c r="K3044" t="s">
        <v>1641</v>
      </c>
      <c r="L3044">
        <v>10474</v>
      </c>
      <c r="M3044" t="s">
        <v>1670</v>
      </c>
      <c r="Q3044" t="s">
        <v>1945</v>
      </c>
      <c r="R3044" t="s">
        <v>1959</v>
      </c>
      <c r="T3044" t="s">
        <v>1671</v>
      </c>
      <c r="V3044" t="s">
        <v>1980</v>
      </c>
      <c r="X3044" t="s">
        <v>348</v>
      </c>
      <c r="Y3044">
        <v>1084</v>
      </c>
      <c r="Z3044" t="s">
        <v>2006</v>
      </c>
      <c r="AA3044" t="s">
        <v>2014</v>
      </c>
      <c r="AC3044" t="s">
        <v>15416</v>
      </c>
      <c r="AD3044" t="s">
        <v>17535</v>
      </c>
      <c r="AE3044" t="s">
        <v>17829</v>
      </c>
      <c r="AF3044">
        <v>27</v>
      </c>
      <c r="AG3044" t="s">
        <v>2902</v>
      </c>
      <c r="AI3044">
        <v>28</v>
      </c>
      <c r="AJ3044">
        <v>1</v>
      </c>
      <c r="AK3044">
        <v>1</v>
      </c>
      <c r="AL3044">
        <v>53.15</v>
      </c>
      <c r="AO3044" t="s">
        <v>2927</v>
      </c>
      <c r="AP3044">
        <v>8748</v>
      </c>
      <c r="AV3044">
        <v>4.5</v>
      </c>
      <c r="AW3044" t="s">
        <v>219</v>
      </c>
      <c r="AX3044" t="s">
        <v>3064</v>
      </c>
    </row>
    <row r="3045" spans="1:50">
      <c r="A3045" s="1" t="s">
        <v>50</v>
      </c>
      <c r="B3045" t="s">
        <v>105</v>
      </c>
      <c r="C3045" t="s">
        <v>163</v>
      </c>
      <c r="D3045" t="s">
        <v>6347</v>
      </c>
      <c r="E3045" t="s">
        <v>258</v>
      </c>
      <c r="G3045" t="s">
        <v>660</v>
      </c>
      <c r="H3045" t="s">
        <v>10777</v>
      </c>
      <c r="I3045" t="s">
        <v>11530</v>
      </c>
      <c r="J3045">
        <v>1</v>
      </c>
      <c r="K3045" t="s">
        <v>1641</v>
      </c>
      <c r="L3045">
        <v>10459</v>
      </c>
      <c r="M3045" t="s">
        <v>1670</v>
      </c>
      <c r="P3045" t="s">
        <v>12823</v>
      </c>
      <c r="Q3045" t="s">
        <v>1936</v>
      </c>
      <c r="R3045" t="s">
        <v>1960</v>
      </c>
      <c r="T3045" t="s">
        <v>1671</v>
      </c>
      <c r="V3045" t="s">
        <v>1972</v>
      </c>
      <c r="X3045" t="s">
        <v>258</v>
      </c>
      <c r="Y3045">
        <v>1545</v>
      </c>
      <c r="Z3045" t="s">
        <v>2006</v>
      </c>
      <c r="AA3045" t="s">
        <v>2014</v>
      </c>
      <c r="AC3045" t="s">
        <v>15417</v>
      </c>
      <c r="AD3045" t="s">
        <v>17536</v>
      </c>
      <c r="AE3045" t="s">
        <v>17830</v>
      </c>
      <c r="AF3045" t="s">
        <v>13051</v>
      </c>
      <c r="AG3045" t="s">
        <v>2904</v>
      </c>
      <c r="AH3045" t="s">
        <v>2916</v>
      </c>
      <c r="AI3045">
        <v>3</v>
      </c>
      <c r="AJ3045">
        <v>2</v>
      </c>
      <c r="AK3045">
        <v>1</v>
      </c>
      <c r="AL3045">
        <v>68.75</v>
      </c>
      <c r="AO3045" t="s">
        <v>2926</v>
      </c>
      <c r="AP3045">
        <v>14664</v>
      </c>
      <c r="AQ3045" t="s">
        <v>18431</v>
      </c>
      <c r="AV3045">
        <v>15.4</v>
      </c>
      <c r="AW3045" t="s">
        <v>397</v>
      </c>
      <c r="AX3045" t="s">
        <v>3045</v>
      </c>
    </row>
    <row r="3046" spans="1:50">
      <c r="A3046" s="1" t="s">
        <v>50</v>
      </c>
      <c r="B3046" t="s">
        <v>3182</v>
      </c>
      <c r="C3046" t="s">
        <v>164</v>
      </c>
      <c r="D3046" t="s">
        <v>6348</v>
      </c>
      <c r="E3046" t="s">
        <v>204</v>
      </c>
      <c r="F3046" t="s">
        <v>170</v>
      </c>
      <c r="G3046" t="s">
        <v>7838</v>
      </c>
      <c r="H3046" t="s">
        <v>8141</v>
      </c>
      <c r="I3046" t="s">
        <v>11531</v>
      </c>
      <c r="J3046" t="s">
        <v>1510</v>
      </c>
      <c r="K3046" t="s">
        <v>1641</v>
      </c>
      <c r="L3046">
        <v>10458</v>
      </c>
      <c r="M3046" t="s">
        <v>1670</v>
      </c>
      <c r="P3046" t="s">
        <v>12824</v>
      </c>
      <c r="Q3046" t="s">
        <v>1955</v>
      </c>
      <c r="R3046" t="s">
        <v>1959</v>
      </c>
      <c r="S3046" t="s">
        <v>1968</v>
      </c>
      <c r="T3046" t="s">
        <v>1671</v>
      </c>
      <c r="V3046" t="s">
        <v>1973</v>
      </c>
      <c r="X3046" t="s">
        <v>372</v>
      </c>
      <c r="Y3046">
        <v>1989</v>
      </c>
      <c r="Z3046" t="s">
        <v>2006</v>
      </c>
      <c r="AA3046" t="s">
        <v>2021</v>
      </c>
      <c r="AB3046" t="s">
        <v>2034</v>
      </c>
      <c r="AC3046" t="s">
        <v>15418</v>
      </c>
      <c r="AD3046" t="s">
        <v>17537</v>
      </c>
      <c r="AE3046" t="s">
        <v>17831</v>
      </c>
      <c r="AF3046">
        <v>17</v>
      </c>
      <c r="AG3046" t="s">
        <v>2902</v>
      </c>
      <c r="AH3046" t="s">
        <v>2915</v>
      </c>
      <c r="AI3046">
        <v>7</v>
      </c>
      <c r="AJ3046">
        <v>3</v>
      </c>
      <c r="AK3046">
        <v>1</v>
      </c>
      <c r="AL3046">
        <v>72.5</v>
      </c>
      <c r="AO3046" t="s">
        <v>2927</v>
      </c>
      <c r="AP3046">
        <v>18198.6</v>
      </c>
      <c r="AV3046">
        <v>1.5</v>
      </c>
      <c r="AW3046" t="s">
        <v>299</v>
      </c>
      <c r="AX3046" t="s">
        <v>3054</v>
      </c>
    </row>
    <row r="3047" spans="1:50">
      <c r="A3047" s="1" t="s">
        <v>50</v>
      </c>
      <c r="B3047" t="s">
        <v>73</v>
      </c>
      <c r="C3047" t="s">
        <v>164</v>
      </c>
      <c r="D3047" t="s">
        <v>6349</v>
      </c>
      <c r="E3047" t="s">
        <v>318</v>
      </c>
      <c r="F3047" t="s">
        <v>340</v>
      </c>
      <c r="G3047" t="s">
        <v>9210</v>
      </c>
      <c r="H3047" t="s">
        <v>6804</v>
      </c>
      <c r="I3047" t="s">
        <v>11532</v>
      </c>
      <c r="J3047" t="s">
        <v>1501</v>
      </c>
      <c r="K3047" t="s">
        <v>1651</v>
      </c>
      <c r="L3047">
        <v>11412</v>
      </c>
      <c r="M3047" t="s">
        <v>1670</v>
      </c>
      <c r="P3047" t="s">
        <v>12825</v>
      </c>
      <c r="Q3047" t="s">
        <v>1940</v>
      </c>
      <c r="R3047" t="s">
        <v>1958</v>
      </c>
      <c r="S3047" t="s">
        <v>1965</v>
      </c>
      <c r="T3047" t="s">
        <v>1671</v>
      </c>
      <c r="V3047" t="s">
        <v>1972</v>
      </c>
      <c r="W3047" t="s">
        <v>1984</v>
      </c>
      <c r="X3047" t="s">
        <v>318</v>
      </c>
      <c r="Y3047">
        <v>1515</v>
      </c>
      <c r="Z3047" t="s">
        <v>2007</v>
      </c>
      <c r="AA3047" t="s">
        <v>2014</v>
      </c>
      <c r="AB3047" t="s">
        <v>2029</v>
      </c>
      <c r="AC3047" t="s">
        <v>15419</v>
      </c>
      <c r="AD3047" t="s">
        <v>17538</v>
      </c>
      <c r="AE3047" t="s">
        <v>17832</v>
      </c>
      <c r="AF3047">
        <v>2</v>
      </c>
      <c r="AG3047" t="s">
        <v>2903</v>
      </c>
      <c r="AH3047" t="s">
        <v>2918</v>
      </c>
      <c r="AI3047">
        <v>3</v>
      </c>
      <c r="AJ3047">
        <v>1</v>
      </c>
      <c r="AK3047">
        <v>2</v>
      </c>
      <c r="AL3047">
        <v>35.51</v>
      </c>
      <c r="AO3047" t="s">
        <v>2926</v>
      </c>
      <c r="AP3047">
        <v>7380</v>
      </c>
      <c r="AV3047">
        <v>0.9</v>
      </c>
      <c r="AW3047" t="s">
        <v>1999</v>
      </c>
      <c r="AX3047" t="s">
        <v>85</v>
      </c>
    </row>
    <row r="3048" spans="1:50">
      <c r="A3048" s="1" t="s">
        <v>50</v>
      </c>
      <c r="B3048" t="s">
        <v>70</v>
      </c>
      <c r="C3048" t="s">
        <v>164</v>
      </c>
      <c r="D3048" t="s">
        <v>6350</v>
      </c>
      <c r="E3048" t="s">
        <v>349</v>
      </c>
      <c r="F3048" t="s">
        <v>373</v>
      </c>
      <c r="G3048" t="s">
        <v>7519</v>
      </c>
      <c r="H3048" t="s">
        <v>10778</v>
      </c>
      <c r="I3048" t="s">
        <v>11533</v>
      </c>
      <c r="J3048" t="s">
        <v>1522</v>
      </c>
      <c r="K3048" t="s">
        <v>1641</v>
      </c>
      <c r="L3048">
        <v>10460</v>
      </c>
      <c r="M3048" t="s">
        <v>1670</v>
      </c>
      <c r="Q3048" t="s">
        <v>1936</v>
      </c>
      <c r="R3048" t="s">
        <v>1960</v>
      </c>
      <c r="S3048" t="s">
        <v>1969</v>
      </c>
      <c r="T3048" t="s">
        <v>1671</v>
      </c>
      <c r="V3048" t="s">
        <v>1972</v>
      </c>
      <c r="X3048" t="s">
        <v>250</v>
      </c>
      <c r="Y3048">
        <v>1534</v>
      </c>
      <c r="Z3048" t="s">
        <v>2006</v>
      </c>
      <c r="AA3048" t="s">
        <v>2015</v>
      </c>
      <c r="AB3048" t="s">
        <v>2032</v>
      </c>
      <c r="AC3048" t="s">
        <v>15420</v>
      </c>
      <c r="AD3048" t="s">
        <v>17539</v>
      </c>
      <c r="AF3048">
        <v>35</v>
      </c>
      <c r="AG3048" t="s">
        <v>2902</v>
      </c>
      <c r="AH3048" t="s">
        <v>2918</v>
      </c>
      <c r="AI3048">
        <v>2</v>
      </c>
      <c r="AJ3048">
        <v>1</v>
      </c>
      <c r="AK3048">
        <v>2</v>
      </c>
      <c r="AL3048">
        <v>24.06</v>
      </c>
      <c r="AO3048" t="s">
        <v>2927</v>
      </c>
      <c r="AP3048">
        <v>5000</v>
      </c>
      <c r="AV3048">
        <v>8.5</v>
      </c>
      <c r="AW3048" t="s">
        <v>373</v>
      </c>
      <c r="AX3048" t="s">
        <v>3047</v>
      </c>
    </row>
    <row r="3049" spans="1:50">
      <c r="A3049" s="1" t="s">
        <v>50</v>
      </c>
      <c r="B3049" t="s">
        <v>105</v>
      </c>
      <c r="C3049" t="s">
        <v>163</v>
      </c>
      <c r="D3049" t="s">
        <v>6351</v>
      </c>
      <c r="E3049" t="s">
        <v>217</v>
      </c>
      <c r="G3049" t="s">
        <v>613</v>
      </c>
      <c r="H3049" t="s">
        <v>975</v>
      </c>
      <c r="I3049" t="s">
        <v>1312</v>
      </c>
      <c r="J3049" t="s">
        <v>1522</v>
      </c>
      <c r="K3049" t="s">
        <v>1641</v>
      </c>
      <c r="L3049">
        <v>10459</v>
      </c>
      <c r="M3049" t="s">
        <v>1670</v>
      </c>
      <c r="P3049" t="s">
        <v>12826</v>
      </c>
      <c r="Q3049" t="s">
        <v>1936</v>
      </c>
      <c r="R3049" t="s">
        <v>1960</v>
      </c>
      <c r="T3049" t="s">
        <v>1671</v>
      </c>
      <c r="V3049" t="s">
        <v>1972</v>
      </c>
      <c r="X3049" t="s">
        <v>217</v>
      </c>
      <c r="Y3049">
        <v>520</v>
      </c>
      <c r="Z3049" t="s">
        <v>2006</v>
      </c>
      <c r="AA3049" t="s">
        <v>2016</v>
      </c>
      <c r="AC3049" t="s">
        <v>2280</v>
      </c>
      <c r="AD3049" t="s">
        <v>17540</v>
      </c>
      <c r="AE3049" t="s">
        <v>2708</v>
      </c>
      <c r="AF3049">
        <v>48</v>
      </c>
      <c r="AG3049" t="s">
        <v>2909</v>
      </c>
      <c r="AH3049" t="s">
        <v>1754</v>
      </c>
      <c r="AI3049">
        <v>28</v>
      </c>
      <c r="AJ3049">
        <v>1</v>
      </c>
      <c r="AK3049">
        <v>1</v>
      </c>
      <c r="AL3049">
        <v>113.54</v>
      </c>
      <c r="AO3049" t="s">
        <v>2926</v>
      </c>
      <c r="AP3049">
        <v>19200</v>
      </c>
      <c r="AV3049">
        <v>9.699999999999999</v>
      </c>
      <c r="AW3049" t="s">
        <v>3030</v>
      </c>
      <c r="AX3049" t="s">
        <v>3045</v>
      </c>
    </row>
    <row r="3050" spans="1:50">
      <c r="A3050" s="1" t="s">
        <v>50</v>
      </c>
      <c r="B3050" t="s">
        <v>107</v>
      </c>
      <c r="C3050" t="s">
        <v>163</v>
      </c>
      <c r="D3050" t="s">
        <v>6352</v>
      </c>
      <c r="E3050" t="s">
        <v>353</v>
      </c>
      <c r="G3050" t="s">
        <v>9211</v>
      </c>
      <c r="H3050" t="s">
        <v>984</v>
      </c>
      <c r="I3050" t="s">
        <v>10092</v>
      </c>
      <c r="J3050" t="s">
        <v>1562</v>
      </c>
      <c r="K3050" t="s">
        <v>1644</v>
      </c>
      <c r="L3050">
        <v>11207</v>
      </c>
      <c r="M3050" t="s">
        <v>1670</v>
      </c>
      <c r="P3050" t="s">
        <v>12827</v>
      </c>
      <c r="Q3050" t="s">
        <v>1936</v>
      </c>
      <c r="R3050" t="s">
        <v>1960</v>
      </c>
      <c r="T3050" t="s">
        <v>1671</v>
      </c>
      <c r="V3050" t="s">
        <v>1972</v>
      </c>
      <c r="W3050" t="s">
        <v>1984</v>
      </c>
      <c r="X3050" t="s">
        <v>249</v>
      </c>
      <c r="Y3050">
        <v>1250</v>
      </c>
      <c r="Z3050" t="s">
        <v>2009</v>
      </c>
      <c r="AA3050" t="s">
        <v>2020</v>
      </c>
      <c r="AC3050" t="s">
        <v>15421</v>
      </c>
      <c r="AD3050" t="s">
        <v>17541</v>
      </c>
      <c r="AE3050" t="s">
        <v>17833</v>
      </c>
      <c r="AF3050">
        <v>6</v>
      </c>
      <c r="AG3050" t="s">
        <v>2902</v>
      </c>
      <c r="AH3050" t="s">
        <v>1754</v>
      </c>
      <c r="AI3050">
        <v>5</v>
      </c>
      <c r="AJ3050">
        <v>1</v>
      </c>
      <c r="AK3050">
        <v>5</v>
      </c>
      <c r="AL3050">
        <v>8.33</v>
      </c>
      <c r="AO3050" t="s">
        <v>2926</v>
      </c>
      <c r="AP3050">
        <v>2880</v>
      </c>
      <c r="AV3050">
        <v>9.1</v>
      </c>
      <c r="AW3050" t="s">
        <v>385</v>
      </c>
      <c r="AX3050" t="s">
        <v>3060</v>
      </c>
    </row>
    <row r="3051" spans="1:50">
      <c r="A3051" s="1" t="s">
        <v>50</v>
      </c>
      <c r="B3051" t="s">
        <v>107</v>
      </c>
      <c r="C3051" t="s">
        <v>164</v>
      </c>
      <c r="D3051" t="s">
        <v>6353</v>
      </c>
      <c r="E3051" t="s">
        <v>309</v>
      </c>
      <c r="F3051" t="s">
        <v>359</v>
      </c>
      <c r="G3051" t="s">
        <v>6881</v>
      </c>
      <c r="H3051" t="s">
        <v>10779</v>
      </c>
      <c r="I3051" t="s">
        <v>11534</v>
      </c>
      <c r="J3051" t="s">
        <v>1575</v>
      </c>
      <c r="K3051" t="s">
        <v>1644</v>
      </c>
      <c r="L3051">
        <v>11206</v>
      </c>
      <c r="M3051" t="s">
        <v>1670</v>
      </c>
      <c r="P3051" t="s">
        <v>12828</v>
      </c>
      <c r="Q3051" t="s">
        <v>1940</v>
      </c>
      <c r="R3051" t="s">
        <v>1958</v>
      </c>
      <c r="S3051" t="s">
        <v>1965</v>
      </c>
      <c r="V3051" t="s">
        <v>1972</v>
      </c>
      <c r="X3051" t="s">
        <v>359</v>
      </c>
      <c r="Y3051">
        <v>1750</v>
      </c>
      <c r="Z3051" t="s">
        <v>2009</v>
      </c>
      <c r="AA3051" t="s">
        <v>2014</v>
      </c>
      <c r="AB3051" t="s">
        <v>2029</v>
      </c>
      <c r="AC3051" t="s">
        <v>15422</v>
      </c>
      <c r="AD3051" t="s">
        <v>17542</v>
      </c>
      <c r="AE3051" t="s">
        <v>17834</v>
      </c>
      <c r="AF3051">
        <v>4</v>
      </c>
      <c r="AH3051" t="s">
        <v>1754</v>
      </c>
      <c r="AI3051">
        <v>11</v>
      </c>
      <c r="AJ3051">
        <v>3</v>
      </c>
      <c r="AK3051">
        <v>9</v>
      </c>
      <c r="AL3051">
        <v>45.34</v>
      </c>
      <c r="AO3051" t="s">
        <v>2926</v>
      </c>
      <c r="AP3051">
        <v>27048</v>
      </c>
      <c r="AV3051">
        <v>2.3</v>
      </c>
      <c r="AW3051" t="s">
        <v>315</v>
      </c>
      <c r="AX3051" t="s">
        <v>3074</v>
      </c>
    </row>
    <row r="3052" spans="1:50">
      <c r="A3052" s="1" t="s">
        <v>50</v>
      </c>
      <c r="B3052" t="s">
        <v>3187</v>
      </c>
      <c r="C3052" t="s">
        <v>164</v>
      </c>
      <c r="D3052" t="s">
        <v>6354</v>
      </c>
      <c r="E3052" t="s">
        <v>232</v>
      </c>
      <c r="F3052" t="s">
        <v>235</v>
      </c>
      <c r="G3052" t="s">
        <v>9212</v>
      </c>
      <c r="H3052" t="s">
        <v>8430</v>
      </c>
      <c r="I3052" t="s">
        <v>11535</v>
      </c>
      <c r="J3052">
        <v>405</v>
      </c>
      <c r="K3052" t="s">
        <v>1656</v>
      </c>
      <c r="L3052">
        <v>11101</v>
      </c>
      <c r="M3052" t="s">
        <v>1670</v>
      </c>
      <c r="P3052" t="s">
        <v>12829</v>
      </c>
      <c r="Q3052" t="s">
        <v>1936</v>
      </c>
      <c r="R3052" t="s">
        <v>1960</v>
      </c>
      <c r="S3052" t="s">
        <v>1969</v>
      </c>
      <c r="T3052" t="s">
        <v>1671</v>
      </c>
      <c r="V3052" t="s">
        <v>1972</v>
      </c>
      <c r="W3052" t="s">
        <v>1984</v>
      </c>
      <c r="X3052" t="s">
        <v>232</v>
      </c>
      <c r="Y3052">
        <v>913</v>
      </c>
      <c r="Z3052" t="s">
        <v>2007</v>
      </c>
      <c r="AA3052" t="s">
        <v>2014</v>
      </c>
      <c r="AB3052" t="s">
        <v>2032</v>
      </c>
      <c r="AC3052" t="s">
        <v>14607</v>
      </c>
      <c r="AD3052" t="s">
        <v>17543</v>
      </c>
      <c r="AE3052" t="s">
        <v>17835</v>
      </c>
      <c r="AF3052">
        <v>143</v>
      </c>
      <c r="AG3052" t="s">
        <v>2904</v>
      </c>
      <c r="AH3052" t="s">
        <v>2916</v>
      </c>
      <c r="AI3052">
        <v>1</v>
      </c>
      <c r="AJ3052">
        <v>1</v>
      </c>
      <c r="AK3052">
        <v>2</v>
      </c>
      <c r="AL3052" t="s">
        <v>13051</v>
      </c>
      <c r="AO3052" t="s">
        <v>2926</v>
      </c>
      <c r="AP3052" t="s">
        <v>13051</v>
      </c>
      <c r="AR3052" t="s">
        <v>2979</v>
      </c>
      <c r="AS3052" t="s">
        <v>18487</v>
      </c>
      <c r="AT3052" t="s">
        <v>2992</v>
      </c>
      <c r="AU3052" t="s">
        <v>3002</v>
      </c>
      <c r="AV3052">
        <v>24.05</v>
      </c>
      <c r="AW3052" t="s">
        <v>208</v>
      </c>
      <c r="AX3052" t="s">
        <v>3044</v>
      </c>
    </row>
    <row r="3053" spans="1:50">
      <c r="A3053" s="1" t="s">
        <v>50</v>
      </c>
      <c r="B3053" t="s">
        <v>53</v>
      </c>
      <c r="C3053" t="s">
        <v>163</v>
      </c>
      <c r="D3053" t="s">
        <v>6355</v>
      </c>
      <c r="E3053" t="s">
        <v>200</v>
      </c>
      <c r="G3053" t="s">
        <v>9213</v>
      </c>
      <c r="H3053" t="s">
        <v>10780</v>
      </c>
      <c r="I3053" t="s">
        <v>1200</v>
      </c>
      <c r="J3053">
        <v>711</v>
      </c>
      <c r="K3053" t="s">
        <v>1649</v>
      </c>
      <c r="L3053">
        <v>11692</v>
      </c>
      <c r="M3053" t="s">
        <v>1670</v>
      </c>
      <c r="P3053" t="s">
        <v>12830</v>
      </c>
      <c r="Q3053" t="s">
        <v>1936</v>
      </c>
      <c r="R3053" t="s">
        <v>1960</v>
      </c>
      <c r="T3053" t="s">
        <v>1671</v>
      </c>
      <c r="V3053" t="s">
        <v>1972</v>
      </c>
      <c r="W3053" t="s">
        <v>1984</v>
      </c>
      <c r="X3053" t="s">
        <v>200</v>
      </c>
      <c r="Y3053">
        <v>1657</v>
      </c>
      <c r="Z3053" t="s">
        <v>2007</v>
      </c>
      <c r="AA3053" t="s">
        <v>2014</v>
      </c>
      <c r="AC3053" t="s">
        <v>15423</v>
      </c>
      <c r="AD3053" t="s">
        <v>17544</v>
      </c>
      <c r="AE3053" t="s">
        <v>17836</v>
      </c>
      <c r="AF3053">
        <v>103</v>
      </c>
      <c r="AG3053" t="s">
        <v>2906</v>
      </c>
      <c r="AH3053" t="s">
        <v>2917</v>
      </c>
      <c r="AI3053">
        <v>5</v>
      </c>
      <c r="AJ3053">
        <v>1</v>
      </c>
      <c r="AK3053">
        <v>4</v>
      </c>
      <c r="AL3053">
        <v>50.99</v>
      </c>
      <c r="AO3053" t="s">
        <v>2926</v>
      </c>
      <c r="AP3053">
        <v>15000</v>
      </c>
      <c r="AV3053">
        <v>55.6</v>
      </c>
      <c r="AW3053" t="s">
        <v>397</v>
      </c>
      <c r="AX3053" t="s">
        <v>85</v>
      </c>
    </row>
    <row r="3054" spans="1:50">
      <c r="A3054" s="1" t="s">
        <v>50</v>
      </c>
      <c r="B3054" t="s">
        <v>105</v>
      </c>
      <c r="C3054" t="s">
        <v>163</v>
      </c>
      <c r="D3054" t="s">
        <v>6356</v>
      </c>
      <c r="E3054" t="s">
        <v>275</v>
      </c>
      <c r="G3054" t="s">
        <v>6783</v>
      </c>
      <c r="H3054" t="s">
        <v>8598</v>
      </c>
      <c r="I3054" t="s">
        <v>11536</v>
      </c>
      <c r="J3054">
        <v>2</v>
      </c>
      <c r="K3054" t="s">
        <v>1641</v>
      </c>
      <c r="L3054">
        <v>10466</v>
      </c>
      <c r="M3054" t="s">
        <v>1670</v>
      </c>
      <c r="P3054" t="s">
        <v>12831</v>
      </c>
      <c r="Q3054" t="s">
        <v>1936</v>
      </c>
      <c r="R3054" t="s">
        <v>1960</v>
      </c>
      <c r="T3054" t="s">
        <v>1671</v>
      </c>
      <c r="V3054" t="s">
        <v>1972</v>
      </c>
      <c r="W3054" t="s">
        <v>1986</v>
      </c>
      <c r="X3054" t="s">
        <v>275</v>
      </c>
      <c r="Y3054">
        <v>1678</v>
      </c>
      <c r="Z3054" t="s">
        <v>2006</v>
      </c>
      <c r="AA3054" t="s">
        <v>2011</v>
      </c>
      <c r="AC3054" t="s">
        <v>15400</v>
      </c>
      <c r="AD3054" t="s">
        <v>17545</v>
      </c>
      <c r="AE3054" t="s">
        <v>17837</v>
      </c>
      <c r="AF3054" t="s">
        <v>13051</v>
      </c>
      <c r="AG3054" t="s">
        <v>2904</v>
      </c>
      <c r="AH3054" t="s">
        <v>2917</v>
      </c>
      <c r="AI3054">
        <v>0</v>
      </c>
      <c r="AJ3054">
        <v>2</v>
      </c>
      <c r="AK3054">
        <v>5</v>
      </c>
      <c r="AL3054">
        <v>22.46</v>
      </c>
      <c r="AO3054" t="s">
        <v>2926</v>
      </c>
      <c r="AP3054">
        <v>8762</v>
      </c>
      <c r="AV3054">
        <v>3.4</v>
      </c>
      <c r="AW3054" t="s">
        <v>397</v>
      </c>
      <c r="AX3054" t="s">
        <v>105</v>
      </c>
    </row>
    <row r="3055" spans="1:50">
      <c r="A3055" s="1" t="s">
        <v>50</v>
      </c>
      <c r="B3055" t="s">
        <v>118</v>
      </c>
      <c r="C3055" t="s">
        <v>164</v>
      </c>
      <c r="D3055" t="s">
        <v>6357</v>
      </c>
      <c r="E3055" t="s">
        <v>6189</v>
      </c>
      <c r="F3055" t="s">
        <v>359</v>
      </c>
      <c r="G3055" t="s">
        <v>9214</v>
      </c>
      <c r="H3055" t="s">
        <v>892</v>
      </c>
      <c r="I3055" t="s">
        <v>1214</v>
      </c>
      <c r="J3055" t="s">
        <v>1489</v>
      </c>
      <c r="K3055" t="s">
        <v>1641</v>
      </c>
      <c r="L3055">
        <v>10452</v>
      </c>
      <c r="M3055" t="s">
        <v>1670</v>
      </c>
      <c r="Q3055" t="s">
        <v>1941</v>
      </c>
      <c r="R3055" t="s">
        <v>1958</v>
      </c>
      <c r="S3055" t="s">
        <v>1965</v>
      </c>
      <c r="T3055" t="s">
        <v>1670</v>
      </c>
      <c r="V3055" t="s">
        <v>1972</v>
      </c>
      <c r="X3055" t="s">
        <v>216</v>
      </c>
      <c r="Y3055">
        <v>1518</v>
      </c>
      <c r="Z3055" t="s">
        <v>2006</v>
      </c>
      <c r="AA3055" t="s">
        <v>2015</v>
      </c>
      <c r="AB3055" t="s">
        <v>2029</v>
      </c>
      <c r="AC3055" t="s">
        <v>15424</v>
      </c>
      <c r="AD3055" t="s">
        <v>17546</v>
      </c>
      <c r="AE3055" t="s">
        <v>17838</v>
      </c>
      <c r="AF3055">
        <v>53</v>
      </c>
      <c r="AG3055" t="s">
        <v>2902</v>
      </c>
      <c r="AH3055" t="s">
        <v>2917</v>
      </c>
      <c r="AI3055">
        <v>3</v>
      </c>
      <c r="AJ3055">
        <v>1</v>
      </c>
      <c r="AK3055">
        <v>2</v>
      </c>
      <c r="AL3055">
        <v>18.31</v>
      </c>
      <c r="AP3055">
        <v>3804</v>
      </c>
      <c r="AV3055">
        <v>1.05</v>
      </c>
      <c r="AW3055" t="s">
        <v>216</v>
      </c>
      <c r="AX3055" t="s">
        <v>3046</v>
      </c>
    </row>
    <row r="3056" spans="1:50">
      <c r="A3056" s="1" t="s">
        <v>50</v>
      </c>
      <c r="B3056" t="s">
        <v>53</v>
      </c>
      <c r="C3056" t="s">
        <v>163</v>
      </c>
      <c r="D3056" t="s">
        <v>6358</v>
      </c>
      <c r="E3056" t="s">
        <v>283</v>
      </c>
      <c r="G3056" t="s">
        <v>649</v>
      </c>
      <c r="H3056" t="s">
        <v>780</v>
      </c>
      <c r="I3056" t="s">
        <v>11537</v>
      </c>
      <c r="J3056" t="s">
        <v>1495</v>
      </c>
      <c r="K3056" t="s">
        <v>1645</v>
      </c>
      <c r="L3056">
        <v>11691</v>
      </c>
      <c r="M3056" t="s">
        <v>1670</v>
      </c>
      <c r="P3056" t="s">
        <v>12832</v>
      </c>
      <c r="Q3056" t="s">
        <v>1936</v>
      </c>
      <c r="R3056" t="s">
        <v>1960</v>
      </c>
      <c r="T3056" t="s">
        <v>1671</v>
      </c>
      <c r="V3056" t="s">
        <v>1972</v>
      </c>
      <c r="W3056" t="s">
        <v>1984</v>
      </c>
      <c r="X3056" t="s">
        <v>217</v>
      </c>
      <c r="Y3056">
        <v>906</v>
      </c>
      <c r="Z3056" t="s">
        <v>2007</v>
      </c>
      <c r="AA3056" t="s">
        <v>2014</v>
      </c>
      <c r="AC3056" t="s">
        <v>15425</v>
      </c>
      <c r="AD3056" t="s">
        <v>17547</v>
      </c>
      <c r="AE3056" t="s">
        <v>17839</v>
      </c>
      <c r="AF3056">
        <v>107</v>
      </c>
      <c r="AG3056" t="s">
        <v>2902</v>
      </c>
      <c r="AH3056" t="s">
        <v>2917</v>
      </c>
      <c r="AI3056">
        <v>26</v>
      </c>
      <c r="AJ3056">
        <v>1</v>
      </c>
      <c r="AK3056">
        <v>1</v>
      </c>
      <c r="AL3056">
        <v>47.47</v>
      </c>
      <c r="AO3056" t="s">
        <v>2926</v>
      </c>
      <c r="AP3056">
        <v>8028</v>
      </c>
      <c r="AR3056" t="s">
        <v>2977</v>
      </c>
      <c r="AS3056" t="s">
        <v>18486</v>
      </c>
      <c r="AT3056" t="s">
        <v>2992</v>
      </c>
      <c r="AU3056" t="s">
        <v>18554</v>
      </c>
      <c r="AV3056">
        <v>23.85</v>
      </c>
      <c r="AW3056" t="s">
        <v>1994</v>
      </c>
      <c r="AX3056" t="s">
        <v>3200</v>
      </c>
    </row>
    <row r="3057" spans="1:50">
      <c r="A3057" s="1" t="s">
        <v>50</v>
      </c>
      <c r="B3057" t="s">
        <v>103</v>
      </c>
      <c r="C3057" t="s">
        <v>163</v>
      </c>
      <c r="D3057" t="s">
        <v>6359</v>
      </c>
      <c r="E3057" t="s">
        <v>223</v>
      </c>
      <c r="G3057" t="s">
        <v>588</v>
      </c>
      <c r="H3057" t="s">
        <v>849</v>
      </c>
      <c r="I3057" t="s">
        <v>11538</v>
      </c>
      <c r="J3057" t="s">
        <v>11345</v>
      </c>
      <c r="K3057" t="s">
        <v>1644</v>
      </c>
      <c r="L3057">
        <v>11212</v>
      </c>
      <c r="M3057" t="s">
        <v>1670</v>
      </c>
      <c r="P3057" t="s">
        <v>12833</v>
      </c>
      <c r="Q3057" t="s">
        <v>1936</v>
      </c>
      <c r="R3057" t="s">
        <v>1960</v>
      </c>
      <c r="T3057" t="s">
        <v>1671</v>
      </c>
      <c r="V3057" t="s">
        <v>1972</v>
      </c>
      <c r="X3057" t="s">
        <v>320</v>
      </c>
      <c r="Y3057">
        <v>508</v>
      </c>
      <c r="Z3057" t="s">
        <v>2009</v>
      </c>
      <c r="AA3057" t="s">
        <v>2014</v>
      </c>
      <c r="AC3057" t="s">
        <v>15426</v>
      </c>
      <c r="AD3057" t="s">
        <v>17548</v>
      </c>
      <c r="AE3057" t="s">
        <v>17840</v>
      </c>
      <c r="AF3057">
        <v>23</v>
      </c>
      <c r="AI3057">
        <v>32</v>
      </c>
      <c r="AJ3057">
        <v>1</v>
      </c>
      <c r="AK3057">
        <v>1</v>
      </c>
      <c r="AL3057">
        <v>37.69</v>
      </c>
      <c r="AO3057" t="s">
        <v>2926</v>
      </c>
      <c r="AP3057">
        <v>6204</v>
      </c>
      <c r="AV3057">
        <v>11.25</v>
      </c>
      <c r="AW3057" t="s">
        <v>291</v>
      </c>
      <c r="AX3057" t="s">
        <v>3069</v>
      </c>
    </row>
    <row r="3058" spans="1:50">
      <c r="A3058" s="1" t="s">
        <v>50</v>
      </c>
      <c r="B3058" t="s">
        <v>57</v>
      </c>
      <c r="C3058" t="s">
        <v>163</v>
      </c>
      <c r="D3058" t="s">
        <v>6360</v>
      </c>
      <c r="E3058" t="s">
        <v>6185</v>
      </c>
      <c r="G3058" t="s">
        <v>9215</v>
      </c>
      <c r="H3058" t="s">
        <v>10781</v>
      </c>
      <c r="I3058" t="s">
        <v>1214</v>
      </c>
      <c r="J3058" t="s">
        <v>10955</v>
      </c>
      <c r="K3058" t="s">
        <v>1641</v>
      </c>
      <c r="L3058">
        <v>10452</v>
      </c>
      <c r="M3058" t="s">
        <v>1670</v>
      </c>
      <c r="P3058" t="s">
        <v>11907</v>
      </c>
      <c r="Q3058" t="s">
        <v>1953</v>
      </c>
      <c r="R3058" t="s">
        <v>1961</v>
      </c>
      <c r="T3058" t="s">
        <v>1670</v>
      </c>
      <c r="U3058" t="s">
        <v>50</v>
      </c>
      <c r="V3058" t="s">
        <v>1972</v>
      </c>
      <c r="W3058" t="s">
        <v>1984</v>
      </c>
      <c r="X3058" t="s">
        <v>216</v>
      </c>
      <c r="Y3058">
        <v>1600</v>
      </c>
      <c r="Z3058" t="s">
        <v>2006</v>
      </c>
      <c r="AA3058" t="s">
        <v>2015</v>
      </c>
      <c r="AC3058" t="s">
        <v>15427</v>
      </c>
      <c r="AD3058" t="s">
        <v>17549</v>
      </c>
      <c r="AE3058" t="s">
        <v>17841</v>
      </c>
      <c r="AF3058">
        <v>53</v>
      </c>
      <c r="AG3058" t="s">
        <v>2902</v>
      </c>
      <c r="AH3058" t="s">
        <v>2917</v>
      </c>
      <c r="AI3058">
        <v>3</v>
      </c>
      <c r="AJ3058">
        <v>1</v>
      </c>
      <c r="AK3058">
        <v>2</v>
      </c>
      <c r="AL3058">
        <v>40.42</v>
      </c>
      <c r="AO3058" t="s">
        <v>2926</v>
      </c>
      <c r="AP3058">
        <v>8400</v>
      </c>
      <c r="AV3058">
        <v>94.25</v>
      </c>
      <c r="AW3058" t="s">
        <v>226</v>
      </c>
      <c r="AX3058" t="s">
        <v>3046</v>
      </c>
    </row>
    <row r="3059" spans="1:50">
      <c r="A3059" s="1" t="s">
        <v>50</v>
      </c>
      <c r="B3059" t="s">
        <v>74</v>
      </c>
      <c r="C3059" t="s">
        <v>163</v>
      </c>
      <c r="D3059" t="s">
        <v>6361</v>
      </c>
      <c r="E3059" t="s">
        <v>167</v>
      </c>
      <c r="G3059" t="s">
        <v>702</v>
      </c>
      <c r="H3059" t="s">
        <v>10782</v>
      </c>
      <c r="I3059" t="s">
        <v>10692</v>
      </c>
      <c r="J3059" t="s">
        <v>1522</v>
      </c>
      <c r="K3059" t="s">
        <v>1641</v>
      </c>
      <c r="L3059">
        <v>10453</v>
      </c>
      <c r="M3059" t="s">
        <v>1670</v>
      </c>
      <c r="P3059" t="s">
        <v>12834</v>
      </c>
      <c r="Q3059" t="s">
        <v>1940</v>
      </c>
      <c r="R3059" t="s">
        <v>1960</v>
      </c>
      <c r="T3059" t="s">
        <v>1671</v>
      </c>
      <c r="V3059" t="s">
        <v>1972</v>
      </c>
      <c r="X3059" t="s">
        <v>167</v>
      </c>
      <c r="Y3059" t="s">
        <v>13051</v>
      </c>
      <c r="Z3059" t="s">
        <v>2006</v>
      </c>
      <c r="AA3059" t="s">
        <v>2021</v>
      </c>
      <c r="AC3059" t="s">
        <v>15428</v>
      </c>
      <c r="AD3059" t="s">
        <v>17550</v>
      </c>
      <c r="AE3059" t="s">
        <v>17842</v>
      </c>
      <c r="AF3059" t="s">
        <v>13051</v>
      </c>
      <c r="AG3059" t="s">
        <v>2902</v>
      </c>
      <c r="AH3059" t="s">
        <v>2915</v>
      </c>
      <c r="AI3059">
        <v>14</v>
      </c>
      <c r="AJ3059">
        <v>3</v>
      </c>
      <c r="AK3059">
        <v>2</v>
      </c>
      <c r="AL3059">
        <v>37.08</v>
      </c>
      <c r="AO3059" t="s">
        <v>2926</v>
      </c>
      <c r="AP3059">
        <v>10908</v>
      </c>
      <c r="AV3059">
        <v>9.199999999999999</v>
      </c>
      <c r="AW3059" t="s">
        <v>198</v>
      </c>
      <c r="AX3059" t="s">
        <v>3054</v>
      </c>
    </row>
    <row r="3060" spans="1:50">
      <c r="A3060" s="1" t="s">
        <v>50</v>
      </c>
      <c r="B3060" t="s">
        <v>73</v>
      </c>
      <c r="C3060" t="s">
        <v>163</v>
      </c>
      <c r="D3060" t="s">
        <v>6362</v>
      </c>
      <c r="E3060" t="s">
        <v>242</v>
      </c>
      <c r="G3060" t="s">
        <v>9216</v>
      </c>
      <c r="H3060" t="s">
        <v>10783</v>
      </c>
      <c r="I3060" t="s">
        <v>11539</v>
      </c>
      <c r="J3060" t="s">
        <v>1475</v>
      </c>
      <c r="K3060" t="s">
        <v>1645</v>
      </c>
      <c r="L3060">
        <v>11691</v>
      </c>
      <c r="M3060" t="s">
        <v>1670</v>
      </c>
      <c r="P3060" t="s">
        <v>12835</v>
      </c>
      <c r="Q3060" t="s">
        <v>1936</v>
      </c>
      <c r="R3060" t="s">
        <v>1963</v>
      </c>
      <c r="T3060" t="s">
        <v>1671</v>
      </c>
      <c r="V3060" t="s">
        <v>1972</v>
      </c>
      <c r="W3060" t="s">
        <v>1983</v>
      </c>
      <c r="X3060" t="s">
        <v>242</v>
      </c>
      <c r="Y3060">
        <v>733</v>
      </c>
      <c r="Z3060" t="s">
        <v>2007</v>
      </c>
      <c r="AA3060" t="s">
        <v>2014</v>
      </c>
      <c r="AC3060" t="s">
        <v>15429</v>
      </c>
      <c r="AD3060" t="s">
        <v>17551</v>
      </c>
      <c r="AE3060" t="s">
        <v>17843</v>
      </c>
      <c r="AF3060">
        <v>140</v>
      </c>
      <c r="AG3060" t="s">
        <v>2909</v>
      </c>
      <c r="AH3060" t="s">
        <v>2915</v>
      </c>
      <c r="AI3060">
        <v>8</v>
      </c>
      <c r="AJ3060">
        <v>1</v>
      </c>
      <c r="AK3060">
        <v>1</v>
      </c>
      <c r="AL3060">
        <v>185.95</v>
      </c>
      <c r="AO3060" t="s">
        <v>2926</v>
      </c>
      <c r="AP3060">
        <v>30608</v>
      </c>
      <c r="AV3060">
        <v>0.8</v>
      </c>
      <c r="AW3060" t="s">
        <v>372</v>
      </c>
      <c r="AX3060" t="s">
        <v>3044</v>
      </c>
    </row>
    <row r="3061" spans="1:50">
      <c r="A3061" s="1" t="s">
        <v>50</v>
      </c>
      <c r="B3061" t="s">
        <v>111</v>
      </c>
      <c r="C3061" t="s">
        <v>164</v>
      </c>
      <c r="D3061" t="s">
        <v>6363</v>
      </c>
      <c r="E3061" t="s">
        <v>2001</v>
      </c>
      <c r="F3061" t="s">
        <v>195</v>
      </c>
      <c r="G3061" t="s">
        <v>9217</v>
      </c>
      <c r="H3061" t="s">
        <v>870</v>
      </c>
      <c r="I3061" t="s">
        <v>11540</v>
      </c>
      <c r="J3061" t="s">
        <v>11185</v>
      </c>
      <c r="K3061" t="s">
        <v>1641</v>
      </c>
      <c r="L3061">
        <v>10473</v>
      </c>
      <c r="M3061" t="s">
        <v>1670</v>
      </c>
      <c r="P3061" t="s">
        <v>12836</v>
      </c>
      <c r="Q3061" t="s">
        <v>1936</v>
      </c>
      <c r="R3061" t="s">
        <v>1960</v>
      </c>
      <c r="S3061" t="s">
        <v>1969</v>
      </c>
      <c r="T3061" t="s">
        <v>1671</v>
      </c>
      <c r="V3061" t="s">
        <v>1972</v>
      </c>
      <c r="X3061" t="s">
        <v>2001</v>
      </c>
      <c r="Y3061">
        <v>2220.4</v>
      </c>
      <c r="Z3061" t="s">
        <v>2006</v>
      </c>
      <c r="AB3061" t="s">
        <v>2032</v>
      </c>
      <c r="AC3061" t="s">
        <v>15430</v>
      </c>
      <c r="AD3061" t="s">
        <v>17552</v>
      </c>
      <c r="AE3061" t="s">
        <v>17844</v>
      </c>
      <c r="AF3061" t="s">
        <v>13051</v>
      </c>
      <c r="AG3061" t="s">
        <v>2903</v>
      </c>
      <c r="AH3061" t="s">
        <v>1754</v>
      </c>
      <c r="AI3061">
        <v>3</v>
      </c>
      <c r="AJ3061">
        <v>2</v>
      </c>
      <c r="AK3061">
        <v>3</v>
      </c>
      <c r="AL3061">
        <v>70.63</v>
      </c>
      <c r="AO3061" t="s">
        <v>2926</v>
      </c>
      <c r="AP3061">
        <v>21308</v>
      </c>
      <c r="AV3061">
        <v>14.5</v>
      </c>
      <c r="AW3061" t="s">
        <v>248</v>
      </c>
      <c r="AX3061" t="s">
        <v>18655</v>
      </c>
    </row>
    <row r="3062" spans="1:50">
      <c r="A3062" s="1" t="s">
        <v>50</v>
      </c>
      <c r="B3062" t="s">
        <v>3193</v>
      </c>
      <c r="C3062" t="s">
        <v>164</v>
      </c>
      <c r="D3062" t="s">
        <v>6364</v>
      </c>
      <c r="E3062" t="s">
        <v>257</v>
      </c>
      <c r="F3062" t="s">
        <v>6767</v>
      </c>
      <c r="G3062" t="s">
        <v>462</v>
      </c>
      <c r="H3062" t="s">
        <v>10784</v>
      </c>
      <c r="I3062" t="s">
        <v>1111</v>
      </c>
      <c r="J3062" t="s">
        <v>1581</v>
      </c>
      <c r="K3062" t="s">
        <v>1645</v>
      </c>
      <c r="L3062">
        <v>11691</v>
      </c>
      <c r="M3062" t="s">
        <v>1670</v>
      </c>
      <c r="P3062" t="s">
        <v>12837</v>
      </c>
      <c r="Q3062" t="s">
        <v>1936</v>
      </c>
      <c r="R3062" t="s">
        <v>1958</v>
      </c>
      <c r="S3062" t="s">
        <v>1965</v>
      </c>
      <c r="T3062" t="s">
        <v>1671</v>
      </c>
      <c r="V3062" t="s">
        <v>1972</v>
      </c>
      <c r="W3062" t="s">
        <v>1984</v>
      </c>
      <c r="X3062" t="s">
        <v>257</v>
      </c>
      <c r="Y3062">
        <v>1515</v>
      </c>
      <c r="Z3062" t="s">
        <v>2007</v>
      </c>
      <c r="AA3062" t="s">
        <v>2014</v>
      </c>
      <c r="AB3062" t="s">
        <v>2029</v>
      </c>
      <c r="AC3062" t="s">
        <v>15431</v>
      </c>
      <c r="AD3062" t="s">
        <v>17553</v>
      </c>
      <c r="AE3062" t="s">
        <v>17845</v>
      </c>
      <c r="AF3062">
        <v>26</v>
      </c>
      <c r="AG3062" t="s">
        <v>2902</v>
      </c>
      <c r="AH3062" t="s">
        <v>2918</v>
      </c>
      <c r="AI3062">
        <v>1</v>
      </c>
      <c r="AJ3062">
        <v>1</v>
      </c>
      <c r="AK3062">
        <v>3</v>
      </c>
      <c r="AL3062">
        <v>20.1</v>
      </c>
      <c r="AO3062" t="s">
        <v>2926</v>
      </c>
      <c r="AP3062">
        <v>5044</v>
      </c>
      <c r="AV3062">
        <v>0.75</v>
      </c>
      <c r="AW3062" t="s">
        <v>278</v>
      </c>
      <c r="AX3062" t="s">
        <v>85</v>
      </c>
    </row>
    <row r="3063" spans="1:50">
      <c r="A3063" s="1" t="s">
        <v>50</v>
      </c>
      <c r="B3063" t="s">
        <v>95</v>
      </c>
      <c r="C3063" t="s">
        <v>164</v>
      </c>
      <c r="D3063" t="s">
        <v>6365</v>
      </c>
      <c r="E3063" t="s">
        <v>231</v>
      </c>
      <c r="F3063" t="s">
        <v>376</v>
      </c>
      <c r="G3063" t="s">
        <v>507</v>
      </c>
      <c r="H3063" t="s">
        <v>1105</v>
      </c>
      <c r="I3063" t="s">
        <v>11541</v>
      </c>
      <c r="J3063">
        <v>1</v>
      </c>
      <c r="K3063" t="s">
        <v>1641</v>
      </c>
      <c r="L3063">
        <v>10456</v>
      </c>
      <c r="M3063" t="s">
        <v>1670</v>
      </c>
      <c r="Q3063" t="s">
        <v>1675</v>
      </c>
      <c r="R3063" t="s">
        <v>1962</v>
      </c>
      <c r="S3063" t="s">
        <v>1968</v>
      </c>
      <c r="T3063" t="s">
        <v>1671</v>
      </c>
      <c r="V3063" t="s">
        <v>1972</v>
      </c>
      <c r="X3063" t="s">
        <v>231</v>
      </c>
      <c r="Y3063">
        <v>1375</v>
      </c>
      <c r="Z3063" t="s">
        <v>2006</v>
      </c>
      <c r="AA3063" t="s">
        <v>2025</v>
      </c>
      <c r="AB3063" t="s">
        <v>2029</v>
      </c>
      <c r="AC3063" t="s">
        <v>14238</v>
      </c>
      <c r="AD3063" t="s">
        <v>17554</v>
      </c>
      <c r="AE3063" t="s">
        <v>17846</v>
      </c>
      <c r="AF3063">
        <v>42</v>
      </c>
      <c r="AG3063" t="s">
        <v>2902</v>
      </c>
      <c r="AH3063" t="s">
        <v>2917</v>
      </c>
      <c r="AI3063">
        <v>25</v>
      </c>
      <c r="AJ3063">
        <v>1</v>
      </c>
      <c r="AK3063">
        <v>1</v>
      </c>
      <c r="AL3063">
        <v>69.91</v>
      </c>
      <c r="AO3063" t="s">
        <v>2926</v>
      </c>
      <c r="AP3063">
        <v>11508</v>
      </c>
      <c r="AV3063">
        <v>0.75</v>
      </c>
      <c r="AW3063" t="s">
        <v>376</v>
      </c>
      <c r="AX3063" t="s">
        <v>95</v>
      </c>
    </row>
    <row r="3064" spans="1:50">
      <c r="A3064" s="1" t="s">
        <v>50</v>
      </c>
      <c r="B3064" t="s">
        <v>133</v>
      </c>
      <c r="C3064" t="s">
        <v>163</v>
      </c>
      <c r="D3064" t="s">
        <v>6366</v>
      </c>
      <c r="E3064" t="s">
        <v>6185</v>
      </c>
      <c r="G3064" t="s">
        <v>9218</v>
      </c>
      <c r="H3064" t="s">
        <v>843</v>
      </c>
      <c r="I3064" t="s">
        <v>11542</v>
      </c>
      <c r="J3064" t="s">
        <v>1503</v>
      </c>
      <c r="K3064" t="s">
        <v>1644</v>
      </c>
      <c r="L3064">
        <v>11212</v>
      </c>
      <c r="M3064" t="s">
        <v>1670</v>
      </c>
      <c r="P3064" t="s">
        <v>1675</v>
      </c>
      <c r="Q3064" t="s">
        <v>1937</v>
      </c>
      <c r="R3064" t="s">
        <v>1962</v>
      </c>
      <c r="T3064" t="s">
        <v>1671</v>
      </c>
      <c r="V3064" t="s">
        <v>1972</v>
      </c>
      <c r="X3064" t="s">
        <v>1989</v>
      </c>
      <c r="Y3064">
        <v>710</v>
      </c>
      <c r="Z3064" t="s">
        <v>2009</v>
      </c>
      <c r="AA3064" t="s">
        <v>2013</v>
      </c>
      <c r="AC3064" t="s">
        <v>15432</v>
      </c>
      <c r="AD3064" t="s">
        <v>17555</v>
      </c>
      <c r="AE3064" t="s">
        <v>17847</v>
      </c>
      <c r="AF3064">
        <v>90</v>
      </c>
      <c r="AG3064" t="s">
        <v>2909</v>
      </c>
      <c r="AH3064" t="s">
        <v>2915</v>
      </c>
      <c r="AI3064">
        <v>11</v>
      </c>
      <c r="AJ3064">
        <v>1</v>
      </c>
      <c r="AK3064">
        <v>1</v>
      </c>
      <c r="AL3064">
        <v>199.34</v>
      </c>
      <c r="AO3064" t="s">
        <v>2926</v>
      </c>
      <c r="AP3064">
        <v>32812</v>
      </c>
      <c r="AQ3064" t="s">
        <v>2953</v>
      </c>
      <c r="AV3064">
        <v>1</v>
      </c>
      <c r="AW3064" t="s">
        <v>6185</v>
      </c>
      <c r="AX3064" t="s">
        <v>3078</v>
      </c>
    </row>
    <row r="3065" spans="1:50">
      <c r="A3065" s="1" t="s">
        <v>50</v>
      </c>
      <c r="B3065" t="s">
        <v>120</v>
      </c>
      <c r="C3065" t="s">
        <v>164</v>
      </c>
      <c r="D3065" t="s">
        <v>6367</v>
      </c>
      <c r="E3065" t="s">
        <v>272</v>
      </c>
      <c r="F3065" t="s">
        <v>325</v>
      </c>
      <c r="G3065" t="s">
        <v>469</v>
      </c>
      <c r="H3065" t="s">
        <v>10785</v>
      </c>
      <c r="I3065" t="s">
        <v>11543</v>
      </c>
      <c r="J3065" t="s">
        <v>10957</v>
      </c>
      <c r="K3065" t="s">
        <v>1644</v>
      </c>
      <c r="L3065">
        <v>11233</v>
      </c>
      <c r="M3065" t="s">
        <v>1670</v>
      </c>
      <c r="Q3065" t="s">
        <v>1950</v>
      </c>
      <c r="R3065" t="s">
        <v>1958</v>
      </c>
      <c r="S3065" t="s">
        <v>1965</v>
      </c>
      <c r="T3065" t="s">
        <v>1671</v>
      </c>
      <c r="V3065" t="s">
        <v>1974</v>
      </c>
      <c r="W3065" t="s">
        <v>1984</v>
      </c>
      <c r="X3065" t="s">
        <v>199</v>
      </c>
      <c r="Y3065">
        <v>1200</v>
      </c>
      <c r="Z3065" t="s">
        <v>2009</v>
      </c>
      <c r="AA3065" t="s">
        <v>2017</v>
      </c>
      <c r="AB3065" t="s">
        <v>13058</v>
      </c>
      <c r="AC3065" t="s">
        <v>15433</v>
      </c>
      <c r="AD3065" t="s">
        <v>17556</v>
      </c>
      <c r="AE3065" t="s">
        <v>17848</v>
      </c>
      <c r="AF3065">
        <v>6</v>
      </c>
      <c r="AG3065" t="s">
        <v>2902</v>
      </c>
      <c r="AH3065" t="s">
        <v>2918</v>
      </c>
      <c r="AI3065">
        <v>10</v>
      </c>
      <c r="AJ3065">
        <v>1</v>
      </c>
      <c r="AK3065">
        <v>2</v>
      </c>
      <c r="AL3065" t="s">
        <v>13051</v>
      </c>
      <c r="AO3065" t="s">
        <v>2926</v>
      </c>
      <c r="AP3065" t="s">
        <v>13051</v>
      </c>
      <c r="AV3065">
        <v>1.5</v>
      </c>
      <c r="AW3065" t="s">
        <v>325</v>
      </c>
      <c r="AX3065" t="s">
        <v>3060</v>
      </c>
    </row>
    <row r="3066" spans="1:50">
      <c r="A3066" s="1" t="s">
        <v>50</v>
      </c>
      <c r="B3066" t="s">
        <v>88</v>
      </c>
      <c r="C3066" t="s">
        <v>164</v>
      </c>
      <c r="D3066" t="s">
        <v>6368</v>
      </c>
      <c r="E3066" t="s">
        <v>294</v>
      </c>
      <c r="F3066" t="s">
        <v>268</v>
      </c>
      <c r="G3066" t="s">
        <v>469</v>
      </c>
      <c r="H3066" t="s">
        <v>10785</v>
      </c>
      <c r="I3066" t="s">
        <v>11543</v>
      </c>
      <c r="J3066" t="s">
        <v>10957</v>
      </c>
      <c r="K3066" t="s">
        <v>1644</v>
      </c>
      <c r="L3066">
        <v>11233</v>
      </c>
      <c r="M3066" t="s">
        <v>1670</v>
      </c>
      <c r="P3066" t="s">
        <v>12838</v>
      </c>
      <c r="Q3066" t="s">
        <v>1936</v>
      </c>
      <c r="R3066" t="s">
        <v>1962</v>
      </c>
      <c r="S3066" t="s">
        <v>1968</v>
      </c>
      <c r="T3066" t="s">
        <v>1671</v>
      </c>
      <c r="V3066" t="s">
        <v>1972</v>
      </c>
      <c r="W3066" t="s">
        <v>1984</v>
      </c>
      <c r="X3066" t="s">
        <v>199</v>
      </c>
      <c r="Y3066">
        <v>1200</v>
      </c>
      <c r="Z3066" t="s">
        <v>2009</v>
      </c>
      <c r="AA3066" t="s">
        <v>2017</v>
      </c>
      <c r="AB3066" t="s">
        <v>2029</v>
      </c>
      <c r="AC3066" t="s">
        <v>15433</v>
      </c>
      <c r="AD3066" t="s">
        <v>17556</v>
      </c>
      <c r="AE3066" t="s">
        <v>17848</v>
      </c>
      <c r="AF3066">
        <v>6</v>
      </c>
      <c r="AG3066" t="s">
        <v>2902</v>
      </c>
      <c r="AH3066" t="s">
        <v>2918</v>
      </c>
      <c r="AI3066">
        <v>10</v>
      </c>
      <c r="AJ3066">
        <v>1</v>
      </c>
      <c r="AK3066">
        <v>2</v>
      </c>
      <c r="AL3066">
        <v>69.42</v>
      </c>
      <c r="AO3066" t="s">
        <v>2926</v>
      </c>
      <c r="AP3066">
        <v>14808</v>
      </c>
      <c r="AV3066">
        <v>2.2</v>
      </c>
      <c r="AW3066" t="s">
        <v>3031</v>
      </c>
      <c r="AX3066" t="s">
        <v>3083</v>
      </c>
    </row>
    <row r="3067" spans="1:50">
      <c r="A3067" s="1" t="s">
        <v>50</v>
      </c>
      <c r="B3067" t="s">
        <v>120</v>
      </c>
      <c r="C3067" t="s">
        <v>163</v>
      </c>
      <c r="D3067" t="s">
        <v>6369</v>
      </c>
      <c r="E3067" t="s">
        <v>255</v>
      </c>
      <c r="G3067" t="s">
        <v>9219</v>
      </c>
      <c r="H3067" t="s">
        <v>10786</v>
      </c>
      <c r="I3067" t="s">
        <v>11544</v>
      </c>
      <c r="J3067" t="s">
        <v>1562</v>
      </c>
      <c r="K3067" t="s">
        <v>1644</v>
      </c>
      <c r="L3067">
        <v>11233</v>
      </c>
      <c r="M3067" t="s">
        <v>1670</v>
      </c>
      <c r="P3067" t="s">
        <v>1754</v>
      </c>
      <c r="Q3067" t="s">
        <v>1947</v>
      </c>
      <c r="R3067" t="s">
        <v>1959</v>
      </c>
      <c r="T3067" t="s">
        <v>1671</v>
      </c>
      <c r="V3067" t="s">
        <v>1974</v>
      </c>
      <c r="W3067" t="s">
        <v>1984</v>
      </c>
      <c r="X3067" t="s">
        <v>303</v>
      </c>
      <c r="Y3067">
        <v>1113</v>
      </c>
      <c r="Z3067" t="s">
        <v>2009</v>
      </c>
      <c r="AA3067" t="s">
        <v>2020</v>
      </c>
      <c r="AC3067" t="s">
        <v>15434</v>
      </c>
      <c r="AD3067" t="s">
        <v>17557</v>
      </c>
      <c r="AE3067" t="s">
        <v>17849</v>
      </c>
      <c r="AF3067">
        <v>66</v>
      </c>
      <c r="AG3067" t="s">
        <v>2913</v>
      </c>
      <c r="AH3067" t="s">
        <v>2918</v>
      </c>
      <c r="AI3067">
        <v>1</v>
      </c>
      <c r="AJ3067">
        <v>1</v>
      </c>
      <c r="AK3067">
        <v>2</v>
      </c>
      <c r="AL3067">
        <v>46.21</v>
      </c>
      <c r="AO3067" t="s">
        <v>2926</v>
      </c>
      <c r="AP3067">
        <v>9857</v>
      </c>
      <c r="AV3067">
        <v>11.5</v>
      </c>
      <c r="AW3067" t="s">
        <v>379</v>
      </c>
      <c r="AX3067" t="s">
        <v>3060</v>
      </c>
    </row>
    <row r="3068" spans="1:50">
      <c r="A3068" s="1" t="s">
        <v>50</v>
      </c>
      <c r="B3068" t="s">
        <v>3187</v>
      </c>
      <c r="C3068" t="s">
        <v>164</v>
      </c>
      <c r="D3068" t="s">
        <v>6370</v>
      </c>
      <c r="E3068" t="s">
        <v>356</v>
      </c>
      <c r="F3068" t="s">
        <v>304</v>
      </c>
      <c r="G3068" t="s">
        <v>609</v>
      </c>
      <c r="H3068" t="s">
        <v>8022</v>
      </c>
      <c r="I3068" t="s">
        <v>1200</v>
      </c>
      <c r="J3068">
        <v>1106</v>
      </c>
      <c r="K3068" t="s">
        <v>1649</v>
      </c>
      <c r="L3068">
        <v>11692</v>
      </c>
      <c r="M3068" t="s">
        <v>1670</v>
      </c>
      <c r="P3068" t="s">
        <v>12839</v>
      </c>
      <c r="Q3068" t="s">
        <v>1936</v>
      </c>
      <c r="R3068" t="s">
        <v>1958</v>
      </c>
      <c r="S3068" t="s">
        <v>1965</v>
      </c>
      <c r="T3068" t="s">
        <v>1671</v>
      </c>
      <c r="V3068" t="s">
        <v>13034</v>
      </c>
      <c r="W3068" t="s">
        <v>1984</v>
      </c>
      <c r="X3068" t="s">
        <v>356</v>
      </c>
      <c r="Y3068">
        <v>1616</v>
      </c>
      <c r="Z3068" t="s">
        <v>2007</v>
      </c>
      <c r="AA3068" t="s">
        <v>2014</v>
      </c>
      <c r="AB3068" t="s">
        <v>2035</v>
      </c>
      <c r="AC3068" t="s">
        <v>15435</v>
      </c>
      <c r="AD3068" t="s">
        <v>17558</v>
      </c>
      <c r="AE3068" t="s">
        <v>17850</v>
      </c>
      <c r="AF3068">
        <v>231</v>
      </c>
      <c r="AG3068" t="s">
        <v>2906</v>
      </c>
      <c r="AH3068" t="s">
        <v>1754</v>
      </c>
      <c r="AI3068">
        <v>9</v>
      </c>
      <c r="AJ3068">
        <v>1</v>
      </c>
      <c r="AK3068">
        <v>2</v>
      </c>
      <c r="AL3068" t="s">
        <v>13051</v>
      </c>
      <c r="AO3068" t="s">
        <v>2926</v>
      </c>
      <c r="AP3068" t="s">
        <v>13051</v>
      </c>
      <c r="AQ3068" t="s">
        <v>18432</v>
      </c>
      <c r="AV3068">
        <v>2</v>
      </c>
      <c r="AW3068" t="s">
        <v>356</v>
      </c>
      <c r="AX3068" t="s">
        <v>89</v>
      </c>
    </row>
    <row r="3069" spans="1:50">
      <c r="A3069" s="1" t="s">
        <v>50</v>
      </c>
      <c r="B3069" t="s">
        <v>3192</v>
      </c>
      <c r="C3069" t="s">
        <v>164</v>
      </c>
      <c r="D3069" t="s">
        <v>6371</v>
      </c>
      <c r="E3069" t="s">
        <v>409</v>
      </c>
      <c r="F3069" t="s">
        <v>397</v>
      </c>
      <c r="G3069" t="s">
        <v>9220</v>
      </c>
      <c r="H3069" t="s">
        <v>10787</v>
      </c>
      <c r="I3069" t="s">
        <v>11545</v>
      </c>
      <c r="K3069" t="s">
        <v>1667</v>
      </c>
      <c r="L3069">
        <v>11413</v>
      </c>
      <c r="M3069" t="s">
        <v>1670</v>
      </c>
      <c r="P3069" t="s">
        <v>12840</v>
      </c>
      <c r="Q3069" t="s">
        <v>1936</v>
      </c>
      <c r="R3069" t="s">
        <v>1960</v>
      </c>
      <c r="S3069" t="s">
        <v>1969</v>
      </c>
      <c r="T3069" t="s">
        <v>1671</v>
      </c>
      <c r="V3069" t="s">
        <v>1972</v>
      </c>
      <c r="W3069" t="s">
        <v>1984</v>
      </c>
      <c r="X3069" t="s">
        <v>409</v>
      </c>
      <c r="Y3069">
        <v>1250</v>
      </c>
      <c r="Z3069" t="s">
        <v>2007</v>
      </c>
      <c r="AA3069" t="s">
        <v>2014</v>
      </c>
      <c r="AB3069" t="s">
        <v>2032</v>
      </c>
      <c r="AC3069" t="s">
        <v>13187</v>
      </c>
      <c r="AD3069" t="s">
        <v>17559</v>
      </c>
      <c r="AE3069" t="s">
        <v>17851</v>
      </c>
      <c r="AF3069">
        <v>2</v>
      </c>
      <c r="AG3069" t="s">
        <v>2904</v>
      </c>
      <c r="AH3069" t="s">
        <v>2017</v>
      </c>
      <c r="AI3069">
        <v>1</v>
      </c>
      <c r="AJ3069">
        <v>1</v>
      </c>
      <c r="AK3069">
        <v>1</v>
      </c>
      <c r="AL3069">
        <v>21.68</v>
      </c>
      <c r="AO3069" t="s">
        <v>2926</v>
      </c>
      <c r="AP3069">
        <v>3666</v>
      </c>
      <c r="AR3069" t="s">
        <v>2976</v>
      </c>
      <c r="AS3069" t="s">
        <v>2982</v>
      </c>
      <c r="AT3069" t="s">
        <v>2992</v>
      </c>
      <c r="AU3069" t="s">
        <v>18622</v>
      </c>
      <c r="AV3069">
        <v>12.1</v>
      </c>
      <c r="AW3069" t="s">
        <v>346</v>
      </c>
      <c r="AX3069" t="s">
        <v>3073</v>
      </c>
    </row>
    <row r="3070" spans="1:50">
      <c r="A3070" s="1" t="s">
        <v>50</v>
      </c>
      <c r="B3070" t="s">
        <v>108</v>
      </c>
      <c r="C3070" t="s">
        <v>163</v>
      </c>
      <c r="D3070" t="s">
        <v>6372</v>
      </c>
      <c r="E3070" t="s">
        <v>175</v>
      </c>
      <c r="G3070" t="s">
        <v>7771</v>
      </c>
      <c r="H3070" t="s">
        <v>1002</v>
      </c>
      <c r="I3070" t="s">
        <v>9762</v>
      </c>
      <c r="J3070" t="s">
        <v>11775</v>
      </c>
      <c r="K3070" t="s">
        <v>1649</v>
      </c>
      <c r="L3070">
        <v>11692</v>
      </c>
      <c r="M3070" t="s">
        <v>1670</v>
      </c>
      <c r="P3070" t="s">
        <v>12841</v>
      </c>
      <c r="Q3070" t="s">
        <v>1936</v>
      </c>
      <c r="R3070" t="s">
        <v>1960</v>
      </c>
      <c r="T3070" t="s">
        <v>1671</v>
      </c>
      <c r="V3070" t="s">
        <v>1972</v>
      </c>
      <c r="W3070" t="s">
        <v>1985</v>
      </c>
      <c r="X3070" t="s">
        <v>175</v>
      </c>
      <c r="Y3070">
        <v>1515</v>
      </c>
      <c r="Z3070" t="s">
        <v>2007</v>
      </c>
      <c r="AA3070" t="s">
        <v>2014</v>
      </c>
      <c r="AC3070" t="s">
        <v>15436</v>
      </c>
      <c r="AD3070" t="s">
        <v>17560</v>
      </c>
      <c r="AE3070" t="s">
        <v>17852</v>
      </c>
      <c r="AF3070">
        <v>132</v>
      </c>
      <c r="AG3070" t="s">
        <v>2904</v>
      </c>
      <c r="AH3070" t="s">
        <v>1754</v>
      </c>
      <c r="AI3070">
        <v>4</v>
      </c>
      <c r="AJ3070">
        <v>1</v>
      </c>
      <c r="AK3070">
        <v>3</v>
      </c>
      <c r="AL3070">
        <v>20.72</v>
      </c>
      <c r="AO3070" t="s">
        <v>2926</v>
      </c>
      <c r="AP3070">
        <v>5200</v>
      </c>
      <c r="AR3070" t="s">
        <v>2978</v>
      </c>
      <c r="AS3070" t="s">
        <v>2985</v>
      </c>
      <c r="AT3070" t="s">
        <v>2992</v>
      </c>
      <c r="AU3070" t="s">
        <v>18545</v>
      </c>
      <c r="AV3070">
        <v>18.85</v>
      </c>
      <c r="AW3070" t="s">
        <v>6186</v>
      </c>
      <c r="AX3070" t="s">
        <v>3044</v>
      </c>
    </row>
    <row r="3071" spans="1:50">
      <c r="A3071" s="1" t="s">
        <v>50</v>
      </c>
      <c r="B3071" t="s">
        <v>103</v>
      </c>
      <c r="C3071" t="s">
        <v>163</v>
      </c>
      <c r="D3071" t="s">
        <v>6373</v>
      </c>
      <c r="E3071" t="s">
        <v>202</v>
      </c>
      <c r="G3071" t="s">
        <v>6837</v>
      </c>
      <c r="H3071" t="s">
        <v>8174</v>
      </c>
      <c r="I3071" t="s">
        <v>11546</v>
      </c>
      <c r="J3071">
        <v>2</v>
      </c>
      <c r="K3071" t="s">
        <v>1644</v>
      </c>
      <c r="L3071">
        <v>11233</v>
      </c>
      <c r="M3071" t="s">
        <v>1670</v>
      </c>
      <c r="P3071" t="s">
        <v>12842</v>
      </c>
      <c r="Q3071" t="s">
        <v>1936</v>
      </c>
      <c r="R3071" t="s">
        <v>1960</v>
      </c>
      <c r="T3071" t="s">
        <v>1671</v>
      </c>
      <c r="V3071" t="s">
        <v>1972</v>
      </c>
      <c r="X3071" t="s">
        <v>267</v>
      </c>
      <c r="Y3071">
        <v>2097</v>
      </c>
      <c r="Z3071" t="s">
        <v>2009</v>
      </c>
      <c r="AA3071" t="s">
        <v>2011</v>
      </c>
      <c r="AC3071" t="s">
        <v>15437</v>
      </c>
      <c r="AD3071" t="s">
        <v>17561</v>
      </c>
      <c r="AE3071" t="s">
        <v>17853</v>
      </c>
      <c r="AF3071">
        <v>3</v>
      </c>
      <c r="AH3071" t="s">
        <v>2918</v>
      </c>
      <c r="AI3071">
        <v>2</v>
      </c>
      <c r="AJ3071">
        <v>2</v>
      </c>
      <c r="AK3071">
        <v>5</v>
      </c>
      <c r="AL3071">
        <v>107.36</v>
      </c>
      <c r="AO3071" t="s">
        <v>2926</v>
      </c>
      <c r="AP3071">
        <v>40860</v>
      </c>
      <c r="AV3071">
        <v>45.5</v>
      </c>
      <c r="AW3071" t="s">
        <v>3034</v>
      </c>
      <c r="AX3071" t="s">
        <v>3059</v>
      </c>
    </row>
    <row r="3072" spans="1:50">
      <c r="A3072" s="1" t="s">
        <v>50</v>
      </c>
      <c r="B3072" t="s">
        <v>99</v>
      </c>
      <c r="C3072" t="s">
        <v>164</v>
      </c>
      <c r="D3072" t="s">
        <v>6374</v>
      </c>
      <c r="E3072" t="s">
        <v>330</v>
      </c>
      <c r="F3072" t="s">
        <v>359</v>
      </c>
      <c r="G3072" t="s">
        <v>9221</v>
      </c>
      <c r="H3072" t="s">
        <v>1048</v>
      </c>
      <c r="I3072" t="s">
        <v>11547</v>
      </c>
      <c r="J3072" t="s">
        <v>1634</v>
      </c>
      <c r="K3072" t="s">
        <v>11746</v>
      </c>
      <c r="L3072">
        <v>11416</v>
      </c>
      <c r="M3072" t="s">
        <v>1670</v>
      </c>
      <c r="P3072" t="s">
        <v>12843</v>
      </c>
      <c r="Q3072" t="s">
        <v>1940</v>
      </c>
      <c r="R3072" t="s">
        <v>1958</v>
      </c>
      <c r="S3072" t="s">
        <v>1965</v>
      </c>
      <c r="T3072" t="s">
        <v>1671</v>
      </c>
      <c r="V3072" t="s">
        <v>1972</v>
      </c>
      <c r="W3072" t="s">
        <v>1984</v>
      </c>
      <c r="X3072" t="s">
        <v>330</v>
      </c>
      <c r="Y3072">
        <v>1534</v>
      </c>
      <c r="Z3072" t="s">
        <v>2007</v>
      </c>
      <c r="AA3072" t="s">
        <v>2014</v>
      </c>
      <c r="AB3072" t="s">
        <v>2029</v>
      </c>
      <c r="AC3072" t="s">
        <v>15438</v>
      </c>
      <c r="AD3072" t="s">
        <v>17562</v>
      </c>
      <c r="AE3072" t="s">
        <v>17854</v>
      </c>
      <c r="AF3072">
        <v>3</v>
      </c>
      <c r="AG3072" t="s">
        <v>2903</v>
      </c>
      <c r="AH3072" t="s">
        <v>2917</v>
      </c>
      <c r="AI3072">
        <v>1</v>
      </c>
      <c r="AJ3072">
        <v>2</v>
      </c>
      <c r="AK3072">
        <v>1</v>
      </c>
      <c r="AL3072">
        <v>171.32</v>
      </c>
      <c r="AO3072" t="s">
        <v>2927</v>
      </c>
      <c r="AP3072">
        <v>35600</v>
      </c>
      <c r="AV3072">
        <v>1.94</v>
      </c>
      <c r="AW3072" t="s">
        <v>304</v>
      </c>
      <c r="AX3072" t="s">
        <v>99</v>
      </c>
    </row>
    <row r="3073" spans="1:50">
      <c r="A3073" s="1" t="s">
        <v>50</v>
      </c>
      <c r="B3073" t="s">
        <v>63</v>
      </c>
      <c r="C3073" t="s">
        <v>163</v>
      </c>
      <c r="D3073" t="s">
        <v>6375</v>
      </c>
      <c r="E3073" t="s">
        <v>6190</v>
      </c>
      <c r="G3073" t="s">
        <v>737</v>
      </c>
      <c r="H3073" t="s">
        <v>7995</v>
      </c>
      <c r="I3073" t="s">
        <v>11548</v>
      </c>
      <c r="J3073">
        <v>5</v>
      </c>
      <c r="K3073" t="s">
        <v>1641</v>
      </c>
      <c r="L3073">
        <v>10452</v>
      </c>
      <c r="M3073" t="s">
        <v>1670</v>
      </c>
      <c r="P3073" t="s">
        <v>12844</v>
      </c>
      <c r="Q3073" t="s">
        <v>1942</v>
      </c>
      <c r="R3073" t="s">
        <v>1961</v>
      </c>
      <c r="T3073" t="s">
        <v>1671</v>
      </c>
      <c r="V3073" t="s">
        <v>1972</v>
      </c>
      <c r="W3073" t="s">
        <v>1984</v>
      </c>
      <c r="X3073" t="s">
        <v>250</v>
      </c>
      <c r="Y3073">
        <v>1396.61</v>
      </c>
      <c r="Z3073" t="s">
        <v>2006</v>
      </c>
      <c r="AA3073" t="s">
        <v>2020</v>
      </c>
      <c r="AC3073" t="s">
        <v>2445</v>
      </c>
      <c r="AD3073" t="s">
        <v>17563</v>
      </c>
      <c r="AE3073" t="s">
        <v>17855</v>
      </c>
      <c r="AF3073">
        <v>35</v>
      </c>
      <c r="AG3073" t="s">
        <v>2904</v>
      </c>
      <c r="AH3073" t="s">
        <v>2915</v>
      </c>
      <c r="AI3073">
        <v>18</v>
      </c>
      <c r="AJ3073">
        <v>1</v>
      </c>
      <c r="AK3073">
        <v>1</v>
      </c>
      <c r="AL3073">
        <v>66.93000000000001</v>
      </c>
      <c r="AO3073" t="s">
        <v>2926</v>
      </c>
      <c r="AP3073">
        <v>11016</v>
      </c>
      <c r="AV3073">
        <v>12.9</v>
      </c>
      <c r="AW3073" t="s">
        <v>265</v>
      </c>
      <c r="AX3073" t="s">
        <v>3068</v>
      </c>
    </row>
    <row r="3074" spans="1:50">
      <c r="A3074" s="1" t="s">
        <v>50</v>
      </c>
      <c r="B3074" t="s">
        <v>107</v>
      </c>
      <c r="C3074" t="s">
        <v>163</v>
      </c>
      <c r="D3074" t="s">
        <v>6376</v>
      </c>
      <c r="E3074" t="s">
        <v>195</v>
      </c>
      <c r="G3074" t="s">
        <v>595</v>
      </c>
      <c r="H3074" t="s">
        <v>840</v>
      </c>
      <c r="I3074" t="s">
        <v>11549</v>
      </c>
      <c r="J3074">
        <v>1</v>
      </c>
      <c r="K3074" t="s">
        <v>1644</v>
      </c>
      <c r="L3074">
        <v>11208</v>
      </c>
      <c r="M3074" t="s">
        <v>1670</v>
      </c>
      <c r="P3074" t="s">
        <v>12845</v>
      </c>
      <c r="Q3074" t="s">
        <v>1940</v>
      </c>
      <c r="R3074" t="s">
        <v>1960</v>
      </c>
      <c r="T3074" t="s">
        <v>1671</v>
      </c>
      <c r="V3074" t="s">
        <v>1972</v>
      </c>
      <c r="W3074" t="s">
        <v>1984</v>
      </c>
      <c r="X3074" t="s">
        <v>274</v>
      </c>
      <c r="Y3074">
        <v>1100</v>
      </c>
      <c r="Z3074" t="s">
        <v>2009</v>
      </c>
      <c r="AA3074" t="s">
        <v>2014</v>
      </c>
      <c r="AC3074" t="s">
        <v>15439</v>
      </c>
      <c r="AD3074" t="s">
        <v>17564</v>
      </c>
      <c r="AE3074" t="s">
        <v>17856</v>
      </c>
      <c r="AF3074">
        <v>3</v>
      </c>
      <c r="AG3074" t="s">
        <v>2903</v>
      </c>
      <c r="AH3074" t="s">
        <v>2017</v>
      </c>
      <c r="AI3074">
        <v>21</v>
      </c>
      <c r="AJ3074">
        <v>4</v>
      </c>
      <c r="AK3074">
        <v>6</v>
      </c>
      <c r="AL3074">
        <v>76.67</v>
      </c>
      <c r="AO3074" t="s">
        <v>2926</v>
      </c>
      <c r="AP3074">
        <v>40075</v>
      </c>
      <c r="AV3074">
        <v>0.5</v>
      </c>
      <c r="AW3074" t="s">
        <v>198</v>
      </c>
      <c r="AX3074" t="s">
        <v>3059</v>
      </c>
    </row>
    <row r="3075" spans="1:50">
      <c r="A3075" s="1" t="s">
        <v>50</v>
      </c>
      <c r="B3075" t="s">
        <v>107</v>
      </c>
      <c r="C3075" t="s">
        <v>163</v>
      </c>
      <c r="D3075" t="s">
        <v>6377</v>
      </c>
      <c r="E3075" t="s">
        <v>198</v>
      </c>
      <c r="G3075" t="s">
        <v>595</v>
      </c>
      <c r="H3075" t="s">
        <v>840</v>
      </c>
      <c r="I3075" t="s">
        <v>11549</v>
      </c>
      <c r="J3075">
        <v>1</v>
      </c>
      <c r="K3075" t="s">
        <v>1644</v>
      </c>
      <c r="L3075">
        <v>11208</v>
      </c>
      <c r="M3075" t="s">
        <v>1670</v>
      </c>
      <c r="P3075" t="s">
        <v>12846</v>
      </c>
      <c r="Q3075" t="s">
        <v>1939</v>
      </c>
      <c r="R3075" t="s">
        <v>1960</v>
      </c>
      <c r="T3075" t="s">
        <v>1671</v>
      </c>
      <c r="V3075" t="s">
        <v>1972</v>
      </c>
      <c r="W3075" t="s">
        <v>1984</v>
      </c>
      <c r="X3075" t="s">
        <v>249</v>
      </c>
      <c r="Y3075">
        <v>1100</v>
      </c>
      <c r="Z3075" t="s">
        <v>2009</v>
      </c>
      <c r="AA3075" t="s">
        <v>2014</v>
      </c>
      <c r="AC3075" t="s">
        <v>15439</v>
      </c>
      <c r="AD3075" t="s">
        <v>17564</v>
      </c>
      <c r="AE3075" t="s">
        <v>17856</v>
      </c>
      <c r="AF3075">
        <v>3</v>
      </c>
      <c r="AG3075" t="s">
        <v>2903</v>
      </c>
      <c r="AH3075" t="s">
        <v>2017</v>
      </c>
      <c r="AI3075">
        <v>21</v>
      </c>
      <c r="AJ3075">
        <v>4</v>
      </c>
      <c r="AK3075">
        <v>6</v>
      </c>
      <c r="AL3075">
        <v>92.89</v>
      </c>
      <c r="AO3075" t="s">
        <v>2926</v>
      </c>
      <c r="AP3075">
        <v>48556</v>
      </c>
      <c r="AQ3075" t="s">
        <v>18433</v>
      </c>
      <c r="AV3075">
        <v>7</v>
      </c>
      <c r="AW3075" t="s">
        <v>3039</v>
      </c>
      <c r="AX3075" t="s">
        <v>3060</v>
      </c>
    </row>
    <row r="3076" spans="1:50">
      <c r="A3076" s="1" t="s">
        <v>50</v>
      </c>
      <c r="B3076" t="s">
        <v>53</v>
      </c>
      <c r="C3076" t="s">
        <v>164</v>
      </c>
      <c r="D3076" t="s">
        <v>6378</v>
      </c>
      <c r="E3076" t="s">
        <v>342</v>
      </c>
      <c r="F3076" t="s">
        <v>407</v>
      </c>
      <c r="G3076" t="s">
        <v>9222</v>
      </c>
      <c r="H3076" t="s">
        <v>10788</v>
      </c>
      <c r="I3076" t="s">
        <v>11550</v>
      </c>
      <c r="J3076" t="s">
        <v>11776</v>
      </c>
      <c r="K3076" t="s">
        <v>1666</v>
      </c>
      <c r="L3076">
        <v>11368</v>
      </c>
      <c r="M3076" t="s">
        <v>1670</v>
      </c>
      <c r="P3076" t="s">
        <v>12847</v>
      </c>
      <c r="Q3076" t="s">
        <v>1936</v>
      </c>
      <c r="R3076" t="s">
        <v>1958</v>
      </c>
      <c r="S3076" t="s">
        <v>1965</v>
      </c>
      <c r="T3076" t="s">
        <v>1671</v>
      </c>
      <c r="V3076" t="s">
        <v>1972</v>
      </c>
      <c r="W3076" t="s">
        <v>1984</v>
      </c>
      <c r="X3076" t="s">
        <v>342</v>
      </c>
      <c r="Y3076">
        <v>1390</v>
      </c>
      <c r="Z3076" t="s">
        <v>2007</v>
      </c>
      <c r="AA3076" t="s">
        <v>2014</v>
      </c>
      <c r="AB3076" t="s">
        <v>2029</v>
      </c>
      <c r="AC3076" t="s">
        <v>15440</v>
      </c>
      <c r="AD3076" t="s">
        <v>17565</v>
      </c>
      <c r="AE3076" t="s">
        <v>17857</v>
      </c>
      <c r="AF3076">
        <v>232</v>
      </c>
      <c r="AG3076" t="s">
        <v>2902</v>
      </c>
      <c r="AH3076" t="s">
        <v>2917</v>
      </c>
      <c r="AI3076">
        <v>7</v>
      </c>
      <c r="AJ3076">
        <v>1</v>
      </c>
      <c r="AK3076">
        <v>2</v>
      </c>
      <c r="AL3076">
        <v>115.5</v>
      </c>
      <c r="AO3076" t="s">
        <v>2926</v>
      </c>
      <c r="AP3076">
        <v>24000</v>
      </c>
      <c r="AV3076">
        <v>1.6</v>
      </c>
      <c r="AW3076" t="s">
        <v>407</v>
      </c>
      <c r="AX3076" t="s">
        <v>85</v>
      </c>
    </row>
    <row r="3077" spans="1:50">
      <c r="A3077" s="1" t="s">
        <v>50</v>
      </c>
      <c r="B3077" t="s">
        <v>73</v>
      </c>
      <c r="C3077" t="s">
        <v>163</v>
      </c>
      <c r="D3077" t="s">
        <v>6379</v>
      </c>
      <c r="E3077" t="s">
        <v>314</v>
      </c>
      <c r="G3077" t="s">
        <v>9223</v>
      </c>
      <c r="H3077" t="s">
        <v>888</v>
      </c>
      <c r="I3077" t="s">
        <v>9762</v>
      </c>
      <c r="J3077">
        <v>1110</v>
      </c>
      <c r="K3077" t="s">
        <v>1649</v>
      </c>
      <c r="L3077">
        <v>11692</v>
      </c>
      <c r="M3077" t="s">
        <v>1670</v>
      </c>
      <c r="P3077" t="s">
        <v>12848</v>
      </c>
      <c r="Q3077" t="s">
        <v>1936</v>
      </c>
      <c r="R3077" t="s">
        <v>1960</v>
      </c>
      <c r="T3077" t="s">
        <v>1671</v>
      </c>
      <c r="V3077" t="s">
        <v>1972</v>
      </c>
      <c r="W3077" t="s">
        <v>1984</v>
      </c>
      <c r="X3077" t="s">
        <v>314</v>
      </c>
      <c r="Y3077">
        <v>1500</v>
      </c>
      <c r="Z3077" t="s">
        <v>2007</v>
      </c>
      <c r="AA3077" t="s">
        <v>2014</v>
      </c>
      <c r="AC3077" t="s">
        <v>2096</v>
      </c>
      <c r="AD3077" t="s">
        <v>17566</v>
      </c>
      <c r="AE3077" t="s">
        <v>17858</v>
      </c>
      <c r="AF3077">
        <v>217</v>
      </c>
      <c r="AG3077" t="s">
        <v>2904</v>
      </c>
      <c r="AH3077" t="s">
        <v>2916</v>
      </c>
      <c r="AI3077">
        <v>3</v>
      </c>
      <c r="AJ3077">
        <v>2</v>
      </c>
      <c r="AK3077">
        <v>2</v>
      </c>
      <c r="AL3077">
        <v>35.86</v>
      </c>
      <c r="AO3077" t="s">
        <v>2926</v>
      </c>
      <c r="AP3077">
        <v>9000</v>
      </c>
      <c r="AR3077" t="s">
        <v>2980</v>
      </c>
      <c r="AS3077" t="s">
        <v>18465</v>
      </c>
      <c r="AT3077" t="s">
        <v>2992</v>
      </c>
      <c r="AU3077" t="s">
        <v>18547</v>
      </c>
      <c r="AV3077">
        <v>12.75</v>
      </c>
      <c r="AW3077" t="s">
        <v>199</v>
      </c>
      <c r="AX3077" t="s">
        <v>85</v>
      </c>
    </row>
    <row r="3078" spans="1:50">
      <c r="A3078" s="1" t="s">
        <v>50</v>
      </c>
      <c r="B3078" t="s">
        <v>3151</v>
      </c>
      <c r="C3078" t="s">
        <v>164</v>
      </c>
      <c r="D3078" t="s">
        <v>6380</v>
      </c>
      <c r="E3078" t="s">
        <v>312</v>
      </c>
      <c r="F3078" t="s">
        <v>224</v>
      </c>
      <c r="G3078" t="s">
        <v>9224</v>
      </c>
      <c r="H3078" t="s">
        <v>8642</v>
      </c>
      <c r="I3078" t="s">
        <v>11551</v>
      </c>
      <c r="J3078" t="s">
        <v>1501</v>
      </c>
      <c r="K3078" t="s">
        <v>1644</v>
      </c>
      <c r="L3078">
        <v>11208</v>
      </c>
      <c r="M3078" t="s">
        <v>1670</v>
      </c>
      <c r="P3078" t="s">
        <v>2904</v>
      </c>
      <c r="Q3078" t="s">
        <v>1940</v>
      </c>
      <c r="R3078" t="s">
        <v>1960</v>
      </c>
      <c r="S3078" t="s">
        <v>1967</v>
      </c>
      <c r="T3078" t="s">
        <v>1671</v>
      </c>
      <c r="V3078" t="s">
        <v>1972</v>
      </c>
      <c r="X3078" t="s">
        <v>312</v>
      </c>
      <c r="Y3078">
        <v>1557</v>
      </c>
      <c r="Z3078" t="s">
        <v>2009</v>
      </c>
      <c r="AA3078" t="s">
        <v>2013</v>
      </c>
      <c r="AB3078" t="s">
        <v>2032</v>
      </c>
      <c r="AC3078" t="s">
        <v>15441</v>
      </c>
      <c r="AD3078" t="s">
        <v>17567</v>
      </c>
      <c r="AE3078" t="s">
        <v>17859</v>
      </c>
      <c r="AF3078">
        <v>6</v>
      </c>
      <c r="AG3078" t="s">
        <v>2904</v>
      </c>
      <c r="AH3078" t="s">
        <v>2916</v>
      </c>
      <c r="AI3078">
        <v>4</v>
      </c>
      <c r="AJ3078">
        <v>1</v>
      </c>
      <c r="AK3078">
        <v>3</v>
      </c>
      <c r="AL3078">
        <v>23.9</v>
      </c>
      <c r="AO3078" t="s">
        <v>2926</v>
      </c>
      <c r="AP3078">
        <v>6000</v>
      </c>
      <c r="AQ3078" t="s">
        <v>18069</v>
      </c>
      <c r="AV3078">
        <v>5.5</v>
      </c>
      <c r="AW3078" t="s">
        <v>329</v>
      </c>
      <c r="AX3078" t="s">
        <v>3060</v>
      </c>
    </row>
    <row r="3079" spans="1:50">
      <c r="A3079" s="1" t="s">
        <v>50</v>
      </c>
      <c r="B3079" t="s">
        <v>107</v>
      </c>
      <c r="C3079" t="s">
        <v>163</v>
      </c>
      <c r="D3079" t="s">
        <v>6381</v>
      </c>
      <c r="E3079" t="s">
        <v>214</v>
      </c>
      <c r="G3079" t="s">
        <v>567</v>
      </c>
      <c r="H3079" t="s">
        <v>10789</v>
      </c>
      <c r="I3079" t="s">
        <v>11552</v>
      </c>
      <c r="K3079" t="s">
        <v>1644</v>
      </c>
      <c r="L3079">
        <v>11212</v>
      </c>
      <c r="M3079" t="s">
        <v>1670</v>
      </c>
      <c r="P3079" t="s">
        <v>1691</v>
      </c>
      <c r="R3079" t="s">
        <v>1958</v>
      </c>
      <c r="T3079" t="s">
        <v>1671</v>
      </c>
      <c r="V3079" t="s">
        <v>1972</v>
      </c>
      <c r="W3079" t="s">
        <v>1984</v>
      </c>
      <c r="X3079" t="s">
        <v>214</v>
      </c>
      <c r="Y3079">
        <v>1696</v>
      </c>
      <c r="Z3079" t="s">
        <v>2009</v>
      </c>
      <c r="AC3079" t="s">
        <v>15442</v>
      </c>
      <c r="AD3079" t="s">
        <v>17568</v>
      </c>
      <c r="AE3079" t="s">
        <v>17860</v>
      </c>
      <c r="AF3079" t="s">
        <v>13051</v>
      </c>
      <c r="AG3079" t="s">
        <v>2909</v>
      </c>
      <c r="AH3079" t="s">
        <v>2915</v>
      </c>
      <c r="AI3079">
        <v>1</v>
      </c>
      <c r="AJ3079">
        <v>2</v>
      </c>
      <c r="AK3079">
        <v>1</v>
      </c>
      <c r="AL3079">
        <v>21.9</v>
      </c>
      <c r="AO3079" t="s">
        <v>2926</v>
      </c>
      <c r="AP3079">
        <v>4550</v>
      </c>
      <c r="AQ3079" t="s">
        <v>18134</v>
      </c>
      <c r="AV3079">
        <v>2</v>
      </c>
      <c r="AW3079" t="s">
        <v>202</v>
      </c>
      <c r="AX3079" t="s">
        <v>3060</v>
      </c>
    </row>
    <row r="3080" spans="1:50">
      <c r="A3080" s="1" t="s">
        <v>50</v>
      </c>
      <c r="B3080" t="s">
        <v>52</v>
      </c>
      <c r="C3080" t="s">
        <v>164</v>
      </c>
      <c r="D3080" t="s">
        <v>6382</v>
      </c>
      <c r="E3080" t="s">
        <v>329</v>
      </c>
      <c r="F3080" t="s">
        <v>359</v>
      </c>
      <c r="G3080" t="s">
        <v>9225</v>
      </c>
      <c r="H3080" t="s">
        <v>909</v>
      </c>
      <c r="I3080" t="s">
        <v>11553</v>
      </c>
      <c r="J3080" t="s">
        <v>11777</v>
      </c>
      <c r="K3080" t="s">
        <v>1641</v>
      </c>
      <c r="L3080">
        <v>10453</v>
      </c>
      <c r="M3080" t="s">
        <v>1670</v>
      </c>
      <c r="P3080" t="s">
        <v>12849</v>
      </c>
      <c r="Q3080" t="s">
        <v>1936</v>
      </c>
      <c r="R3080" t="s">
        <v>1960</v>
      </c>
      <c r="S3080" t="s">
        <v>1969</v>
      </c>
      <c r="T3080" t="s">
        <v>1671</v>
      </c>
      <c r="V3080" t="s">
        <v>1972</v>
      </c>
      <c r="W3080" t="s">
        <v>1983</v>
      </c>
      <c r="X3080" t="s">
        <v>329</v>
      </c>
      <c r="Y3080">
        <v>1956</v>
      </c>
      <c r="Z3080" t="s">
        <v>2006</v>
      </c>
      <c r="AA3080" t="s">
        <v>2013</v>
      </c>
      <c r="AB3080" t="s">
        <v>2032</v>
      </c>
      <c r="AC3080" t="s">
        <v>15443</v>
      </c>
      <c r="AD3080" t="s">
        <v>17569</v>
      </c>
      <c r="AE3080" t="s">
        <v>17861</v>
      </c>
      <c r="AF3080">
        <v>11</v>
      </c>
      <c r="AG3080" t="s">
        <v>2904</v>
      </c>
      <c r="AH3080" t="s">
        <v>2916</v>
      </c>
      <c r="AI3080">
        <v>3</v>
      </c>
      <c r="AJ3080">
        <v>3</v>
      </c>
      <c r="AK3080">
        <v>4</v>
      </c>
      <c r="AL3080">
        <v>54.65</v>
      </c>
      <c r="AO3080" t="s">
        <v>2926</v>
      </c>
      <c r="AP3080">
        <v>20800</v>
      </c>
      <c r="AR3080" t="s">
        <v>2978</v>
      </c>
      <c r="AS3080" t="s">
        <v>18447</v>
      </c>
      <c r="AT3080" t="s">
        <v>2992</v>
      </c>
      <c r="AU3080" t="s">
        <v>18623</v>
      </c>
      <c r="AV3080">
        <v>12.7</v>
      </c>
      <c r="AW3080" t="s">
        <v>273</v>
      </c>
      <c r="AX3080" t="s">
        <v>3041</v>
      </c>
    </row>
    <row r="3081" spans="1:50">
      <c r="A3081" s="1" t="s">
        <v>50</v>
      </c>
      <c r="B3081" t="s">
        <v>153</v>
      </c>
      <c r="C3081" t="s">
        <v>164</v>
      </c>
      <c r="D3081" t="s">
        <v>6383</v>
      </c>
      <c r="E3081" t="s">
        <v>305</v>
      </c>
      <c r="F3081" t="s">
        <v>188</v>
      </c>
      <c r="G3081" t="s">
        <v>9226</v>
      </c>
      <c r="H3081" t="s">
        <v>877</v>
      </c>
      <c r="I3081" t="s">
        <v>11554</v>
      </c>
      <c r="J3081" t="s">
        <v>1580</v>
      </c>
      <c r="K3081" t="s">
        <v>1641</v>
      </c>
      <c r="L3081">
        <v>10459</v>
      </c>
      <c r="M3081" t="s">
        <v>1670</v>
      </c>
      <c r="P3081" t="s">
        <v>12850</v>
      </c>
      <c r="Q3081" t="s">
        <v>1940</v>
      </c>
      <c r="R3081" t="s">
        <v>1960</v>
      </c>
      <c r="S3081" t="s">
        <v>1969</v>
      </c>
      <c r="T3081" t="s">
        <v>1671</v>
      </c>
      <c r="V3081" t="s">
        <v>1972</v>
      </c>
      <c r="X3081" t="s">
        <v>292</v>
      </c>
      <c r="Y3081">
        <v>1533</v>
      </c>
      <c r="Z3081" t="s">
        <v>2006</v>
      </c>
      <c r="AA3081" t="s">
        <v>2014</v>
      </c>
      <c r="AB3081" t="s">
        <v>2033</v>
      </c>
      <c r="AC3081" t="s">
        <v>15444</v>
      </c>
      <c r="AD3081" t="s">
        <v>17570</v>
      </c>
      <c r="AE3081" t="s">
        <v>17862</v>
      </c>
      <c r="AF3081">
        <v>2</v>
      </c>
      <c r="AG3081" t="s">
        <v>2909</v>
      </c>
      <c r="AH3081" t="s">
        <v>2915</v>
      </c>
      <c r="AI3081">
        <v>1</v>
      </c>
      <c r="AJ3081">
        <v>1</v>
      </c>
      <c r="AK3081">
        <v>1</v>
      </c>
      <c r="AL3081">
        <v>41.99</v>
      </c>
      <c r="AO3081" t="s">
        <v>2926</v>
      </c>
      <c r="AP3081">
        <v>6912</v>
      </c>
      <c r="AV3081">
        <v>3.25</v>
      </c>
      <c r="AW3081" t="s">
        <v>170</v>
      </c>
      <c r="AX3081" t="s">
        <v>3054</v>
      </c>
    </row>
    <row r="3082" spans="1:50">
      <c r="A3082" s="1" t="s">
        <v>50</v>
      </c>
      <c r="B3082" t="s">
        <v>151</v>
      </c>
      <c r="C3082" t="s">
        <v>163</v>
      </c>
      <c r="D3082" t="s">
        <v>6384</v>
      </c>
      <c r="E3082" t="s">
        <v>396</v>
      </c>
      <c r="G3082" t="s">
        <v>7494</v>
      </c>
      <c r="H3082" t="s">
        <v>780</v>
      </c>
      <c r="I3082" t="s">
        <v>11555</v>
      </c>
      <c r="J3082" t="s">
        <v>11345</v>
      </c>
      <c r="K3082" t="s">
        <v>11739</v>
      </c>
      <c r="L3082">
        <v>11372</v>
      </c>
      <c r="M3082" t="s">
        <v>1670</v>
      </c>
      <c r="P3082" t="s">
        <v>12851</v>
      </c>
      <c r="Q3082" t="s">
        <v>1939</v>
      </c>
      <c r="R3082" t="s">
        <v>1960</v>
      </c>
      <c r="T3082" t="s">
        <v>1671</v>
      </c>
      <c r="V3082" t="s">
        <v>1972</v>
      </c>
      <c r="W3082" t="s">
        <v>1984</v>
      </c>
      <c r="X3082" t="s">
        <v>389</v>
      </c>
      <c r="Y3082">
        <v>909.0599999999999</v>
      </c>
      <c r="Z3082" t="s">
        <v>2007</v>
      </c>
      <c r="AA3082" t="s">
        <v>2020</v>
      </c>
      <c r="AC3082" t="s">
        <v>2225</v>
      </c>
      <c r="AD3082" t="s">
        <v>17571</v>
      </c>
      <c r="AE3082" t="s">
        <v>17863</v>
      </c>
      <c r="AF3082">
        <v>20</v>
      </c>
      <c r="AG3082" t="s">
        <v>2902</v>
      </c>
      <c r="AH3082" t="s">
        <v>1754</v>
      </c>
      <c r="AI3082">
        <v>38</v>
      </c>
      <c r="AJ3082">
        <v>4</v>
      </c>
      <c r="AK3082">
        <v>2</v>
      </c>
      <c r="AL3082">
        <v>59.68</v>
      </c>
      <c r="AO3082" t="s">
        <v>2927</v>
      </c>
      <c r="AP3082">
        <v>20643.96</v>
      </c>
      <c r="AV3082">
        <v>8.65</v>
      </c>
      <c r="AW3082" t="s">
        <v>388</v>
      </c>
      <c r="AX3082" t="s">
        <v>151</v>
      </c>
    </row>
    <row r="3083" spans="1:50">
      <c r="A3083" s="1" t="s">
        <v>50</v>
      </c>
      <c r="B3083" t="s">
        <v>84</v>
      </c>
      <c r="C3083" t="s">
        <v>164</v>
      </c>
      <c r="D3083" t="s">
        <v>6385</v>
      </c>
      <c r="E3083" t="s">
        <v>329</v>
      </c>
      <c r="F3083" t="s">
        <v>288</v>
      </c>
      <c r="G3083" t="s">
        <v>7281</v>
      </c>
      <c r="H3083" t="s">
        <v>10790</v>
      </c>
      <c r="I3083" t="s">
        <v>11556</v>
      </c>
      <c r="J3083" t="s">
        <v>1562</v>
      </c>
      <c r="K3083" t="s">
        <v>1644</v>
      </c>
      <c r="L3083">
        <v>11206</v>
      </c>
      <c r="M3083" t="s">
        <v>1670</v>
      </c>
      <c r="P3083" t="s">
        <v>12852</v>
      </c>
      <c r="Q3083" t="s">
        <v>1940</v>
      </c>
      <c r="R3083" t="s">
        <v>1958</v>
      </c>
      <c r="S3083" t="s">
        <v>1965</v>
      </c>
      <c r="T3083" t="s">
        <v>1671</v>
      </c>
      <c r="V3083" t="s">
        <v>1972</v>
      </c>
      <c r="X3083" t="s">
        <v>214</v>
      </c>
      <c r="Y3083">
        <v>1050</v>
      </c>
      <c r="Z3083" t="s">
        <v>2009</v>
      </c>
      <c r="AA3083" t="s">
        <v>2014</v>
      </c>
      <c r="AB3083" t="s">
        <v>2029</v>
      </c>
      <c r="AC3083" t="s">
        <v>15445</v>
      </c>
      <c r="AD3083" t="s">
        <v>17572</v>
      </c>
      <c r="AE3083" t="s">
        <v>17864</v>
      </c>
      <c r="AF3083">
        <v>2</v>
      </c>
      <c r="AG3083" t="s">
        <v>2903</v>
      </c>
      <c r="AH3083" t="s">
        <v>2917</v>
      </c>
      <c r="AI3083">
        <v>9</v>
      </c>
      <c r="AJ3083">
        <v>2</v>
      </c>
      <c r="AK3083">
        <v>2</v>
      </c>
      <c r="AL3083">
        <v>41.43</v>
      </c>
      <c r="AO3083" t="s">
        <v>2926</v>
      </c>
      <c r="AP3083">
        <v>10400</v>
      </c>
      <c r="AV3083">
        <v>2.2</v>
      </c>
      <c r="AW3083" t="s">
        <v>377</v>
      </c>
      <c r="AX3083" t="s">
        <v>3074</v>
      </c>
    </row>
    <row r="3084" spans="1:50">
      <c r="A3084" s="1" t="s">
        <v>50</v>
      </c>
      <c r="B3084" t="s">
        <v>84</v>
      </c>
      <c r="C3084" t="s">
        <v>164</v>
      </c>
      <c r="D3084" t="s">
        <v>6386</v>
      </c>
      <c r="E3084" t="s">
        <v>6772</v>
      </c>
      <c r="F3084" t="s">
        <v>287</v>
      </c>
      <c r="G3084" t="s">
        <v>6969</v>
      </c>
      <c r="H3084" t="s">
        <v>8140</v>
      </c>
      <c r="I3084" t="s">
        <v>11557</v>
      </c>
      <c r="K3084" t="s">
        <v>1646</v>
      </c>
      <c r="L3084">
        <v>10305</v>
      </c>
      <c r="M3084" t="s">
        <v>1670</v>
      </c>
      <c r="P3084" t="s">
        <v>12853</v>
      </c>
      <c r="Q3084" t="s">
        <v>1940</v>
      </c>
      <c r="R3084" t="s">
        <v>1960</v>
      </c>
      <c r="S3084" t="s">
        <v>1969</v>
      </c>
      <c r="T3084" t="s">
        <v>1671</v>
      </c>
      <c r="V3084" t="s">
        <v>1972</v>
      </c>
      <c r="W3084" t="s">
        <v>1984</v>
      </c>
      <c r="X3084" t="s">
        <v>287</v>
      </c>
      <c r="Y3084">
        <v>1800</v>
      </c>
      <c r="Z3084" t="s">
        <v>2010</v>
      </c>
      <c r="AA3084" t="s">
        <v>2016</v>
      </c>
      <c r="AB3084" t="s">
        <v>2033</v>
      </c>
      <c r="AC3084" t="s">
        <v>15446</v>
      </c>
      <c r="AD3084" t="s">
        <v>17573</v>
      </c>
      <c r="AF3084">
        <v>2</v>
      </c>
      <c r="AG3084" t="s">
        <v>2903</v>
      </c>
      <c r="AH3084" t="s">
        <v>1754</v>
      </c>
      <c r="AI3084">
        <v>6</v>
      </c>
      <c r="AJ3084">
        <v>2</v>
      </c>
      <c r="AK3084">
        <v>2</v>
      </c>
      <c r="AL3084">
        <v>14.34</v>
      </c>
      <c r="AO3084" t="s">
        <v>2926</v>
      </c>
      <c r="AP3084">
        <v>3600</v>
      </c>
      <c r="AR3084" t="s">
        <v>2976</v>
      </c>
      <c r="AS3084" t="s">
        <v>2017</v>
      </c>
      <c r="AT3084" t="s">
        <v>2993</v>
      </c>
      <c r="AU3084" t="s">
        <v>18624</v>
      </c>
      <c r="AV3084">
        <v>11.8</v>
      </c>
      <c r="AW3084" t="s">
        <v>287</v>
      </c>
      <c r="AX3084" t="s">
        <v>3056</v>
      </c>
    </row>
    <row r="3085" spans="1:50">
      <c r="A3085" s="1" t="s">
        <v>50</v>
      </c>
      <c r="B3085" t="s">
        <v>53</v>
      </c>
      <c r="C3085" t="s">
        <v>164</v>
      </c>
      <c r="D3085" t="s">
        <v>6387</v>
      </c>
      <c r="E3085" t="s">
        <v>229</v>
      </c>
      <c r="F3085" t="s">
        <v>253</v>
      </c>
      <c r="G3085" t="s">
        <v>420</v>
      </c>
      <c r="H3085" t="s">
        <v>1024</v>
      </c>
      <c r="I3085" t="s">
        <v>11558</v>
      </c>
      <c r="J3085">
        <v>15</v>
      </c>
      <c r="K3085" t="s">
        <v>11749</v>
      </c>
      <c r="L3085">
        <v>11101</v>
      </c>
      <c r="M3085" t="s">
        <v>1670</v>
      </c>
      <c r="P3085" t="s">
        <v>12854</v>
      </c>
      <c r="Q3085" t="s">
        <v>1936</v>
      </c>
      <c r="R3085" t="s">
        <v>1960</v>
      </c>
      <c r="S3085" t="s">
        <v>1969</v>
      </c>
      <c r="T3085" t="s">
        <v>1671</v>
      </c>
      <c r="V3085" t="s">
        <v>1972</v>
      </c>
      <c r="W3085" t="s">
        <v>1984</v>
      </c>
      <c r="X3085" t="s">
        <v>229</v>
      </c>
      <c r="Y3085">
        <v>1400</v>
      </c>
      <c r="Z3085" t="s">
        <v>2007</v>
      </c>
      <c r="AA3085" t="s">
        <v>2014</v>
      </c>
      <c r="AB3085" t="s">
        <v>2032</v>
      </c>
      <c r="AC3085" t="s">
        <v>14716</v>
      </c>
      <c r="AD3085" t="s">
        <v>17574</v>
      </c>
      <c r="AE3085" t="s">
        <v>17865</v>
      </c>
      <c r="AF3085">
        <v>16</v>
      </c>
      <c r="AG3085" t="s">
        <v>2902</v>
      </c>
      <c r="AH3085" t="s">
        <v>1754</v>
      </c>
      <c r="AI3085">
        <v>6</v>
      </c>
      <c r="AJ3085">
        <v>1</v>
      </c>
      <c r="AK3085">
        <v>2</v>
      </c>
      <c r="AL3085">
        <v>72.18000000000001</v>
      </c>
      <c r="AO3085" t="s">
        <v>2926</v>
      </c>
      <c r="AP3085">
        <v>15000</v>
      </c>
      <c r="AR3085" t="s">
        <v>2979</v>
      </c>
      <c r="AS3085" t="s">
        <v>2982</v>
      </c>
      <c r="AT3085" t="s">
        <v>2992</v>
      </c>
      <c r="AU3085" t="s">
        <v>18625</v>
      </c>
      <c r="AV3085">
        <v>27.1</v>
      </c>
      <c r="AW3085" t="s">
        <v>248</v>
      </c>
      <c r="AX3085" t="s">
        <v>85</v>
      </c>
    </row>
    <row r="3086" spans="1:50">
      <c r="A3086" s="1" t="s">
        <v>50</v>
      </c>
      <c r="B3086" t="s">
        <v>127</v>
      </c>
      <c r="C3086" t="s">
        <v>164</v>
      </c>
      <c r="D3086" t="s">
        <v>6388</v>
      </c>
      <c r="E3086" t="s">
        <v>349</v>
      </c>
      <c r="F3086" t="s">
        <v>333</v>
      </c>
      <c r="G3086" t="s">
        <v>9227</v>
      </c>
      <c r="H3086" t="s">
        <v>10791</v>
      </c>
      <c r="I3086" t="s">
        <v>11559</v>
      </c>
      <c r="J3086" t="s">
        <v>1534</v>
      </c>
      <c r="K3086" t="s">
        <v>1644</v>
      </c>
      <c r="L3086">
        <v>11237</v>
      </c>
      <c r="M3086" t="s">
        <v>1670</v>
      </c>
      <c r="Q3086" t="s">
        <v>1946</v>
      </c>
      <c r="R3086" t="s">
        <v>1962</v>
      </c>
      <c r="S3086" t="s">
        <v>1968</v>
      </c>
      <c r="T3086" t="s">
        <v>1670</v>
      </c>
      <c r="V3086" t="s">
        <v>1972</v>
      </c>
      <c r="W3086" t="s">
        <v>1984</v>
      </c>
      <c r="X3086" t="s">
        <v>349</v>
      </c>
      <c r="Y3086">
        <v>696.55</v>
      </c>
      <c r="Z3086" t="s">
        <v>2009</v>
      </c>
      <c r="AA3086" t="s">
        <v>2020</v>
      </c>
      <c r="AB3086" t="s">
        <v>2034</v>
      </c>
      <c r="AC3086" t="s">
        <v>15447</v>
      </c>
      <c r="AD3086" t="s">
        <v>17575</v>
      </c>
      <c r="AE3086" t="s">
        <v>17866</v>
      </c>
      <c r="AF3086">
        <v>16</v>
      </c>
      <c r="AG3086" t="s">
        <v>2902</v>
      </c>
      <c r="AI3086">
        <v>30</v>
      </c>
      <c r="AJ3086">
        <v>4</v>
      </c>
      <c r="AK3086">
        <v>3</v>
      </c>
      <c r="AL3086">
        <v>153.63</v>
      </c>
      <c r="AO3086" t="s">
        <v>2927</v>
      </c>
      <c r="AP3086">
        <v>58471.59</v>
      </c>
      <c r="AV3086">
        <v>29.7</v>
      </c>
      <c r="AW3086" t="s">
        <v>268</v>
      </c>
      <c r="AX3086" t="s">
        <v>127</v>
      </c>
    </row>
    <row r="3087" spans="1:50">
      <c r="A3087" s="1" t="s">
        <v>50</v>
      </c>
      <c r="B3087" t="s">
        <v>3179</v>
      </c>
      <c r="C3087" t="s">
        <v>163</v>
      </c>
      <c r="D3087" t="s">
        <v>6389</v>
      </c>
      <c r="E3087" t="s">
        <v>264</v>
      </c>
      <c r="G3087" t="s">
        <v>9228</v>
      </c>
      <c r="H3087" t="s">
        <v>8192</v>
      </c>
      <c r="I3087" t="s">
        <v>11560</v>
      </c>
      <c r="J3087" t="s">
        <v>11778</v>
      </c>
      <c r="K3087" t="s">
        <v>1641</v>
      </c>
      <c r="L3087">
        <v>10455</v>
      </c>
      <c r="M3087" t="s">
        <v>1670</v>
      </c>
      <c r="Q3087" t="s">
        <v>1945</v>
      </c>
      <c r="R3087" t="s">
        <v>1959</v>
      </c>
      <c r="T3087" t="s">
        <v>1671</v>
      </c>
      <c r="V3087" t="s">
        <v>1980</v>
      </c>
      <c r="X3087" t="s">
        <v>264</v>
      </c>
      <c r="Y3087">
        <v>1172.53</v>
      </c>
      <c r="Z3087" t="s">
        <v>2006</v>
      </c>
      <c r="AA3087" t="s">
        <v>2020</v>
      </c>
      <c r="AC3087" t="s">
        <v>15448</v>
      </c>
      <c r="AD3087" t="s">
        <v>17576</v>
      </c>
      <c r="AE3087" t="s">
        <v>17867</v>
      </c>
      <c r="AF3087">
        <v>44</v>
      </c>
      <c r="AG3087" t="s">
        <v>2902</v>
      </c>
      <c r="AH3087" t="s">
        <v>1754</v>
      </c>
      <c r="AI3087">
        <v>18</v>
      </c>
      <c r="AJ3087">
        <v>2</v>
      </c>
      <c r="AK3087">
        <v>4</v>
      </c>
      <c r="AL3087">
        <v>46.85</v>
      </c>
      <c r="AO3087" t="s">
        <v>2926</v>
      </c>
      <c r="AP3087">
        <v>15808</v>
      </c>
      <c r="AV3087">
        <v>2.25</v>
      </c>
      <c r="AW3087" t="s">
        <v>219</v>
      </c>
      <c r="AX3087" t="s">
        <v>3046</v>
      </c>
    </row>
    <row r="3088" spans="1:50">
      <c r="A3088" s="1" t="s">
        <v>50</v>
      </c>
      <c r="B3088" t="s">
        <v>107</v>
      </c>
      <c r="C3088" t="s">
        <v>163</v>
      </c>
      <c r="D3088" t="s">
        <v>6390</v>
      </c>
      <c r="E3088" t="s">
        <v>231</v>
      </c>
      <c r="G3088" t="s">
        <v>9229</v>
      </c>
      <c r="H3088" t="s">
        <v>10792</v>
      </c>
      <c r="I3088" t="s">
        <v>11561</v>
      </c>
      <c r="J3088">
        <v>2</v>
      </c>
      <c r="K3088" t="s">
        <v>1644</v>
      </c>
      <c r="L3088">
        <v>11233</v>
      </c>
      <c r="M3088" t="s">
        <v>1670</v>
      </c>
      <c r="P3088" t="s">
        <v>12855</v>
      </c>
      <c r="Q3088" t="s">
        <v>1940</v>
      </c>
      <c r="R3088" t="s">
        <v>1958</v>
      </c>
      <c r="T3088" t="s">
        <v>1671</v>
      </c>
      <c r="V3088" t="s">
        <v>1972</v>
      </c>
      <c r="W3088" t="s">
        <v>1984</v>
      </c>
      <c r="X3088" t="s">
        <v>266</v>
      </c>
      <c r="Y3088" t="s">
        <v>13051</v>
      </c>
      <c r="Z3088" t="s">
        <v>2009</v>
      </c>
      <c r="AA3088" t="s">
        <v>2014</v>
      </c>
      <c r="AC3088" t="s">
        <v>15449</v>
      </c>
      <c r="AD3088" t="s">
        <v>17577</v>
      </c>
      <c r="AE3088" t="s">
        <v>17868</v>
      </c>
      <c r="AF3088">
        <v>2</v>
      </c>
      <c r="AG3088" t="s">
        <v>2903</v>
      </c>
      <c r="AH3088" t="s">
        <v>1754</v>
      </c>
      <c r="AI3088">
        <v>5</v>
      </c>
      <c r="AJ3088">
        <v>1</v>
      </c>
      <c r="AK3088">
        <v>1</v>
      </c>
      <c r="AL3088">
        <v>110.57</v>
      </c>
      <c r="AP3088">
        <v>18200</v>
      </c>
      <c r="AV3088">
        <v>4.3</v>
      </c>
      <c r="AW3088" t="s">
        <v>294</v>
      </c>
      <c r="AX3088" t="s">
        <v>3074</v>
      </c>
    </row>
    <row r="3089" spans="1:50">
      <c r="A3089" s="1" t="s">
        <v>50</v>
      </c>
      <c r="B3089" t="s">
        <v>119</v>
      </c>
      <c r="C3089" t="s">
        <v>163</v>
      </c>
      <c r="D3089" t="s">
        <v>6391</v>
      </c>
      <c r="E3089" t="s">
        <v>238</v>
      </c>
      <c r="G3089" t="s">
        <v>9230</v>
      </c>
      <c r="H3089" t="s">
        <v>984</v>
      </c>
      <c r="I3089" t="s">
        <v>11562</v>
      </c>
      <c r="J3089" t="s">
        <v>1539</v>
      </c>
      <c r="K3089" t="s">
        <v>1644</v>
      </c>
      <c r="L3089">
        <v>11208</v>
      </c>
      <c r="M3089" t="s">
        <v>1670</v>
      </c>
      <c r="P3089" t="s">
        <v>12856</v>
      </c>
      <c r="Q3089" t="s">
        <v>1936</v>
      </c>
      <c r="R3089" t="s">
        <v>1960</v>
      </c>
      <c r="V3089" t="s">
        <v>1972</v>
      </c>
      <c r="X3089" t="s">
        <v>266</v>
      </c>
      <c r="Y3089">
        <v>1088</v>
      </c>
      <c r="Z3089" t="s">
        <v>2009</v>
      </c>
      <c r="AA3089" t="s">
        <v>2014</v>
      </c>
      <c r="AC3089" t="s">
        <v>15450</v>
      </c>
      <c r="AD3089" t="s">
        <v>17578</v>
      </c>
      <c r="AE3089" t="s">
        <v>17869</v>
      </c>
      <c r="AF3089">
        <v>6</v>
      </c>
      <c r="AH3089" t="s">
        <v>2915</v>
      </c>
      <c r="AI3089">
        <v>13</v>
      </c>
      <c r="AJ3089">
        <v>1</v>
      </c>
      <c r="AK3089">
        <v>1</v>
      </c>
      <c r="AL3089">
        <v>78.98</v>
      </c>
      <c r="AO3089" t="s">
        <v>2926</v>
      </c>
      <c r="AP3089">
        <v>13000</v>
      </c>
      <c r="AV3089">
        <v>18.3</v>
      </c>
      <c r="AW3089" t="s">
        <v>400</v>
      </c>
      <c r="AX3089" t="s">
        <v>3074</v>
      </c>
    </row>
    <row r="3090" spans="1:50">
      <c r="A3090" s="1" t="s">
        <v>50</v>
      </c>
      <c r="B3090" t="s">
        <v>130</v>
      </c>
      <c r="C3090" t="s">
        <v>164</v>
      </c>
      <c r="D3090" t="s">
        <v>6392</v>
      </c>
      <c r="E3090" t="s">
        <v>381</v>
      </c>
      <c r="F3090" t="s">
        <v>206</v>
      </c>
      <c r="G3090" t="s">
        <v>427</v>
      </c>
      <c r="H3090" t="s">
        <v>10737</v>
      </c>
      <c r="I3090" t="s">
        <v>10225</v>
      </c>
      <c r="J3090" t="s">
        <v>1509</v>
      </c>
      <c r="K3090" t="s">
        <v>1644</v>
      </c>
      <c r="L3090">
        <v>11237</v>
      </c>
      <c r="M3090" t="s">
        <v>1670</v>
      </c>
      <c r="P3090" t="s">
        <v>1675</v>
      </c>
      <c r="Q3090" t="s">
        <v>1937</v>
      </c>
      <c r="R3090" t="s">
        <v>1959</v>
      </c>
      <c r="S3090" t="s">
        <v>1966</v>
      </c>
      <c r="T3090" t="s">
        <v>1670</v>
      </c>
      <c r="V3090" t="s">
        <v>1972</v>
      </c>
      <c r="X3090" t="s">
        <v>375</v>
      </c>
      <c r="Y3090">
        <v>1150</v>
      </c>
      <c r="Z3090" t="s">
        <v>2009</v>
      </c>
      <c r="AA3090" t="s">
        <v>2016</v>
      </c>
      <c r="AB3090" t="s">
        <v>2030</v>
      </c>
      <c r="AC3090" t="s">
        <v>15451</v>
      </c>
      <c r="AD3090" t="s">
        <v>17579</v>
      </c>
      <c r="AE3090" t="s">
        <v>15077</v>
      </c>
      <c r="AF3090">
        <v>6</v>
      </c>
      <c r="AG3090" t="s">
        <v>2902</v>
      </c>
      <c r="AI3090">
        <v>9</v>
      </c>
      <c r="AJ3090">
        <v>3</v>
      </c>
      <c r="AK3090">
        <v>3</v>
      </c>
      <c r="AL3090">
        <v>67.65000000000001</v>
      </c>
      <c r="AO3090" t="s">
        <v>2927</v>
      </c>
      <c r="AP3090">
        <v>23400</v>
      </c>
      <c r="AV3090">
        <v>0.1</v>
      </c>
      <c r="AW3090" t="s">
        <v>208</v>
      </c>
      <c r="AX3090" t="s">
        <v>3060</v>
      </c>
    </row>
    <row r="3091" spans="1:50">
      <c r="A3091" s="1" t="s">
        <v>50</v>
      </c>
      <c r="B3091" t="s">
        <v>130</v>
      </c>
      <c r="C3091" t="s">
        <v>164</v>
      </c>
      <c r="D3091" t="s">
        <v>6393</v>
      </c>
      <c r="E3091" t="s">
        <v>335</v>
      </c>
      <c r="F3091" t="s">
        <v>206</v>
      </c>
      <c r="G3091" t="s">
        <v>427</v>
      </c>
      <c r="H3091" t="s">
        <v>10737</v>
      </c>
      <c r="I3091" t="s">
        <v>10225</v>
      </c>
      <c r="J3091" t="s">
        <v>1509</v>
      </c>
      <c r="K3091" t="s">
        <v>1644</v>
      </c>
      <c r="L3091">
        <v>11237</v>
      </c>
      <c r="M3091" t="s">
        <v>1670</v>
      </c>
      <c r="Q3091" t="s">
        <v>1675</v>
      </c>
      <c r="R3091" t="s">
        <v>1959</v>
      </c>
      <c r="S3091" t="s">
        <v>1966</v>
      </c>
      <c r="T3091" t="s">
        <v>1670</v>
      </c>
      <c r="V3091" t="s">
        <v>1972</v>
      </c>
      <c r="X3091" t="s">
        <v>335</v>
      </c>
      <c r="Y3091">
        <v>1150</v>
      </c>
      <c r="Z3091" t="s">
        <v>2009</v>
      </c>
      <c r="AA3091" t="s">
        <v>2016</v>
      </c>
      <c r="AB3091" t="s">
        <v>2030</v>
      </c>
      <c r="AC3091" t="s">
        <v>15451</v>
      </c>
      <c r="AD3091" t="s">
        <v>17579</v>
      </c>
      <c r="AE3091" t="s">
        <v>15077</v>
      </c>
      <c r="AF3091">
        <v>6</v>
      </c>
      <c r="AG3091" t="s">
        <v>2902</v>
      </c>
      <c r="AI3091">
        <v>9</v>
      </c>
      <c r="AJ3091">
        <v>3</v>
      </c>
      <c r="AK3091">
        <v>3</v>
      </c>
      <c r="AL3091">
        <v>73.98</v>
      </c>
      <c r="AO3091" t="s">
        <v>2927</v>
      </c>
      <c r="AP3091">
        <v>24960</v>
      </c>
      <c r="AV3091">
        <v>1.4</v>
      </c>
      <c r="AW3091" t="s">
        <v>335</v>
      </c>
      <c r="AX3091" t="s">
        <v>130</v>
      </c>
    </row>
    <row r="3092" spans="1:50">
      <c r="A3092" s="1" t="s">
        <v>50</v>
      </c>
      <c r="B3092" t="s">
        <v>142</v>
      </c>
      <c r="C3092" t="s">
        <v>163</v>
      </c>
      <c r="D3092" t="s">
        <v>6394</v>
      </c>
      <c r="E3092" t="s">
        <v>215</v>
      </c>
      <c r="G3092" t="s">
        <v>9231</v>
      </c>
      <c r="H3092" t="s">
        <v>1093</v>
      </c>
      <c r="I3092" t="s">
        <v>11563</v>
      </c>
      <c r="J3092" t="s">
        <v>1551</v>
      </c>
      <c r="K3092" t="s">
        <v>1641</v>
      </c>
      <c r="L3092">
        <v>10457</v>
      </c>
      <c r="M3092" t="s">
        <v>1670</v>
      </c>
      <c r="P3092" t="s">
        <v>12857</v>
      </c>
      <c r="Q3092" t="s">
        <v>1936</v>
      </c>
      <c r="R3092" t="s">
        <v>1960</v>
      </c>
      <c r="T3092" t="s">
        <v>1671</v>
      </c>
      <c r="V3092" t="s">
        <v>1972</v>
      </c>
      <c r="W3092" t="s">
        <v>1984</v>
      </c>
      <c r="X3092" t="s">
        <v>370</v>
      </c>
      <c r="Y3092">
        <v>1840</v>
      </c>
      <c r="Z3092" t="s">
        <v>2006</v>
      </c>
      <c r="AA3092" t="s">
        <v>2023</v>
      </c>
      <c r="AC3092" t="s">
        <v>15452</v>
      </c>
      <c r="AD3092" t="s">
        <v>17580</v>
      </c>
      <c r="AE3092" t="s">
        <v>17870</v>
      </c>
      <c r="AF3092">
        <v>120</v>
      </c>
      <c r="AG3092" t="s">
        <v>2910</v>
      </c>
      <c r="AH3092" t="s">
        <v>1754</v>
      </c>
      <c r="AI3092">
        <v>2</v>
      </c>
      <c r="AJ3092">
        <v>3</v>
      </c>
      <c r="AK3092">
        <v>2</v>
      </c>
      <c r="AL3092">
        <v>171.64</v>
      </c>
      <c r="AO3092" t="s">
        <v>2926</v>
      </c>
      <c r="AP3092">
        <v>50496</v>
      </c>
      <c r="AV3092">
        <v>86.55</v>
      </c>
      <c r="AW3092" t="s">
        <v>289</v>
      </c>
      <c r="AX3092" t="s">
        <v>18675</v>
      </c>
    </row>
    <row r="3093" spans="1:50">
      <c r="A3093" s="1" t="s">
        <v>50</v>
      </c>
      <c r="B3093" t="s">
        <v>90</v>
      </c>
      <c r="C3093" t="s">
        <v>164</v>
      </c>
      <c r="D3093" t="s">
        <v>6395</v>
      </c>
      <c r="E3093" t="s">
        <v>273</v>
      </c>
      <c r="F3093" t="s">
        <v>301</v>
      </c>
      <c r="G3093" t="s">
        <v>689</v>
      </c>
      <c r="H3093" t="s">
        <v>808</v>
      </c>
      <c r="I3093" t="s">
        <v>10109</v>
      </c>
      <c r="J3093" t="s">
        <v>1486</v>
      </c>
      <c r="K3093" t="s">
        <v>1646</v>
      </c>
      <c r="L3093">
        <v>10304</v>
      </c>
      <c r="M3093" t="s">
        <v>1670</v>
      </c>
      <c r="P3093" t="s">
        <v>12858</v>
      </c>
      <c r="Q3093" t="s">
        <v>1936</v>
      </c>
      <c r="R3093" t="s">
        <v>1960</v>
      </c>
      <c r="S3093" t="s">
        <v>1969</v>
      </c>
      <c r="T3093" t="s">
        <v>1671</v>
      </c>
      <c r="V3093" t="s">
        <v>1972</v>
      </c>
      <c r="W3093" t="s">
        <v>1984</v>
      </c>
      <c r="X3093" t="s">
        <v>273</v>
      </c>
      <c r="Y3093">
        <v>1300</v>
      </c>
      <c r="Z3093" t="s">
        <v>2010</v>
      </c>
      <c r="AA3093" t="s">
        <v>2020</v>
      </c>
      <c r="AB3093" t="s">
        <v>2042</v>
      </c>
      <c r="AC3093" t="s">
        <v>2324</v>
      </c>
      <c r="AD3093" t="s">
        <v>17581</v>
      </c>
      <c r="AE3093" t="s">
        <v>17871</v>
      </c>
      <c r="AF3093">
        <v>8</v>
      </c>
      <c r="AG3093" t="s">
        <v>2902</v>
      </c>
      <c r="AH3093" t="s">
        <v>1754</v>
      </c>
      <c r="AI3093">
        <v>7</v>
      </c>
      <c r="AJ3093">
        <v>4</v>
      </c>
      <c r="AK3093">
        <v>2</v>
      </c>
      <c r="AL3093">
        <v>32.65</v>
      </c>
      <c r="AO3093" t="s">
        <v>2926</v>
      </c>
      <c r="AP3093">
        <v>11016</v>
      </c>
      <c r="AV3093">
        <v>9.65</v>
      </c>
      <c r="AW3093" t="s">
        <v>310</v>
      </c>
      <c r="AX3093" t="s">
        <v>3057</v>
      </c>
    </row>
    <row r="3094" spans="1:50">
      <c r="A3094" s="1" t="s">
        <v>50</v>
      </c>
      <c r="B3094" t="s">
        <v>3144</v>
      </c>
      <c r="C3094" t="s">
        <v>164</v>
      </c>
      <c r="D3094" t="s">
        <v>6396</v>
      </c>
      <c r="E3094" t="s">
        <v>6773</v>
      </c>
      <c r="F3094" t="s">
        <v>308</v>
      </c>
      <c r="G3094" t="s">
        <v>724</v>
      </c>
      <c r="H3094" t="s">
        <v>918</v>
      </c>
      <c r="I3094" t="s">
        <v>11564</v>
      </c>
      <c r="J3094" t="s">
        <v>1482</v>
      </c>
      <c r="K3094" t="s">
        <v>1641</v>
      </c>
      <c r="L3094">
        <v>10467</v>
      </c>
      <c r="M3094" t="s">
        <v>1670</v>
      </c>
      <c r="P3094" t="s">
        <v>12859</v>
      </c>
      <c r="Q3094" t="s">
        <v>1941</v>
      </c>
      <c r="R3094" t="s">
        <v>1959</v>
      </c>
      <c r="S3094" t="s">
        <v>1965</v>
      </c>
      <c r="T3094" t="s">
        <v>1671</v>
      </c>
      <c r="V3094" t="s">
        <v>13033</v>
      </c>
      <c r="X3094" t="s">
        <v>1992</v>
      </c>
      <c r="Y3094">
        <v>908.25</v>
      </c>
      <c r="Z3094" t="s">
        <v>2006</v>
      </c>
      <c r="AA3094" t="s">
        <v>2020</v>
      </c>
      <c r="AB3094" t="s">
        <v>2029</v>
      </c>
      <c r="AC3094" t="s">
        <v>15453</v>
      </c>
      <c r="AD3094" t="s">
        <v>17582</v>
      </c>
      <c r="AE3094" t="s">
        <v>17872</v>
      </c>
      <c r="AF3094">
        <v>49</v>
      </c>
      <c r="AG3094" t="s">
        <v>2902</v>
      </c>
      <c r="AH3094" t="s">
        <v>2915</v>
      </c>
      <c r="AI3094">
        <v>22</v>
      </c>
      <c r="AJ3094">
        <v>2</v>
      </c>
      <c r="AK3094">
        <v>2</v>
      </c>
      <c r="AL3094">
        <v>71.5</v>
      </c>
      <c r="AO3094" t="s">
        <v>2927</v>
      </c>
      <c r="AP3094">
        <v>17589.36</v>
      </c>
      <c r="AV3094">
        <v>0.25</v>
      </c>
      <c r="AW3094" t="s">
        <v>18681</v>
      </c>
      <c r="AX3094" t="s">
        <v>3046</v>
      </c>
    </row>
    <row r="3095" spans="1:50">
      <c r="A3095" s="1" t="s">
        <v>50</v>
      </c>
      <c r="B3095" t="s">
        <v>103</v>
      </c>
      <c r="C3095" t="s">
        <v>163</v>
      </c>
      <c r="D3095" t="s">
        <v>6397</v>
      </c>
      <c r="E3095" t="s">
        <v>6764</v>
      </c>
      <c r="G3095" t="s">
        <v>9232</v>
      </c>
      <c r="H3095" t="s">
        <v>10793</v>
      </c>
      <c r="I3095" t="s">
        <v>11565</v>
      </c>
      <c r="J3095" t="s">
        <v>1507</v>
      </c>
      <c r="K3095" t="s">
        <v>1644</v>
      </c>
      <c r="L3095">
        <v>11208</v>
      </c>
      <c r="M3095" t="s">
        <v>1670</v>
      </c>
      <c r="P3095" t="s">
        <v>12860</v>
      </c>
      <c r="Q3095" t="s">
        <v>1936</v>
      </c>
      <c r="R3095" t="s">
        <v>1960</v>
      </c>
      <c r="V3095" t="s">
        <v>1972</v>
      </c>
      <c r="X3095" t="s">
        <v>352</v>
      </c>
      <c r="Y3095">
        <v>1020</v>
      </c>
      <c r="Z3095" t="s">
        <v>2009</v>
      </c>
      <c r="AA3095" t="s">
        <v>2018</v>
      </c>
      <c r="AC3095" t="s">
        <v>15454</v>
      </c>
      <c r="AD3095" t="s">
        <v>17583</v>
      </c>
      <c r="AE3095" t="s">
        <v>17873</v>
      </c>
      <c r="AF3095">
        <v>20</v>
      </c>
      <c r="AH3095" t="s">
        <v>1754</v>
      </c>
      <c r="AI3095">
        <v>12</v>
      </c>
      <c r="AJ3095">
        <v>4</v>
      </c>
      <c r="AK3095">
        <v>1</v>
      </c>
      <c r="AL3095">
        <v>81.58</v>
      </c>
      <c r="AO3095" t="s">
        <v>2926</v>
      </c>
      <c r="AP3095">
        <v>24000</v>
      </c>
      <c r="AV3095">
        <v>24.35</v>
      </c>
      <c r="AW3095" t="s">
        <v>406</v>
      </c>
      <c r="AX3095" t="s">
        <v>3069</v>
      </c>
    </row>
    <row r="3096" spans="1:50">
      <c r="A3096" s="1" t="s">
        <v>50</v>
      </c>
      <c r="B3096" t="s">
        <v>53</v>
      </c>
      <c r="C3096" t="s">
        <v>163</v>
      </c>
      <c r="D3096" t="s">
        <v>6398</v>
      </c>
      <c r="E3096" t="s">
        <v>222</v>
      </c>
      <c r="G3096" t="s">
        <v>9233</v>
      </c>
      <c r="H3096" t="s">
        <v>806</v>
      </c>
      <c r="I3096" t="s">
        <v>11566</v>
      </c>
      <c r="J3096" t="s">
        <v>1521</v>
      </c>
      <c r="K3096" t="s">
        <v>1647</v>
      </c>
      <c r="L3096">
        <v>11435</v>
      </c>
      <c r="M3096" t="s">
        <v>1670</v>
      </c>
      <c r="P3096" t="s">
        <v>12861</v>
      </c>
      <c r="Q3096" t="s">
        <v>1940</v>
      </c>
      <c r="R3096" t="s">
        <v>1960</v>
      </c>
      <c r="T3096" t="s">
        <v>1671</v>
      </c>
      <c r="V3096" t="s">
        <v>1972</v>
      </c>
      <c r="W3096" t="s">
        <v>1984</v>
      </c>
      <c r="X3096" t="s">
        <v>222</v>
      </c>
      <c r="Y3096">
        <v>1100</v>
      </c>
      <c r="Z3096" t="s">
        <v>2007</v>
      </c>
      <c r="AA3096" t="s">
        <v>2014</v>
      </c>
      <c r="AC3096" t="s">
        <v>15455</v>
      </c>
      <c r="AD3096" t="s">
        <v>17584</v>
      </c>
      <c r="AE3096" t="s">
        <v>17874</v>
      </c>
      <c r="AF3096">
        <v>2</v>
      </c>
      <c r="AG3096" t="s">
        <v>2903</v>
      </c>
      <c r="AH3096" t="s">
        <v>1754</v>
      </c>
      <c r="AI3096">
        <v>6</v>
      </c>
      <c r="AJ3096">
        <v>1</v>
      </c>
      <c r="AK3096">
        <v>2</v>
      </c>
      <c r="AL3096">
        <v>150.02</v>
      </c>
      <c r="AO3096" t="s">
        <v>2927</v>
      </c>
      <c r="AP3096">
        <v>32000</v>
      </c>
      <c r="AV3096">
        <v>3.65</v>
      </c>
      <c r="AW3096" t="s">
        <v>388</v>
      </c>
      <c r="AX3096" t="s">
        <v>3044</v>
      </c>
    </row>
    <row r="3097" spans="1:50">
      <c r="A3097" s="1" t="s">
        <v>50</v>
      </c>
      <c r="B3097" t="s">
        <v>151</v>
      </c>
      <c r="C3097" t="s">
        <v>163</v>
      </c>
      <c r="D3097" t="s">
        <v>6399</v>
      </c>
      <c r="E3097" t="s">
        <v>333</v>
      </c>
      <c r="G3097" t="s">
        <v>6946</v>
      </c>
      <c r="H3097" t="s">
        <v>10794</v>
      </c>
      <c r="I3097" t="s">
        <v>11567</v>
      </c>
      <c r="J3097" t="s">
        <v>11779</v>
      </c>
      <c r="K3097" t="s">
        <v>1647</v>
      </c>
      <c r="L3097">
        <v>11436</v>
      </c>
      <c r="M3097" t="s">
        <v>1670</v>
      </c>
      <c r="P3097" t="s">
        <v>12862</v>
      </c>
      <c r="Q3097" t="s">
        <v>1940</v>
      </c>
      <c r="R3097" t="s">
        <v>1960</v>
      </c>
      <c r="T3097" t="s">
        <v>1671</v>
      </c>
      <c r="V3097" t="s">
        <v>1972</v>
      </c>
      <c r="W3097" t="s">
        <v>1984</v>
      </c>
      <c r="X3097" t="s">
        <v>333</v>
      </c>
      <c r="Y3097">
        <v>17000</v>
      </c>
      <c r="Z3097" t="s">
        <v>2007</v>
      </c>
      <c r="AA3097" t="s">
        <v>2014</v>
      </c>
      <c r="AC3097" t="s">
        <v>15456</v>
      </c>
      <c r="AD3097" t="s">
        <v>17585</v>
      </c>
      <c r="AE3097" t="s">
        <v>17875</v>
      </c>
      <c r="AF3097">
        <v>2</v>
      </c>
      <c r="AG3097" t="s">
        <v>2909</v>
      </c>
      <c r="AH3097" t="s">
        <v>2915</v>
      </c>
      <c r="AI3097">
        <v>3</v>
      </c>
      <c r="AJ3097">
        <v>5</v>
      </c>
      <c r="AK3097">
        <v>1</v>
      </c>
      <c r="AL3097">
        <v>52.04</v>
      </c>
      <c r="AO3097" t="s">
        <v>2926</v>
      </c>
      <c r="AP3097">
        <v>18000</v>
      </c>
      <c r="AV3097">
        <v>1.55</v>
      </c>
      <c r="AW3097" t="s">
        <v>289</v>
      </c>
      <c r="AX3097" t="s">
        <v>3078</v>
      </c>
    </row>
    <row r="3098" spans="1:50">
      <c r="A3098" s="1" t="s">
        <v>50</v>
      </c>
      <c r="B3098" t="s">
        <v>73</v>
      </c>
      <c r="C3098" t="s">
        <v>163</v>
      </c>
      <c r="D3098" t="s">
        <v>6400</v>
      </c>
      <c r="E3098" t="s">
        <v>186</v>
      </c>
      <c r="G3098" t="s">
        <v>479</v>
      </c>
      <c r="H3098" t="s">
        <v>803</v>
      </c>
      <c r="I3098" t="s">
        <v>11568</v>
      </c>
      <c r="J3098">
        <v>1</v>
      </c>
      <c r="K3098" t="s">
        <v>1645</v>
      </c>
      <c r="L3098">
        <v>11691</v>
      </c>
      <c r="M3098" t="s">
        <v>1670</v>
      </c>
      <c r="P3098" t="s">
        <v>12863</v>
      </c>
      <c r="Q3098" t="s">
        <v>1950</v>
      </c>
      <c r="R3098" t="s">
        <v>1962</v>
      </c>
      <c r="T3098" t="s">
        <v>1671</v>
      </c>
      <c r="V3098" t="s">
        <v>1972</v>
      </c>
      <c r="X3098" t="s">
        <v>186</v>
      </c>
      <c r="Y3098">
        <v>1100</v>
      </c>
      <c r="Z3098" t="s">
        <v>2007</v>
      </c>
      <c r="AA3098" t="s">
        <v>2014</v>
      </c>
      <c r="AC3098" t="s">
        <v>15457</v>
      </c>
      <c r="AD3098" t="s">
        <v>17586</v>
      </c>
      <c r="AE3098" t="s">
        <v>17876</v>
      </c>
      <c r="AF3098">
        <v>3</v>
      </c>
      <c r="AG3098" t="s">
        <v>2902</v>
      </c>
      <c r="AH3098" t="s">
        <v>1754</v>
      </c>
      <c r="AI3098">
        <v>1</v>
      </c>
      <c r="AJ3098">
        <v>1</v>
      </c>
      <c r="AK3098">
        <v>2</v>
      </c>
      <c r="AL3098">
        <v>136.52</v>
      </c>
      <c r="AO3098" t="s">
        <v>2926</v>
      </c>
      <c r="AP3098">
        <v>29120.04</v>
      </c>
      <c r="AV3098" t="s">
        <v>13051</v>
      </c>
      <c r="AX3098" t="s">
        <v>73</v>
      </c>
    </row>
    <row r="3099" spans="1:50">
      <c r="A3099" s="1" t="s">
        <v>50</v>
      </c>
      <c r="B3099" t="s">
        <v>73</v>
      </c>
      <c r="C3099" t="s">
        <v>163</v>
      </c>
      <c r="D3099" t="s">
        <v>6401</v>
      </c>
      <c r="E3099" t="s">
        <v>243</v>
      </c>
      <c r="G3099" t="s">
        <v>479</v>
      </c>
      <c r="H3099" t="s">
        <v>803</v>
      </c>
      <c r="I3099" t="s">
        <v>11568</v>
      </c>
      <c r="J3099">
        <v>1</v>
      </c>
      <c r="K3099" t="s">
        <v>1645</v>
      </c>
      <c r="L3099">
        <v>11691</v>
      </c>
      <c r="M3099" t="s">
        <v>1670</v>
      </c>
      <c r="P3099" t="s">
        <v>12863</v>
      </c>
      <c r="Q3099" t="s">
        <v>1936</v>
      </c>
      <c r="R3099" t="s">
        <v>1960</v>
      </c>
      <c r="T3099" t="s">
        <v>1671</v>
      </c>
      <c r="V3099" t="s">
        <v>1972</v>
      </c>
      <c r="W3099" t="s">
        <v>1984</v>
      </c>
      <c r="X3099" t="s">
        <v>214</v>
      </c>
      <c r="Y3099">
        <v>1100</v>
      </c>
      <c r="Z3099" t="s">
        <v>2007</v>
      </c>
      <c r="AA3099" t="s">
        <v>2014</v>
      </c>
      <c r="AC3099" t="s">
        <v>15457</v>
      </c>
      <c r="AD3099" t="s">
        <v>17586</v>
      </c>
      <c r="AE3099" t="s">
        <v>17876</v>
      </c>
      <c r="AF3099">
        <v>3</v>
      </c>
      <c r="AG3099" t="s">
        <v>2902</v>
      </c>
      <c r="AH3099" t="s">
        <v>1754</v>
      </c>
      <c r="AI3099">
        <v>1</v>
      </c>
      <c r="AJ3099">
        <v>1</v>
      </c>
      <c r="AK3099">
        <v>2</v>
      </c>
      <c r="AL3099">
        <v>140.13</v>
      </c>
      <c r="AO3099" t="s">
        <v>2926</v>
      </c>
      <c r="AP3099">
        <v>29120</v>
      </c>
      <c r="AR3099" t="s">
        <v>2977</v>
      </c>
      <c r="AS3099" t="s">
        <v>2990</v>
      </c>
      <c r="AV3099">
        <v>8.970000000000001</v>
      </c>
      <c r="AW3099" t="s">
        <v>409</v>
      </c>
      <c r="AX3099" t="s">
        <v>3044</v>
      </c>
    </row>
    <row r="3100" spans="1:50">
      <c r="A3100" s="1" t="s">
        <v>50</v>
      </c>
      <c r="B3100" t="s">
        <v>151</v>
      </c>
      <c r="C3100" t="s">
        <v>163</v>
      </c>
      <c r="D3100" t="s">
        <v>6402</v>
      </c>
      <c r="E3100" t="s">
        <v>339</v>
      </c>
      <c r="G3100" t="s">
        <v>9234</v>
      </c>
      <c r="H3100" t="s">
        <v>10795</v>
      </c>
      <c r="I3100" t="s">
        <v>11569</v>
      </c>
      <c r="J3100" t="s">
        <v>1486</v>
      </c>
      <c r="K3100" t="s">
        <v>11746</v>
      </c>
      <c r="L3100">
        <v>11416</v>
      </c>
      <c r="M3100" t="s">
        <v>1670</v>
      </c>
      <c r="P3100" t="s">
        <v>12864</v>
      </c>
      <c r="Q3100" t="s">
        <v>1936</v>
      </c>
      <c r="R3100" t="s">
        <v>1960</v>
      </c>
      <c r="T3100" t="s">
        <v>1671</v>
      </c>
      <c r="V3100" t="s">
        <v>1972</v>
      </c>
      <c r="W3100" t="s">
        <v>1984</v>
      </c>
      <c r="X3100" t="s">
        <v>339</v>
      </c>
      <c r="Y3100">
        <v>1600</v>
      </c>
      <c r="Z3100" t="s">
        <v>2007</v>
      </c>
      <c r="AA3100" t="s">
        <v>2014</v>
      </c>
      <c r="AC3100" t="s">
        <v>15458</v>
      </c>
      <c r="AD3100" t="s">
        <v>17587</v>
      </c>
      <c r="AE3100" t="s">
        <v>17877</v>
      </c>
      <c r="AF3100">
        <v>6</v>
      </c>
      <c r="AG3100" t="s">
        <v>2903</v>
      </c>
      <c r="AH3100" t="s">
        <v>1754</v>
      </c>
      <c r="AI3100">
        <v>14</v>
      </c>
      <c r="AJ3100">
        <v>1</v>
      </c>
      <c r="AK3100">
        <v>1</v>
      </c>
      <c r="AL3100">
        <v>41.66</v>
      </c>
      <c r="AO3100" t="s">
        <v>18048</v>
      </c>
      <c r="AP3100">
        <v>7044</v>
      </c>
      <c r="AV3100">
        <v>18.4</v>
      </c>
      <c r="AW3100" t="s">
        <v>3030</v>
      </c>
      <c r="AX3100" t="s">
        <v>3044</v>
      </c>
    </row>
    <row r="3101" spans="1:50">
      <c r="A3101" s="1" t="s">
        <v>50</v>
      </c>
      <c r="B3101" t="s">
        <v>55</v>
      </c>
      <c r="C3101" t="s">
        <v>164</v>
      </c>
      <c r="D3101" t="s">
        <v>6403</v>
      </c>
      <c r="E3101" t="s">
        <v>6215</v>
      </c>
      <c r="F3101" t="s">
        <v>344</v>
      </c>
      <c r="G3101" t="s">
        <v>9235</v>
      </c>
      <c r="H3101" t="s">
        <v>10796</v>
      </c>
      <c r="I3101" t="s">
        <v>10590</v>
      </c>
      <c r="J3101" t="s">
        <v>11780</v>
      </c>
      <c r="K3101" t="s">
        <v>1644</v>
      </c>
      <c r="L3101">
        <v>11239</v>
      </c>
      <c r="M3101" t="s">
        <v>1670</v>
      </c>
      <c r="P3101" t="s">
        <v>1693</v>
      </c>
      <c r="Q3101" t="s">
        <v>1675</v>
      </c>
      <c r="R3101" t="s">
        <v>1958</v>
      </c>
      <c r="S3101" t="s">
        <v>1965</v>
      </c>
      <c r="T3101" t="s">
        <v>1670</v>
      </c>
      <c r="V3101" t="s">
        <v>1972</v>
      </c>
      <c r="X3101" t="s">
        <v>6764</v>
      </c>
      <c r="Y3101">
        <v>2800</v>
      </c>
      <c r="Z3101" t="s">
        <v>2009</v>
      </c>
      <c r="AA3101" t="s">
        <v>2026</v>
      </c>
      <c r="AB3101" t="s">
        <v>2029</v>
      </c>
      <c r="AC3101" t="s">
        <v>15459</v>
      </c>
      <c r="AD3101" t="s">
        <v>17588</v>
      </c>
      <c r="AE3101" t="s">
        <v>17878</v>
      </c>
      <c r="AF3101">
        <v>136</v>
      </c>
      <c r="AG3101" t="s">
        <v>2909</v>
      </c>
      <c r="AH3101" t="s">
        <v>2922</v>
      </c>
      <c r="AI3101">
        <v>15</v>
      </c>
      <c r="AJ3101">
        <v>1</v>
      </c>
      <c r="AK3101">
        <v>3</v>
      </c>
      <c r="AL3101">
        <v>51.01</v>
      </c>
      <c r="AO3101" t="s">
        <v>2926</v>
      </c>
      <c r="AP3101">
        <v>12804</v>
      </c>
      <c r="AQ3101" t="s">
        <v>2953</v>
      </c>
      <c r="AV3101">
        <v>3.75</v>
      </c>
      <c r="AW3101" t="s">
        <v>344</v>
      </c>
      <c r="AX3101" t="s">
        <v>3058</v>
      </c>
    </row>
    <row r="3102" spans="1:50">
      <c r="A3102" s="1" t="s">
        <v>50</v>
      </c>
      <c r="B3102" t="s">
        <v>3155</v>
      </c>
      <c r="C3102" t="s">
        <v>164</v>
      </c>
      <c r="D3102" t="s">
        <v>6404</v>
      </c>
      <c r="E3102" t="s">
        <v>372</v>
      </c>
      <c r="F3102" t="s">
        <v>210</v>
      </c>
      <c r="G3102" t="s">
        <v>9235</v>
      </c>
      <c r="H3102" t="s">
        <v>10796</v>
      </c>
      <c r="I3102" t="s">
        <v>10590</v>
      </c>
      <c r="J3102" t="s">
        <v>11780</v>
      </c>
      <c r="K3102" t="s">
        <v>1644</v>
      </c>
      <c r="L3102">
        <v>11239</v>
      </c>
      <c r="M3102" t="s">
        <v>1670</v>
      </c>
      <c r="P3102" t="s">
        <v>12865</v>
      </c>
      <c r="Q3102" t="s">
        <v>1940</v>
      </c>
      <c r="R3102" t="s">
        <v>1960</v>
      </c>
      <c r="S3102" t="s">
        <v>1969</v>
      </c>
      <c r="V3102" t="s">
        <v>1972</v>
      </c>
      <c r="X3102" t="s">
        <v>360</v>
      </c>
      <c r="Y3102">
        <v>2800</v>
      </c>
      <c r="Z3102" t="s">
        <v>2009</v>
      </c>
      <c r="AA3102" t="s">
        <v>2020</v>
      </c>
      <c r="AB3102" t="s">
        <v>2041</v>
      </c>
      <c r="AC3102" t="s">
        <v>15459</v>
      </c>
      <c r="AD3102" t="s">
        <v>17588</v>
      </c>
      <c r="AE3102" t="s">
        <v>17878</v>
      </c>
      <c r="AF3102">
        <v>136</v>
      </c>
      <c r="AG3102" t="s">
        <v>2909</v>
      </c>
      <c r="AI3102">
        <v>15</v>
      </c>
      <c r="AJ3102">
        <v>1</v>
      </c>
      <c r="AK3102">
        <v>3</v>
      </c>
      <c r="AL3102">
        <v>51.01</v>
      </c>
      <c r="AO3102" t="s">
        <v>2926</v>
      </c>
      <c r="AP3102">
        <v>12804</v>
      </c>
      <c r="AQ3102" t="s">
        <v>2953</v>
      </c>
      <c r="AV3102">
        <v>1.5</v>
      </c>
      <c r="AW3102" t="s">
        <v>257</v>
      </c>
      <c r="AX3102" t="s">
        <v>156</v>
      </c>
    </row>
    <row r="3103" spans="1:50">
      <c r="A3103" s="1" t="s">
        <v>50</v>
      </c>
      <c r="B3103" t="s">
        <v>3155</v>
      </c>
      <c r="C3103" t="s">
        <v>164</v>
      </c>
      <c r="D3103" t="s">
        <v>6405</v>
      </c>
      <c r="E3103" t="s">
        <v>349</v>
      </c>
      <c r="F3103" t="s">
        <v>210</v>
      </c>
      <c r="G3103" t="s">
        <v>9235</v>
      </c>
      <c r="H3103" t="s">
        <v>10796</v>
      </c>
      <c r="I3103" t="s">
        <v>10590</v>
      </c>
      <c r="J3103" t="s">
        <v>11780</v>
      </c>
      <c r="K3103" t="s">
        <v>1644</v>
      </c>
      <c r="L3103">
        <v>11239</v>
      </c>
      <c r="M3103" t="s">
        <v>1670</v>
      </c>
      <c r="P3103" t="s">
        <v>12866</v>
      </c>
      <c r="Q3103" t="s">
        <v>1936</v>
      </c>
      <c r="R3103" t="s">
        <v>1960</v>
      </c>
      <c r="S3103" t="s">
        <v>1969</v>
      </c>
      <c r="T3103" t="s">
        <v>1671</v>
      </c>
      <c r="V3103" t="s">
        <v>1972</v>
      </c>
      <c r="X3103" t="s">
        <v>360</v>
      </c>
      <c r="Y3103">
        <v>2800</v>
      </c>
      <c r="Z3103" t="s">
        <v>2009</v>
      </c>
      <c r="AA3103" t="s">
        <v>2020</v>
      </c>
      <c r="AB3103" t="s">
        <v>2041</v>
      </c>
      <c r="AC3103" t="s">
        <v>15459</v>
      </c>
      <c r="AD3103" t="s">
        <v>17588</v>
      </c>
      <c r="AE3103" t="s">
        <v>17878</v>
      </c>
      <c r="AF3103">
        <v>136</v>
      </c>
      <c r="AG3103" t="s">
        <v>2909</v>
      </c>
      <c r="AH3103" t="s">
        <v>2922</v>
      </c>
      <c r="AI3103">
        <v>15</v>
      </c>
      <c r="AJ3103">
        <v>1</v>
      </c>
      <c r="AK3103">
        <v>3</v>
      </c>
      <c r="AL3103">
        <v>51.01</v>
      </c>
      <c r="AO3103" t="s">
        <v>2926</v>
      </c>
      <c r="AP3103">
        <v>12804</v>
      </c>
      <c r="AQ3103" t="s">
        <v>2953</v>
      </c>
      <c r="AV3103">
        <v>2</v>
      </c>
      <c r="AW3103" t="s">
        <v>292</v>
      </c>
      <c r="AX3103" t="s">
        <v>3060</v>
      </c>
    </row>
    <row r="3104" spans="1:50">
      <c r="A3104" s="1" t="s">
        <v>50</v>
      </c>
      <c r="B3104" t="s">
        <v>63</v>
      </c>
      <c r="C3104" t="s">
        <v>163</v>
      </c>
      <c r="D3104" t="s">
        <v>6406</v>
      </c>
      <c r="E3104" t="s">
        <v>278</v>
      </c>
      <c r="G3104" t="s">
        <v>438</v>
      </c>
      <c r="H3104" t="s">
        <v>10797</v>
      </c>
      <c r="I3104" t="s">
        <v>11570</v>
      </c>
      <c r="J3104" t="s">
        <v>1517</v>
      </c>
      <c r="K3104" t="s">
        <v>1641</v>
      </c>
      <c r="L3104">
        <v>10453</v>
      </c>
      <c r="M3104" t="s">
        <v>1670</v>
      </c>
      <c r="P3104" t="s">
        <v>12867</v>
      </c>
      <c r="Q3104" t="s">
        <v>1936</v>
      </c>
      <c r="R3104" t="s">
        <v>1960</v>
      </c>
      <c r="T3104" t="s">
        <v>1671</v>
      </c>
      <c r="V3104" t="s">
        <v>1972</v>
      </c>
      <c r="W3104" t="s">
        <v>1987</v>
      </c>
      <c r="X3104" t="s">
        <v>1991</v>
      </c>
      <c r="Y3104">
        <v>1521</v>
      </c>
      <c r="Z3104" t="s">
        <v>2006</v>
      </c>
      <c r="AA3104" t="s">
        <v>2017</v>
      </c>
      <c r="AC3104" t="s">
        <v>15460</v>
      </c>
      <c r="AD3104" t="s">
        <v>17589</v>
      </c>
      <c r="AE3104" t="s">
        <v>17879</v>
      </c>
      <c r="AF3104">
        <v>56</v>
      </c>
      <c r="AG3104" t="s">
        <v>2904</v>
      </c>
      <c r="AH3104" t="s">
        <v>1754</v>
      </c>
      <c r="AI3104">
        <v>7</v>
      </c>
      <c r="AJ3104">
        <v>1</v>
      </c>
      <c r="AK3104">
        <v>2</v>
      </c>
      <c r="AL3104">
        <v>81.33</v>
      </c>
      <c r="AO3104" t="s">
        <v>2927</v>
      </c>
      <c r="AP3104">
        <v>16900</v>
      </c>
      <c r="AQ3104" t="s">
        <v>18434</v>
      </c>
      <c r="AV3104">
        <v>20.14</v>
      </c>
      <c r="AW3104" t="s">
        <v>183</v>
      </c>
      <c r="AX3104" t="s">
        <v>3067</v>
      </c>
    </row>
    <row r="3105" spans="1:50">
      <c r="A3105" s="1" t="s">
        <v>50</v>
      </c>
      <c r="B3105" t="s">
        <v>53</v>
      </c>
      <c r="C3105" t="s">
        <v>164</v>
      </c>
      <c r="D3105" t="s">
        <v>6407</v>
      </c>
      <c r="E3105" t="s">
        <v>200</v>
      </c>
      <c r="F3105" t="s">
        <v>247</v>
      </c>
      <c r="G3105" t="s">
        <v>9236</v>
      </c>
      <c r="H3105" t="s">
        <v>10798</v>
      </c>
      <c r="I3105" t="s">
        <v>10346</v>
      </c>
      <c r="J3105" t="s">
        <v>11781</v>
      </c>
      <c r="K3105" t="s">
        <v>1645</v>
      </c>
      <c r="L3105">
        <v>11691</v>
      </c>
      <c r="M3105" t="s">
        <v>1670</v>
      </c>
      <c r="P3105" t="s">
        <v>12868</v>
      </c>
      <c r="Q3105" t="s">
        <v>1936</v>
      </c>
      <c r="R3105" t="s">
        <v>1958</v>
      </c>
      <c r="S3105" t="s">
        <v>1965</v>
      </c>
      <c r="T3105" t="s">
        <v>1671</v>
      </c>
      <c r="V3105" t="s">
        <v>1972</v>
      </c>
      <c r="W3105" t="s">
        <v>1987</v>
      </c>
      <c r="X3105" t="s">
        <v>200</v>
      </c>
      <c r="Y3105">
        <v>1146</v>
      </c>
      <c r="Z3105" t="s">
        <v>2007</v>
      </c>
      <c r="AA3105" t="s">
        <v>2014</v>
      </c>
      <c r="AB3105" t="s">
        <v>2029</v>
      </c>
      <c r="AC3105" t="s">
        <v>15461</v>
      </c>
      <c r="AD3105" t="s">
        <v>17590</v>
      </c>
      <c r="AE3105" t="s">
        <v>17880</v>
      </c>
      <c r="AF3105">
        <v>324</v>
      </c>
      <c r="AG3105" t="s">
        <v>2902</v>
      </c>
      <c r="AH3105" t="s">
        <v>1754</v>
      </c>
      <c r="AI3105">
        <v>6</v>
      </c>
      <c r="AJ3105">
        <v>1</v>
      </c>
      <c r="AK3105">
        <v>3</v>
      </c>
      <c r="AL3105">
        <v>79.68000000000001</v>
      </c>
      <c r="AO3105" t="s">
        <v>2926</v>
      </c>
      <c r="AP3105">
        <v>20000</v>
      </c>
      <c r="AV3105">
        <v>1.1</v>
      </c>
      <c r="AW3105" t="s">
        <v>311</v>
      </c>
      <c r="AX3105" t="s">
        <v>89</v>
      </c>
    </row>
    <row r="3106" spans="1:50">
      <c r="A3106" s="1" t="s">
        <v>50</v>
      </c>
      <c r="B3106" t="s">
        <v>3211</v>
      </c>
      <c r="C3106" t="s">
        <v>163</v>
      </c>
      <c r="D3106" t="s">
        <v>6408</v>
      </c>
      <c r="E3106" t="s">
        <v>198</v>
      </c>
      <c r="G3106" t="s">
        <v>9237</v>
      </c>
      <c r="H3106" t="s">
        <v>10799</v>
      </c>
      <c r="I3106" t="s">
        <v>11571</v>
      </c>
      <c r="J3106">
        <v>302</v>
      </c>
      <c r="K3106" t="s">
        <v>1641</v>
      </c>
      <c r="L3106">
        <v>10457</v>
      </c>
      <c r="M3106" t="s">
        <v>1670</v>
      </c>
      <c r="P3106" t="s">
        <v>12869</v>
      </c>
      <c r="Q3106" t="s">
        <v>1936</v>
      </c>
      <c r="R3106" t="s">
        <v>1960</v>
      </c>
      <c r="T3106" t="s">
        <v>1671</v>
      </c>
      <c r="V3106" t="s">
        <v>1972</v>
      </c>
      <c r="W3106" t="s">
        <v>1984</v>
      </c>
      <c r="X3106" t="s">
        <v>327</v>
      </c>
      <c r="Y3106">
        <v>2000</v>
      </c>
      <c r="Z3106" t="s">
        <v>2006</v>
      </c>
      <c r="AA3106" t="s">
        <v>2011</v>
      </c>
      <c r="AC3106" t="s">
        <v>15462</v>
      </c>
      <c r="AD3106" t="s">
        <v>17591</v>
      </c>
      <c r="AE3106" t="s">
        <v>17881</v>
      </c>
      <c r="AF3106">
        <v>48</v>
      </c>
      <c r="AG3106" t="s">
        <v>2909</v>
      </c>
      <c r="AH3106" t="s">
        <v>2915</v>
      </c>
      <c r="AI3106">
        <v>10</v>
      </c>
      <c r="AJ3106">
        <v>2</v>
      </c>
      <c r="AK3106">
        <v>5</v>
      </c>
      <c r="AL3106">
        <v>62.65</v>
      </c>
      <c r="AO3106" t="s">
        <v>2926</v>
      </c>
      <c r="AP3106">
        <v>24440</v>
      </c>
      <c r="AV3106">
        <v>6.6</v>
      </c>
      <c r="AW3106" t="s">
        <v>325</v>
      </c>
      <c r="AX3106" t="s">
        <v>3045</v>
      </c>
    </row>
    <row r="3107" spans="1:50">
      <c r="A3107" s="1" t="s">
        <v>50</v>
      </c>
      <c r="B3107" t="s">
        <v>73</v>
      </c>
      <c r="C3107" t="s">
        <v>164</v>
      </c>
      <c r="D3107" t="s">
        <v>6409</v>
      </c>
      <c r="E3107" t="s">
        <v>200</v>
      </c>
      <c r="F3107" t="s">
        <v>308</v>
      </c>
      <c r="G3107" t="s">
        <v>9238</v>
      </c>
      <c r="H3107" t="s">
        <v>10800</v>
      </c>
      <c r="I3107" t="s">
        <v>11572</v>
      </c>
      <c r="J3107" t="s">
        <v>11076</v>
      </c>
      <c r="K3107" t="s">
        <v>1657</v>
      </c>
      <c r="L3107">
        <v>11422</v>
      </c>
      <c r="M3107" t="s">
        <v>1670</v>
      </c>
      <c r="P3107" t="s">
        <v>12870</v>
      </c>
      <c r="Q3107" t="s">
        <v>1940</v>
      </c>
      <c r="R3107" t="s">
        <v>1958</v>
      </c>
      <c r="S3107" t="s">
        <v>1965</v>
      </c>
      <c r="T3107" t="s">
        <v>1671</v>
      </c>
      <c r="V3107" t="s">
        <v>1972</v>
      </c>
      <c r="W3107" t="s">
        <v>1984</v>
      </c>
      <c r="X3107" t="s">
        <v>200</v>
      </c>
      <c r="Y3107">
        <v>1150</v>
      </c>
      <c r="Z3107" t="s">
        <v>2007</v>
      </c>
      <c r="AA3107" t="s">
        <v>2014</v>
      </c>
      <c r="AB3107" t="s">
        <v>2029</v>
      </c>
      <c r="AC3107" t="s">
        <v>15463</v>
      </c>
      <c r="AD3107" t="s">
        <v>17592</v>
      </c>
      <c r="AE3107" t="s">
        <v>17882</v>
      </c>
      <c r="AF3107">
        <v>2</v>
      </c>
      <c r="AG3107" t="s">
        <v>2903</v>
      </c>
      <c r="AH3107" t="s">
        <v>1754</v>
      </c>
      <c r="AI3107">
        <v>8</v>
      </c>
      <c r="AJ3107">
        <v>2</v>
      </c>
      <c r="AK3107">
        <v>1</v>
      </c>
      <c r="AL3107">
        <v>105.87</v>
      </c>
      <c r="AO3107" t="s">
        <v>2926</v>
      </c>
      <c r="AP3107">
        <v>22000</v>
      </c>
      <c r="AV3107">
        <v>0.8</v>
      </c>
      <c r="AW3107" t="s">
        <v>308</v>
      </c>
      <c r="AX3107" t="s">
        <v>89</v>
      </c>
    </row>
    <row r="3108" spans="1:50">
      <c r="A3108" s="1" t="s">
        <v>50</v>
      </c>
      <c r="B3108" t="s">
        <v>89</v>
      </c>
      <c r="C3108" t="s">
        <v>164</v>
      </c>
      <c r="D3108" t="s">
        <v>6410</v>
      </c>
      <c r="E3108" t="s">
        <v>352</v>
      </c>
      <c r="F3108" t="s">
        <v>332</v>
      </c>
      <c r="G3108" t="s">
        <v>9239</v>
      </c>
      <c r="H3108" t="s">
        <v>8676</v>
      </c>
      <c r="I3108" t="s">
        <v>11573</v>
      </c>
      <c r="J3108" t="s">
        <v>1534</v>
      </c>
      <c r="K3108" t="s">
        <v>1645</v>
      </c>
      <c r="L3108">
        <v>11691</v>
      </c>
      <c r="M3108" t="s">
        <v>1670</v>
      </c>
      <c r="P3108" t="s">
        <v>12871</v>
      </c>
      <c r="Q3108" t="s">
        <v>1936</v>
      </c>
      <c r="R3108" t="s">
        <v>1958</v>
      </c>
      <c r="S3108" t="s">
        <v>1965</v>
      </c>
      <c r="T3108" t="s">
        <v>1671</v>
      </c>
      <c r="V3108" t="s">
        <v>1972</v>
      </c>
      <c r="W3108" t="s">
        <v>1985</v>
      </c>
      <c r="X3108" t="s">
        <v>352</v>
      </c>
      <c r="Y3108">
        <v>1625</v>
      </c>
      <c r="Z3108" t="s">
        <v>2007</v>
      </c>
      <c r="AA3108" t="s">
        <v>2014</v>
      </c>
      <c r="AB3108" t="s">
        <v>2029</v>
      </c>
      <c r="AC3108" t="s">
        <v>15464</v>
      </c>
      <c r="AD3108" t="s">
        <v>17593</v>
      </c>
      <c r="AE3108" t="s">
        <v>17883</v>
      </c>
      <c r="AF3108">
        <v>65</v>
      </c>
      <c r="AG3108" t="s">
        <v>2902</v>
      </c>
      <c r="AH3108" t="s">
        <v>1754</v>
      </c>
      <c r="AI3108">
        <v>1</v>
      </c>
      <c r="AJ3108">
        <v>1</v>
      </c>
      <c r="AK3108">
        <v>1</v>
      </c>
      <c r="AL3108">
        <v>162.82</v>
      </c>
      <c r="AO3108" t="s">
        <v>2926</v>
      </c>
      <c r="AP3108">
        <v>26800</v>
      </c>
      <c r="AV3108">
        <v>1.5</v>
      </c>
      <c r="AW3108" t="s">
        <v>305</v>
      </c>
      <c r="AX3108" t="s">
        <v>89</v>
      </c>
    </row>
    <row r="3109" spans="1:50">
      <c r="A3109" s="1" t="s">
        <v>50</v>
      </c>
      <c r="B3109" t="s">
        <v>91</v>
      </c>
      <c r="C3109" t="s">
        <v>163</v>
      </c>
      <c r="D3109" t="s">
        <v>6411</v>
      </c>
      <c r="E3109" t="s">
        <v>347</v>
      </c>
      <c r="G3109" t="s">
        <v>7162</v>
      </c>
      <c r="H3109" t="s">
        <v>1098</v>
      </c>
      <c r="I3109" t="s">
        <v>10266</v>
      </c>
      <c r="J3109" t="s">
        <v>1560</v>
      </c>
      <c r="K3109" t="s">
        <v>1643</v>
      </c>
      <c r="L3109">
        <v>10034</v>
      </c>
      <c r="M3109" t="s">
        <v>1670</v>
      </c>
      <c r="P3109" t="s">
        <v>12872</v>
      </c>
      <c r="Q3109" t="s">
        <v>1936</v>
      </c>
      <c r="R3109" t="s">
        <v>1960</v>
      </c>
      <c r="T3109" t="s">
        <v>1671</v>
      </c>
      <c r="V3109" t="s">
        <v>1972</v>
      </c>
      <c r="W3109" t="s">
        <v>1986</v>
      </c>
      <c r="X3109" t="s">
        <v>347</v>
      </c>
      <c r="Y3109">
        <v>1223.79</v>
      </c>
      <c r="Z3109" t="s">
        <v>2008</v>
      </c>
      <c r="AA3109" t="s">
        <v>2014</v>
      </c>
      <c r="AC3109" t="s">
        <v>15465</v>
      </c>
      <c r="AD3109" t="s">
        <v>17594</v>
      </c>
      <c r="AE3109" t="s">
        <v>17884</v>
      </c>
      <c r="AF3109" t="s">
        <v>13051</v>
      </c>
      <c r="AG3109" t="s">
        <v>2904</v>
      </c>
      <c r="AH3109" t="s">
        <v>2915</v>
      </c>
      <c r="AI3109">
        <v>14</v>
      </c>
      <c r="AJ3109">
        <v>1</v>
      </c>
      <c r="AK3109">
        <v>2</v>
      </c>
      <c r="AL3109">
        <v>40.14</v>
      </c>
      <c r="AO3109" t="s">
        <v>2926</v>
      </c>
      <c r="AP3109">
        <v>8341.200000000001</v>
      </c>
      <c r="AV3109">
        <v>28.85</v>
      </c>
      <c r="AW3109" t="s">
        <v>177</v>
      </c>
      <c r="AX3109" t="s">
        <v>3048</v>
      </c>
    </row>
    <row r="3110" spans="1:50">
      <c r="A3110" s="1" t="s">
        <v>50</v>
      </c>
      <c r="B3110" t="s">
        <v>53</v>
      </c>
      <c r="C3110" t="s">
        <v>164</v>
      </c>
      <c r="D3110" t="s">
        <v>6412</v>
      </c>
      <c r="E3110" t="s">
        <v>200</v>
      </c>
      <c r="F3110" t="s">
        <v>308</v>
      </c>
      <c r="G3110" t="s">
        <v>7062</v>
      </c>
      <c r="H3110" t="s">
        <v>10801</v>
      </c>
      <c r="I3110" t="s">
        <v>11574</v>
      </c>
      <c r="J3110">
        <v>2</v>
      </c>
      <c r="K3110" t="s">
        <v>1653</v>
      </c>
      <c r="L3110">
        <v>11414</v>
      </c>
      <c r="M3110" t="s">
        <v>1670</v>
      </c>
      <c r="P3110" t="s">
        <v>12873</v>
      </c>
      <c r="Q3110" t="s">
        <v>1940</v>
      </c>
      <c r="R3110" t="s">
        <v>1958</v>
      </c>
      <c r="S3110" t="s">
        <v>1965</v>
      </c>
      <c r="T3110" t="s">
        <v>1671</v>
      </c>
      <c r="V3110" t="s">
        <v>1972</v>
      </c>
      <c r="W3110" t="s">
        <v>1984</v>
      </c>
      <c r="X3110" t="s">
        <v>200</v>
      </c>
      <c r="Y3110">
        <v>1500</v>
      </c>
      <c r="Z3110" t="s">
        <v>2007</v>
      </c>
      <c r="AA3110" t="s">
        <v>2014</v>
      </c>
      <c r="AB3110" t="s">
        <v>2029</v>
      </c>
      <c r="AC3110" t="s">
        <v>15466</v>
      </c>
      <c r="AD3110" t="s">
        <v>17595</v>
      </c>
      <c r="AE3110" t="s">
        <v>17885</v>
      </c>
      <c r="AF3110">
        <v>2</v>
      </c>
      <c r="AG3110" t="s">
        <v>2903</v>
      </c>
      <c r="AH3110" t="s">
        <v>1754</v>
      </c>
      <c r="AI3110">
        <v>3</v>
      </c>
      <c r="AJ3110">
        <v>1</v>
      </c>
      <c r="AK3110">
        <v>1</v>
      </c>
      <c r="AL3110">
        <v>28.21</v>
      </c>
      <c r="AO3110" t="s">
        <v>2926</v>
      </c>
      <c r="AP3110">
        <v>4644</v>
      </c>
      <c r="AV3110">
        <v>0.5</v>
      </c>
      <c r="AW3110" t="s">
        <v>308</v>
      </c>
      <c r="AX3110" t="s">
        <v>85</v>
      </c>
    </row>
    <row r="3111" spans="1:50">
      <c r="A3111" s="1" t="s">
        <v>50</v>
      </c>
      <c r="B3111" t="s">
        <v>3193</v>
      </c>
      <c r="C3111" t="s">
        <v>164</v>
      </c>
      <c r="D3111" t="s">
        <v>6413</v>
      </c>
      <c r="E3111" t="s">
        <v>173</v>
      </c>
      <c r="F3111" t="s">
        <v>6767</v>
      </c>
      <c r="G3111" t="s">
        <v>7650</v>
      </c>
      <c r="H3111" t="s">
        <v>10802</v>
      </c>
      <c r="I3111" t="s">
        <v>11575</v>
      </c>
      <c r="J3111" t="s">
        <v>1550</v>
      </c>
      <c r="K3111" t="s">
        <v>1645</v>
      </c>
      <c r="L3111">
        <v>11691</v>
      </c>
      <c r="M3111" t="s">
        <v>1670</v>
      </c>
      <c r="P3111" t="s">
        <v>12874</v>
      </c>
      <c r="Q3111" t="s">
        <v>1936</v>
      </c>
      <c r="R3111" t="s">
        <v>1958</v>
      </c>
      <c r="S3111" t="s">
        <v>1965</v>
      </c>
      <c r="T3111" t="s">
        <v>1671</v>
      </c>
      <c r="V3111" t="s">
        <v>1972</v>
      </c>
      <c r="W3111" t="s">
        <v>1984</v>
      </c>
      <c r="X3111" t="s">
        <v>173</v>
      </c>
      <c r="Y3111">
        <v>1499.98</v>
      </c>
      <c r="Z3111" t="s">
        <v>2007</v>
      </c>
      <c r="AA3111" t="s">
        <v>2014</v>
      </c>
      <c r="AB3111" t="s">
        <v>2029</v>
      </c>
      <c r="AC3111" t="s">
        <v>15467</v>
      </c>
      <c r="AD3111" t="s">
        <v>17596</v>
      </c>
      <c r="AE3111" t="s">
        <v>17886</v>
      </c>
      <c r="AF3111">
        <v>42</v>
      </c>
      <c r="AG3111" t="s">
        <v>2902</v>
      </c>
      <c r="AH3111" t="s">
        <v>1754</v>
      </c>
      <c r="AI3111">
        <v>37</v>
      </c>
      <c r="AJ3111">
        <v>1</v>
      </c>
      <c r="AK3111">
        <v>1</v>
      </c>
      <c r="AL3111">
        <v>66.73</v>
      </c>
      <c r="AO3111" t="s">
        <v>2926</v>
      </c>
      <c r="AP3111">
        <v>10984</v>
      </c>
      <c r="AV3111">
        <v>2.35</v>
      </c>
      <c r="AW3111" t="s">
        <v>256</v>
      </c>
      <c r="AX3111" t="s">
        <v>85</v>
      </c>
    </row>
    <row r="3112" spans="1:50">
      <c r="A3112" s="1" t="s">
        <v>50</v>
      </c>
      <c r="B3112" t="s">
        <v>73</v>
      </c>
      <c r="C3112" t="s">
        <v>163</v>
      </c>
      <c r="D3112" t="s">
        <v>6414</v>
      </c>
      <c r="E3112" t="s">
        <v>267</v>
      </c>
      <c r="G3112" t="s">
        <v>567</v>
      </c>
      <c r="H3112" t="s">
        <v>10803</v>
      </c>
      <c r="I3112" t="s">
        <v>1192</v>
      </c>
      <c r="J3112" t="s">
        <v>11782</v>
      </c>
      <c r="K3112" t="s">
        <v>1645</v>
      </c>
      <c r="L3112">
        <v>11691</v>
      </c>
      <c r="M3112" t="s">
        <v>1670</v>
      </c>
      <c r="P3112" t="s">
        <v>12875</v>
      </c>
      <c r="Q3112" t="s">
        <v>1936</v>
      </c>
      <c r="R3112" t="s">
        <v>1960</v>
      </c>
      <c r="T3112" t="s">
        <v>1671</v>
      </c>
      <c r="V3112" t="s">
        <v>1972</v>
      </c>
      <c r="W3112" t="s">
        <v>1984</v>
      </c>
      <c r="X3112" t="s">
        <v>267</v>
      </c>
      <c r="Y3112">
        <v>250</v>
      </c>
      <c r="Z3112" t="s">
        <v>2007</v>
      </c>
      <c r="AA3112" t="s">
        <v>2014</v>
      </c>
      <c r="AC3112" t="s">
        <v>15468</v>
      </c>
      <c r="AD3112" t="s">
        <v>17597</v>
      </c>
      <c r="AE3112" t="s">
        <v>17887</v>
      </c>
      <c r="AF3112">
        <v>120</v>
      </c>
      <c r="AG3112" t="s">
        <v>2912</v>
      </c>
      <c r="AH3112" t="s">
        <v>1754</v>
      </c>
      <c r="AI3112">
        <v>18</v>
      </c>
      <c r="AJ3112">
        <v>1</v>
      </c>
      <c r="AK3112">
        <v>3</v>
      </c>
      <c r="AL3112">
        <v>82.87</v>
      </c>
      <c r="AO3112" t="s">
        <v>2926</v>
      </c>
      <c r="AP3112">
        <v>20800</v>
      </c>
      <c r="AR3112" t="s">
        <v>2979</v>
      </c>
      <c r="AS3112" t="s">
        <v>18459</v>
      </c>
      <c r="AV3112">
        <v>7.15</v>
      </c>
      <c r="AW3112" t="s">
        <v>399</v>
      </c>
      <c r="AX3112" t="s">
        <v>3044</v>
      </c>
    </row>
    <row r="3113" spans="1:50">
      <c r="A3113" s="1" t="s">
        <v>50</v>
      </c>
      <c r="B3113" t="s">
        <v>62</v>
      </c>
      <c r="C3113" t="s">
        <v>163</v>
      </c>
      <c r="D3113" t="s">
        <v>6415</v>
      </c>
      <c r="E3113" t="s">
        <v>6178</v>
      </c>
      <c r="G3113" t="s">
        <v>732</v>
      </c>
      <c r="H3113" t="s">
        <v>7602</v>
      </c>
      <c r="I3113" t="s">
        <v>9933</v>
      </c>
      <c r="J3113" t="s">
        <v>1475</v>
      </c>
      <c r="K3113" t="s">
        <v>1644</v>
      </c>
      <c r="L3113">
        <v>11226</v>
      </c>
      <c r="M3113" t="s">
        <v>1670</v>
      </c>
      <c r="Q3113" t="s">
        <v>1941</v>
      </c>
      <c r="R3113" t="s">
        <v>1959</v>
      </c>
      <c r="T3113" t="s">
        <v>1670</v>
      </c>
      <c r="V3113" t="s">
        <v>1972</v>
      </c>
      <c r="X3113" t="s">
        <v>247</v>
      </c>
      <c r="Y3113">
        <v>1825</v>
      </c>
      <c r="Z3113" t="s">
        <v>2009</v>
      </c>
      <c r="AA3113" t="s">
        <v>2020</v>
      </c>
      <c r="AC3113" t="s">
        <v>15469</v>
      </c>
      <c r="AD3113" t="s">
        <v>17598</v>
      </c>
      <c r="AF3113">
        <v>65</v>
      </c>
      <c r="AH3113" t="s">
        <v>2915</v>
      </c>
      <c r="AI3113">
        <v>31</v>
      </c>
      <c r="AJ3113">
        <v>1</v>
      </c>
      <c r="AK3113">
        <v>2</v>
      </c>
      <c r="AL3113">
        <v>81.02</v>
      </c>
      <c r="AO3113" t="s">
        <v>2926</v>
      </c>
      <c r="AP3113">
        <v>22512</v>
      </c>
      <c r="AV3113">
        <v>0.5</v>
      </c>
      <c r="AW3113" t="s">
        <v>6178</v>
      </c>
      <c r="AX3113" t="s">
        <v>3079</v>
      </c>
    </row>
    <row r="3114" spans="1:50">
      <c r="A3114" s="1" t="s">
        <v>50</v>
      </c>
      <c r="B3114" t="s">
        <v>64</v>
      </c>
      <c r="C3114" t="s">
        <v>163</v>
      </c>
      <c r="D3114" t="s">
        <v>6416</v>
      </c>
      <c r="E3114" t="s">
        <v>195</v>
      </c>
      <c r="G3114" t="s">
        <v>9240</v>
      </c>
      <c r="H3114" t="s">
        <v>1074</v>
      </c>
      <c r="I3114" t="s">
        <v>11576</v>
      </c>
      <c r="J3114" t="s">
        <v>1508</v>
      </c>
      <c r="K3114" t="s">
        <v>1643</v>
      </c>
      <c r="L3114">
        <v>10033</v>
      </c>
      <c r="M3114" t="s">
        <v>1670</v>
      </c>
      <c r="P3114" t="s">
        <v>12876</v>
      </c>
      <c r="Q3114" t="s">
        <v>1936</v>
      </c>
      <c r="R3114" t="s">
        <v>1960</v>
      </c>
      <c r="T3114" t="s">
        <v>1671</v>
      </c>
      <c r="V3114" t="s">
        <v>1972</v>
      </c>
      <c r="X3114" t="s">
        <v>195</v>
      </c>
      <c r="Y3114">
        <v>1254.42</v>
      </c>
      <c r="Z3114" t="s">
        <v>2008</v>
      </c>
      <c r="AA3114" t="s">
        <v>2014</v>
      </c>
      <c r="AC3114" t="s">
        <v>15470</v>
      </c>
      <c r="AD3114" t="s">
        <v>17599</v>
      </c>
      <c r="AE3114" t="s">
        <v>17888</v>
      </c>
      <c r="AF3114">
        <v>26</v>
      </c>
      <c r="AG3114" t="s">
        <v>2902</v>
      </c>
      <c r="AH3114" t="s">
        <v>1754</v>
      </c>
      <c r="AI3114">
        <v>4</v>
      </c>
      <c r="AJ3114">
        <v>1</v>
      </c>
      <c r="AK3114">
        <v>3</v>
      </c>
      <c r="AL3114" t="s">
        <v>13051</v>
      </c>
      <c r="AO3114" t="s">
        <v>2927</v>
      </c>
      <c r="AP3114" t="s">
        <v>13051</v>
      </c>
      <c r="AV3114">
        <v>15.45</v>
      </c>
      <c r="AW3114" t="s">
        <v>405</v>
      </c>
      <c r="AX3114" t="s">
        <v>3061</v>
      </c>
    </row>
    <row r="3115" spans="1:50">
      <c r="A3115" s="1" t="s">
        <v>50</v>
      </c>
      <c r="B3115" t="s">
        <v>56</v>
      </c>
      <c r="C3115" t="s">
        <v>163</v>
      </c>
      <c r="D3115" t="s">
        <v>6417</v>
      </c>
      <c r="E3115" t="s">
        <v>270</v>
      </c>
      <c r="G3115" t="s">
        <v>624</v>
      </c>
      <c r="H3115" t="s">
        <v>7984</v>
      </c>
      <c r="I3115" t="s">
        <v>11577</v>
      </c>
      <c r="J3115">
        <v>1</v>
      </c>
      <c r="K3115" t="s">
        <v>1649</v>
      </c>
      <c r="L3115">
        <v>11692</v>
      </c>
      <c r="M3115" t="s">
        <v>1670</v>
      </c>
      <c r="P3115" t="s">
        <v>12877</v>
      </c>
      <c r="Q3115" t="s">
        <v>1940</v>
      </c>
      <c r="R3115" t="s">
        <v>1958</v>
      </c>
      <c r="T3115" t="s">
        <v>1671</v>
      </c>
      <c r="V3115" t="s">
        <v>1972</v>
      </c>
      <c r="W3115" t="s">
        <v>1984</v>
      </c>
      <c r="X3115" t="s">
        <v>270</v>
      </c>
      <c r="Y3115">
        <v>1</v>
      </c>
      <c r="Z3115" t="s">
        <v>2007</v>
      </c>
      <c r="AA3115" t="s">
        <v>2014</v>
      </c>
      <c r="AC3115" t="s">
        <v>15471</v>
      </c>
      <c r="AD3115" t="s">
        <v>17600</v>
      </c>
      <c r="AE3115" t="s">
        <v>17889</v>
      </c>
      <c r="AF3115">
        <v>2</v>
      </c>
      <c r="AG3115" t="s">
        <v>2903</v>
      </c>
      <c r="AH3115" t="s">
        <v>1754</v>
      </c>
      <c r="AI3115">
        <v>22</v>
      </c>
      <c r="AJ3115">
        <v>2</v>
      </c>
      <c r="AK3115">
        <v>1</v>
      </c>
      <c r="AL3115">
        <v>62.06</v>
      </c>
      <c r="AO3115" t="s">
        <v>2926</v>
      </c>
      <c r="AP3115">
        <v>12896</v>
      </c>
      <c r="AV3115">
        <v>1</v>
      </c>
      <c r="AW3115" t="s">
        <v>270</v>
      </c>
      <c r="AX3115" t="s">
        <v>89</v>
      </c>
    </row>
    <row r="3116" spans="1:50">
      <c r="A3116" s="1" t="s">
        <v>50</v>
      </c>
      <c r="B3116" t="s">
        <v>129</v>
      </c>
      <c r="C3116" t="s">
        <v>164</v>
      </c>
      <c r="D3116" t="s">
        <v>6418</v>
      </c>
      <c r="E3116" t="s">
        <v>387</v>
      </c>
      <c r="F3116" t="s">
        <v>184</v>
      </c>
      <c r="G3116" t="s">
        <v>668</v>
      </c>
      <c r="H3116" t="s">
        <v>10804</v>
      </c>
      <c r="I3116" t="s">
        <v>11578</v>
      </c>
      <c r="J3116" t="s">
        <v>1524</v>
      </c>
      <c r="K3116" t="s">
        <v>1644</v>
      </c>
      <c r="L3116">
        <v>11233</v>
      </c>
      <c r="M3116" t="s">
        <v>1670</v>
      </c>
      <c r="P3116" t="s">
        <v>12878</v>
      </c>
      <c r="Q3116" t="s">
        <v>1940</v>
      </c>
      <c r="R3116" t="s">
        <v>1958</v>
      </c>
      <c r="S3116" t="s">
        <v>1965</v>
      </c>
      <c r="T3116" t="s">
        <v>1671</v>
      </c>
      <c r="V3116" t="s">
        <v>1972</v>
      </c>
      <c r="X3116" t="s">
        <v>352</v>
      </c>
      <c r="Y3116">
        <v>1300</v>
      </c>
      <c r="Z3116" t="s">
        <v>2009</v>
      </c>
      <c r="AA3116" t="s">
        <v>2018</v>
      </c>
      <c r="AB3116" t="s">
        <v>2029</v>
      </c>
      <c r="AC3116" t="s">
        <v>15472</v>
      </c>
      <c r="AD3116" t="s">
        <v>17601</v>
      </c>
      <c r="AE3116" t="s">
        <v>17890</v>
      </c>
      <c r="AF3116">
        <v>2</v>
      </c>
      <c r="AH3116" t="s">
        <v>1754</v>
      </c>
      <c r="AI3116">
        <v>12</v>
      </c>
      <c r="AJ3116">
        <v>2</v>
      </c>
      <c r="AK3116">
        <v>2</v>
      </c>
      <c r="AL3116">
        <v>132.57</v>
      </c>
      <c r="AO3116" t="s">
        <v>2927</v>
      </c>
      <c r="AP3116">
        <v>33276</v>
      </c>
      <c r="AQ3116" t="s">
        <v>18059</v>
      </c>
      <c r="AV3116">
        <v>2.5</v>
      </c>
      <c r="AW3116" t="s">
        <v>323</v>
      </c>
      <c r="AX3116" t="s">
        <v>3069</v>
      </c>
    </row>
    <row r="3117" spans="1:50">
      <c r="A3117" s="1" t="s">
        <v>50</v>
      </c>
      <c r="B3117" t="s">
        <v>151</v>
      </c>
      <c r="C3117" t="s">
        <v>164</v>
      </c>
      <c r="D3117" t="s">
        <v>6419</v>
      </c>
      <c r="E3117" t="s">
        <v>230</v>
      </c>
      <c r="F3117" t="s">
        <v>346</v>
      </c>
      <c r="G3117" t="s">
        <v>9241</v>
      </c>
      <c r="H3117" t="s">
        <v>9147</v>
      </c>
      <c r="I3117" t="s">
        <v>11579</v>
      </c>
      <c r="J3117" t="s">
        <v>11147</v>
      </c>
      <c r="K3117" t="s">
        <v>11743</v>
      </c>
      <c r="L3117">
        <v>11421</v>
      </c>
      <c r="M3117" t="s">
        <v>1670</v>
      </c>
      <c r="P3117" t="s">
        <v>12879</v>
      </c>
      <c r="Q3117" t="s">
        <v>1940</v>
      </c>
      <c r="R3117" t="s">
        <v>1958</v>
      </c>
      <c r="S3117" t="s">
        <v>1965</v>
      </c>
      <c r="T3117" t="s">
        <v>1671</v>
      </c>
      <c r="V3117" t="s">
        <v>1972</v>
      </c>
      <c r="W3117" t="s">
        <v>1984</v>
      </c>
      <c r="X3117" t="s">
        <v>230</v>
      </c>
      <c r="Y3117">
        <v>1500</v>
      </c>
      <c r="Z3117" t="s">
        <v>2007</v>
      </c>
      <c r="AA3117" t="s">
        <v>2014</v>
      </c>
      <c r="AB3117" t="s">
        <v>2029</v>
      </c>
      <c r="AC3117" t="s">
        <v>15473</v>
      </c>
      <c r="AD3117" t="s">
        <v>17602</v>
      </c>
      <c r="AE3117" t="s">
        <v>17891</v>
      </c>
      <c r="AF3117">
        <v>2</v>
      </c>
      <c r="AG3117" t="s">
        <v>2903</v>
      </c>
      <c r="AH3117" t="s">
        <v>1754</v>
      </c>
      <c r="AI3117">
        <v>-1</v>
      </c>
      <c r="AJ3117">
        <v>1</v>
      </c>
      <c r="AK3117">
        <v>2</v>
      </c>
      <c r="AL3117">
        <v>21.1</v>
      </c>
      <c r="AO3117" t="s">
        <v>2926</v>
      </c>
      <c r="AP3117">
        <v>4500</v>
      </c>
      <c r="AV3117">
        <v>2.75</v>
      </c>
      <c r="AW3117" t="s">
        <v>268</v>
      </c>
      <c r="AX3117" t="s">
        <v>3044</v>
      </c>
    </row>
    <row r="3118" spans="1:50">
      <c r="A3118" s="1" t="s">
        <v>50</v>
      </c>
      <c r="B3118" t="s">
        <v>56</v>
      </c>
      <c r="C3118" t="s">
        <v>163</v>
      </c>
      <c r="D3118" t="s">
        <v>6420</v>
      </c>
      <c r="E3118" t="s">
        <v>245</v>
      </c>
      <c r="G3118" t="s">
        <v>9242</v>
      </c>
      <c r="H3118" t="s">
        <v>10805</v>
      </c>
      <c r="I3118" t="s">
        <v>11580</v>
      </c>
      <c r="J3118">
        <v>14</v>
      </c>
      <c r="K3118" t="s">
        <v>11749</v>
      </c>
      <c r="L3118">
        <v>11101</v>
      </c>
      <c r="M3118" t="s">
        <v>1670</v>
      </c>
      <c r="P3118" t="s">
        <v>12880</v>
      </c>
      <c r="Q3118" t="s">
        <v>1936</v>
      </c>
      <c r="R3118" t="s">
        <v>1960</v>
      </c>
      <c r="T3118" t="s">
        <v>1671</v>
      </c>
      <c r="V3118" t="s">
        <v>1972</v>
      </c>
      <c r="W3118" t="s">
        <v>1983</v>
      </c>
      <c r="X3118" t="s">
        <v>245</v>
      </c>
      <c r="Y3118">
        <v>2000</v>
      </c>
      <c r="Z3118" t="s">
        <v>2007</v>
      </c>
      <c r="AA3118" t="s">
        <v>2014</v>
      </c>
      <c r="AC3118" t="s">
        <v>15474</v>
      </c>
      <c r="AD3118" t="s">
        <v>17603</v>
      </c>
      <c r="AE3118" t="s">
        <v>17892</v>
      </c>
      <c r="AF3118">
        <v>18</v>
      </c>
      <c r="AG3118" t="s">
        <v>2902</v>
      </c>
      <c r="AH3118" t="s">
        <v>1754</v>
      </c>
      <c r="AI3118">
        <v>5</v>
      </c>
      <c r="AJ3118">
        <v>2</v>
      </c>
      <c r="AK3118">
        <v>3</v>
      </c>
      <c r="AL3118">
        <v>88.38</v>
      </c>
      <c r="AO3118" t="s">
        <v>2926</v>
      </c>
      <c r="AP3118">
        <v>26000</v>
      </c>
      <c r="AR3118" t="s">
        <v>2976</v>
      </c>
      <c r="AS3118" t="s">
        <v>2982</v>
      </c>
      <c r="AT3118" t="s">
        <v>2993</v>
      </c>
      <c r="AU3118" t="s">
        <v>18626</v>
      </c>
      <c r="AV3118">
        <v>3.6</v>
      </c>
      <c r="AW3118" t="s">
        <v>3040</v>
      </c>
      <c r="AX3118" t="s">
        <v>85</v>
      </c>
    </row>
    <row r="3119" spans="1:50">
      <c r="A3119" s="1" t="s">
        <v>50</v>
      </c>
      <c r="B3119" t="s">
        <v>66</v>
      </c>
      <c r="C3119" t="s">
        <v>164</v>
      </c>
      <c r="D3119" t="s">
        <v>6421</v>
      </c>
      <c r="E3119" t="s">
        <v>6137</v>
      </c>
      <c r="F3119" t="s">
        <v>237</v>
      </c>
      <c r="G3119" t="s">
        <v>6868</v>
      </c>
      <c r="H3119" t="s">
        <v>8518</v>
      </c>
      <c r="I3119" t="s">
        <v>11581</v>
      </c>
      <c r="J3119">
        <v>1</v>
      </c>
      <c r="K3119" t="s">
        <v>1644</v>
      </c>
      <c r="L3119">
        <v>11208</v>
      </c>
      <c r="M3119" t="s">
        <v>1670</v>
      </c>
      <c r="P3119" t="s">
        <v>12881</v>
      </c>
      <c r="Q3119" t="s">
        <v>1936</v>
      </c>
      <c r="R3119" t="s">
        <v>1960</v>
      </c>
      <c r="S3119" t="s">
        <v>1969</v>
      </c>
      <c r="V3119" t="s">
        <v>1972</v>
      </c>
      <c r="X3119" t="s">
        <v>408</v>
      </c>
      <c r="Y3119">
        <v>1600</v>
      </c>
      <c r="Z3119" t="s">
        <v>2009</v>
      </c>
      <c r="AA3119" t="s">
        <v>2014</v>
      </c>
      <c r="AB3119" t="s">
        <v>2031</v>
      </c>
      <c r="AC3119" t="s">
        <v>15475</v>
      </c>
      <c r="AD3119" t="s">
        <v>17604</v>
      </c>
      <c r="AE3119" t="s">
        <v>17893</v>
      </c>
      <c r="AF3119">
        <v>2</v>
      </c>
      <c r="AI3119">
        <v>4</v>
      </c>
      <c r="AJ3119">
        <v>2</v>
      </c>
      <c r="AK3119">
        <v>2</v>
      </c>
      <c r="AL3119">
        <v>113.25</v>
      </c>
      <c r="AO3119" t="s">
        <v>2926</v>
      </c>
      <c r="AP3119">
        <v>28426.6</v>
      </c>
      <c r="AV3119">
        <v>24.1</v>
      </c>
      <c r="AW3119" t="s">
        <v>237</v>
      </c>
      <c r="AX3119" t="s">
        <v>3074</v>
      </c>
    </row>
    <row r="3120" spans="1:50">
      <c r="A3120" s="1" t="s">
        <v>50</v>
      </c>
      <c r="B3120" t="s">
        <v>3044</v>
      </c>
      <c r="C3120" t="s">
        <v>164</v>
      </c>
      <c r="D3120" t="s">
        <v>6422</v>
      </c>
      <c r="E3120" t="s">
        <v>169</v>
      </c>
      <c r="F3120" t="s">
        <v>2002</v>
      </c>
      <c r="G3120" t="s">
        <v>9243</v>
      </c>
      <c r="H3120" t="s">
        <v>8112</v>
      </c>
      <c r="I3120" t="s">
        <v>11582</v>
      </c>
      <c r="J3120">
        <v>102</v>
      </c>
      <c r="K3120" t="s">
        <v>1649</v>
      </c>
      <c r="L3120">
        <v>11692</v>
      </c>
      <c r="M3120" t="s">
        <v>1670</v>
      </c>
      <c r="P3120" t="s">
        <v>12882</v>
      </c>
      <c r="Q3120" t="s">
        <v>1936</v>
      </c>
      <c r="R3120" t="s">
        <v>1958</v>
      </c>
      <c r="S3120" t="s">
        <v>1965</v>
      </c>
      <c r="T3120" t="s">
        <v>1671</v>
      </c>
      <c r="V3120" t="s">
        <v>1972</v>
      </c>
      <c r="W3120" t="s">
        <v>1984</v>
      </c>
      <c r="X3120" t="s">
        <v>352</v>
      </c>
      <c r="Y3120">
        <v>2350</v>
      </c>
      <c r="Z3120" t="s">
        <v>2007</v>
      </c>
      <c r="AA3120" t="s">
        <v>2014</v>
      </c>
      <c r="AB3120" t="s">
        <v>2029</v>
      </c>
      <c r="AC3120" t="s">
        <v>15476</v>
      </c>
      <c r="AD3120" t="s">
        <v>17605</v>
      </c>
      <c r="AE3120" t="s">
        <v>17894</v>
      </c>
      <c r="AF3120">
        <v>1091</v>
      </c>
      <c r="AG3120" t="s">
        <v>2906</v>
      </c>
      <c r="AH3120" t="s">
        <v>2915</v>
      </c>
      <c r="AI3120">
        <v>26</v>
      </c>
      <c r="AJ3120">
        <v>1</v>
      </c>
      <c r="AK3120">
        <v>2</v>
      </c>
      <c r="AL3120">
        <v>87.58</v>
      </c>
      <c r="AO3120" t="s">
        <v>2926</v>
      </c>
      <c r="AP3120">
        <v>18200</v>
      </c>
      <c r="AV3120">
        <v>0.3</v>
      </c>
      <c r="AW3120" t="s">
        <v>2002</v>
      </c>
      <c r="AX3120" t="s">
        <v>3044</v>
      </c>
    </row>
    <row r="3121" spans="1:50">
      <c r="A3121" s="1" t="s">
        <v>50</v>
      </c>
      <c r="B3121" t="s">
        <v>135</v>
      </c>
      <c r="C3121" t="s">
        <v>164</v>
      </c>
      <c r="D3121" t="s">
        <v>6423</v>
      </c>
      <c r="E3121" t="s">
        <v>2005</v>
      </c>
      <c r="F3121" t="s">
        <v>359</v>
      </c>
      <c r="G3121" t="s">
        <v>9244</v>
      </c>
      <c r="H3121" t="s">
        <v>8487</v>
      </c>
      <c r="I3121" t="s">
        <v>1375</v>
      </c>
      <c r="J3121" t="s">
        <v>1525</v>
      </c>
      <c r="K3121" t="s">
        <v>1644</v>
      </c>
      <c r="L3121">
        <v>11212</v>
      </c>
      <c r="M3121" t="s">
        <v>1670</v>
      </c>
      <c r="P3121" t="s">
        <v>1675</v>
      </c>
      <c r="Q3121" t="s">
        <v>1937</v>
      </c>
      <c r="R3121" t="s">
        <v>1962</v>
      </c>
      <c r="S3121" t="s">
        <v>1966</v>
      </c>
      <c r="T3121" t="s">
        <v>1670</v>
      </c>
      <c r="V3121" t="s">
        <v>1972</v>
      </c>
      <c r="W3121" t="s">
        <v>1984</v>
      </c>
      <c r="X3121" t="s">
        <v>209</v>
      </c>
      <c r="Y3121">
        <v>2150</v>
      </c>
      <c r="Z3121" t="s">
        <v>2009</v>
      </c>
      <c r="AA3121" t="s">
        <v>2015</v>
      </c>
      <c r="AB3121" t="s">
        <v>2041</v>
      </c>
      <c r="AC3121" t="s">
        <v>13442</v>
      </c>
      <c r="AD3121" t="s">
        <v>17606</v>
      </c>
      <c r="AE3121" t="s">
        <v>17895</v>
      </c>
      <c r="AF3121">
        <v>70</v>
      </c>
      <c r="AG3121" t="s">
        <v>2909</v>
      </c>
      <c r="AH3121" t="s">
        <v>2915</v>
      </c>
      <c r="AI3121">
        <v>10</v>
      </c>
      <c r="AJ3121">
        <v>3</v>
      </c>
      <c r="AK3121">
        <v>2</v>
      </c>
      <c r="AL3121">
        <v>86.31999999999999</v>
      </c>
      <c r="AO3121" t="s">
        <v>2926</v>
      </c>
      <c r="AP3121">
        <v>25396.8</v>
      </c>
      <c r="AV3121">
        <v>0.5</v>
      </c>
      <c r="AW3121" t="s">
        <v>359</v>
      </c>
      <c r="AX3121" t="s">
        <v>3060</v>
      </c>
    </row>
    <row r="3122" spans="1:50">
      <c r="A3122" s="1" t="s">
        <v>50</v>
      </c>
      <c r="B3122" t="s">
        <v>105</v>
      </c>
      <c r="C3122" t="s">
        <v>163</v>
      </c>
      <c r="D3122" t="s">
        <v>6424</v>
      </c>
      <c r="E3122" t="s">
        <v>319</v>
      </c>
      <c r="G3122" t="s">
        <v>9245</v>
      </c>
      <c r="H3122" t="s">
        <v>1016</v>
      </c>
      <c r="I3122" t="s">
        <v>11583</v>
      </c>
      <c r="J3122" t="s">
        <v>1489</v>
      </c>
      <c r="K3122" t="s">
        <v>1641</v>
      </c>
      <c r="L3122">
        <v>10457</v>
      </c>
      <c r="M3122" t="s">
        <v>1670</v>
      </c>
      <c r="P3122" t="s">
        <v>12883</v>
      </c>
      <c r="Q3122" t="s">
        <v>1936</v>
      </c>
      <c r="R3122" t="s">
        <v>1960</v>
      </c>
      <c r="T3122" t="s">
        <v>1671</v>
      </c>
      <c r="V3122" t="s">
        <v>1972</v>
      </c>
      <c r="X3122" t="s">
        <v>319</v>
      </c>
      <c r="Y3122">
        <v>911.65</v>
      </c>
      <c r="Z3122" t="s">
        <v>2006</v>
      </c>
      <c r="AA3122" t="s">
        <v>2011</v>
      </c>
      <c r="AC3122" t="s">
        <v>15477</v>
      </c>
      <c r="AD3122" t="s">
        <v>17607</v>
      </c>
      <c r="AE3122" t="s">
        <v>17896</v>
      </c>
      <c r="AF3122" t="s">
        <v>13051</v>
      </c>
      <c r="AG3122" t="s">
        <v>2902</v>
      </c>
      <c r="AH3122" t="s">
        <v>1754</v>
      </c>
      <c r="AI3122">
        <v>25</v>
      </c>
      <c r="AJ3122">
        <v>1</v>
      </c>
      <c r="AK3122">
        <v>1</v>
      </c>
      <c r="AL3122">
        <v>126.97</v>
      </c>
      <c r="AO3122" t="s">
        <v>2926</v>
      </c>
      <c r="AP3122">
        <v>20900</v>
      </c>
      <c r="AV3122">
        <v>21.2</v>
      </c>
      <c r="AW3122" t="s">
        <v>181</v>
      </c>
      <c r="AX3122" t="s">
        <v>18655</v>
      </c>
    </row>
    <row r="3123" spans="1:50">
      <c r="A3123" s="1" t="s">
        <v>50</v>
      </c>
      <c r="B3123" t="s">
        <v>89</v>
      </c>
      <c r="C3123" t="s">
        <v>164</v>
      </c>
      <c r="D3123" t="s">
        <v>6425</v>
      </c>
      <c r="E3123" t="s">
        <v>235</v>
      </c>
      <c r="F3123" t="s">
        <v>1999</v>
      </c>
      <c r="G3123" t="s">
        <v>427</v>
      </c>
      <c r="H3123" t="s">
        <v>8338</v>
      </c>
      <c r="I3123" t="s">
        <v>11584</v>
      </c>
      <c r="J3123" t="s">
        <v>1626</v>
      </c>
      <c r="K3123" t="s">
        <v>11758</v>
      </c>
      <c r="L3123">
        <v>11413</v>
      </c>
      <c r="M3123" t="s">
        <v>1670</v>
      </c>
      <c r="P3123" t="s">
        <v>12884</v>
      </c>
      <c r="Q3123" t="s">
        <v>1940</v>
      </c>
      <c r="R3123" t="s">
        <v>1958</v>
      </c>
      <c r="S3123" t="s">
        <v>1965</v>
      </c>
      <c r="V3123" t="s">
        <v>1972</v>
      </c>
      <c r="W3123" t="s">
        <v>1984</v>
      </c>
      <c r="X3123" t="s">
        <v>235</v>
      </c>
      <c r="Y3123">
        <v>1800</v>
      </c>
      <c r="Z3123" t="s">
        <v>2007</v>
      </c>
      <c r="AA3123" t="s">
        <v>2014</v>
      </c>
      <c r="AB3123" t="s">
        <v>2029</v>
      </c>
      <c r="AC3123" t="s">
        <v>15343</v>
      </c>
      <c r="AD3123" t="s">
        <v>17608</v>
      </c>
      <c r="AE3123" t="s">
        <v>17897</v>
      </c>
      <c r="AF3123">
        <v>3</v>
      </c>
      <c r="AG3123" t="s">
        <v>2903</v>
      </c>
      <c r="AH3123" t="s">
        <v>1754</v>
      </c>
      <c r="AI3123">
        <v>6</v>
      </c>
      <c r="AJ3123">
        <v>4</v>
      </c>
      <c r="AK3123">
        <v>4</v>
      </c>
      <c r="AL3123">
        <v>89.8</v>
      </c>
      <c r="AP3123">
        <v>39000</v>
      </c>
      <c r="AV3123">
        <v>1.5</v>
      </c>
      <c r="AW3123" t="s">
        <v>409</v>
      </c>
      <c r="AX3123" t="s">
        <v>89</v>
      </c>
    </row>
    <row r="3124" spans="1:50">
      <c r="A3124" s="1" t="s">
        <v>50</v>
      </c>
      <c r="B3124" t="s">
        <v>126</v>
      </c>
      <c r="C3124" t="s">
        <v>163</v>
      </c>
      <c r="D3124" t="s">
        <v>6426</v>
      </c>
      <c r="E3124" t="s">
        <v>305</v>
      </c>
      <c r="G3124" t="s">
        <v>9246</v>
      </c>
      <c r="H3124" t="s">
        <v>1074</v>
      </c>
      <c r="I3124" t="s">
        <v>11585</v>
      </c>
      <c r="J3124" t="s">
        <v>1519</v>
      </c>
      <c r="K3124" t="s">
        <v>1641</v>
      </c>
      <c r="L3124">
        <v>10460</v>
      </c>
      <c r="M3124" t="s">
        <v>1670</v>
      </c>
      <c r="P3124" t="s">
        <v>12885</v>
      </c>
      <c r="Q3124" t="s">
        <v>1936</v>
      </c>
      <c r="R3124" t="s">
        <v>1960</v>
      </c>
      <c r="T3124" t="s">
        <v>1671</v>
      </c>
      <c r="V3124" t="s">
        <v>1972</v>
      </c>
      <c r="X3124" t="s">
        <v>305</v>
      </c>
      <c r="Y3124" t="s">
        <v>13051</v>
      </c>
      <c r="Z3124" t="s">
        <v>2006</v>
      </c>
      <c r="AA3124" t="s">
        <v>2018</v>
      </c>
      <c r="AC3124" t="s">
        <v>15478</v>
      </c>
      <c r="AD3124" t="s">
        <v>17609</v>
      </c>
      <c r="AE3124" t="s">
        <v>17898</v>
      </c>
      <c r="AF3124">
        <v>200</v>
      </c>
      <c r="AH3124" t="s">
        <v>2915</v>
      </c>
      <c r="AI3124">
        <v>10</v>
      </c>
      <c r="AJ3124">
        <v>3</v>
      </c>
      <c r="AK3124">
        <v>3</v>
      </c>
      <c r="AL3124">
        <v>71.28</v>
      </c>
      <c r="AO3124" t="s">
        <v>2926</v>
      </c>
      <c r="AP3124">
        <v>24050</v>
      </c>
      <c r="AV3124">
        <v>56</v>
      </c>
      <c r="AW3124" t="s">
        <v>269</v>
      </c>
      <c r="AX3124" t="s">
        <v>3054</v>
      </c>
    </row>
    <row r="3125" spans="1:50">
      <c r="A3125" s="1" t="s">
        <v>50</v>
      </c>
      <c r="B3125" t="s">
        <v>119</v>
      </c>
      <c r="C3125" t="s">
        <v>164</v>
      </c>
      <c r="D3125" t="s">
        <v>6427</v>
      </c>
      <c r="E3125" t="s">
        <v>407</v>
      </c>
      <c r="F3125" t="s">
        <v>306</v>
      </c>
      <c r="G3125" t="s">
        <v>9247</v>
      </c>
      <c r="H3125" t="s">
        <v>10806</v>
      </c>
      <c r="I3125" t="s">
        <v>11586</v>
      </c>
      <c r="J3125">
        <v>2</v>
      </c>
      <c r="K3125" t="s">
        <v>1644</v>
      </c>
      <c r="L3125">
        <v>11233</v>
      </c>
      <c r="M3125" t="s">
        <v>1670</v>
      </c>
      <c r="P3125" t="s">
        <v>12886</v>
      </c>
      <c r="Q3125" t="s">
        <v>1936</v>
      </c>
      <c r="R3125" t="s">
        <v>1958</v>
      </c>
      <c r="S3125" t="s">
        <v>1965</v>
      </c>
      <c r="V3125" t="s">
        <v>1972</v>
      </c>
      <c r="X3125" t="s">
        <v>306</v>
      </c>
      <c r="Y3125">
        <v>2550</v>
      </c>
      <c r="Z3125" t="s">
        <v>2009</v>
      </c>
      <c r="AA3125" t="s">
        <v>2014</v>
      </c>
      <c r="AB3125" t="s">
        <v>2029</v>
      </c>
      <c r="AC3125" t="s">
        <v>15479</v>
      </c>
      <c r="AD3125" t="s">
        <v>17610</v>
      </c>
      <c r="AE3125" t="s">
        <v>17899</v>
      </c>
      <c r="AF3125">
        <v>3</v>
      </c>
      <c r="AH3125" t="s">
        <v>2017</v>
      </c>
      <c r="AI3125">
        <v>-5</v>
      </c>
      <c r="AJ3125">
        <v>1</v>
      </c>
      <c r="AK3125">
        <v>1</v>
      </c>
      <c r="AL3125">
        <v>188.34</v>
      </c>
      <c r="AO3125" t="s">
        <v>2926</v>
      </c>
      <c r="AP3125">
        <v>31000</v>
      </c>
      <c r="AV3125">
        <v>4.3</v>
      </c>
      <c r="AW3125" t="s">
        <v>281</v>
      </c>
      <c r="AX3125" t="s">
        <v>3074</v>
      </c>
    </row>
    <row r="3126" spans="1:50">
      <c r="A3126" s="1" t="s">
        <v>50</v>
      </c>
      <c r="B3126" t="s">
        <v>3192</v>
      </c>
      <c r="C3126" t="s">
        <v>164</v>
      </c>
      <c r="D3126" t="s">
        <v>6428</v>
      </c>
      <c r="E3126" t="s">
        <v>323</v>
      </c>
      <c r="F3126" t="s">
        <v>172</v>
      </c>
      <c r="G3126" t="s">
        <v>9248</v>
      </c>
      <c r="H3126" t="s">
        <v>10807</v>
      </c>
      <c r="I3126" t="s">
        <v>11587</v>
      </c>
      <c r="K3126" t="s">
        <v>1645</v>
      </c>
      <c r="L3126">
        <v>11691</v>
      </c>
      <c r="M3126" t="s">
        <v>1670</v>
      </c>
      <c r="P3126" t="s">
        <v>12887</v>
      </c>
      <c r="Q3126" t="s">
        <v>1936</v>
      </c>
      <c r="R3126" t="s">
        <v>1958</v>
      </c>
      <c r="S3126" t="s">
        <v>1965</v>
      </c>
      <c r="T3126" t="s">
        <v>1671</v>
      </c>
      <c r="V3126" t="s">
        <v>1972</v>
      </c>
      <c r="W3126" t="s">
        <v>1984</v>
      </c>
      <c r="X3126" t="s">
        <v>323</v>
      </c>
      <c r="Y3126">
        <v>1515</v>
      </c>
      <c r="Z3126" t="s">
        <v>2007</v>
      </c>
      <c r="AA3126" t="s">
        <v>2014</v>
      </c>
      <c r="AB3126" t="s">
        <v>2029</v>
      </c>
      <c r="AC3126" t="s">
        <v>15480</v>
      </c>
      <c r="AD3126" t="s">
        <v>17611</v>
      </c>
      <c r="AE3126" t="s">
        <v>17900</v>
      </c>
      <c r="AF3126">
        <v>2</v>
      </c>
      <c r="AG3126" t="s">
        <v>2903</v>
      </c>
      <c r="AH3126" t="s">
        <v>1754</v>
      </c>
      <c r="AI3126">
        <v>7</v>
      </c>
      <c r="AJ3126">
        <v>1</v>
      </c>
      <c r="AK3126">
        <v>2</v>
      </c>
      <c r="AL3126">
        <v>21.08</v>
      </c>
      <c r="AO3126" t="s">
        <v>2926</v>
      </c>
      <c r="AP3126">
        <v>4380</v>
      </c>
      <c r="AV3126">
        <v>1.4</v>
      </c>
      <c r="AW3126" t="s">
        <v>250</v>
      </c>
      <c r="AX3126" t="s">
        <v>85</v>
      </c>
    </row>
    <row r="3127" spans="1:50">
      <c r="A3127" s="1" t="s">
        <v>50</v>
      </c>
      <c r="B3127" t="s">
        <v>3137</v>
      </c>
      <c r="C3127" t="s">
        <v>164</v>
      </c>
      <c r="D3127" t="s">
        <v>6429</v>
      </c>
      <c r="E3127" t="s">
        <v>175</v>
      </c>
      <c r="F3127" t="s">
        <v>6152</v>
      </c>
      <c r="G3127" t="s">
        <v>9249</v>
      </c>
      <c r="H3127" t="s">
        <v>10808</v>
      </c>
      <c r="I3127" t="s">
        <v>11588</v>
      </c>
      <c r="J3127" t="s">
        <v>1542</v>
      </c>
      <c r="K3127" t="s">
        <v>1645</v>
      </c>
      <c r="L3127">
        <v>11691</v>
      </c>
      <c r="M3127" t="s">
        <v>1670</v>
      </c>
      <c r="P3127" t="s">
        <v>12888</v>
      </c>
      <c r="Q3127" t="s">
        <v>1940</v>
      </c>
      <c r="R3127" t="s">
        <v>1960</v>
      </c>
      <c r="S3127" t="s">
        <v>1969</v>
      </c>
      <c r="T3127" t="s">
        <v>1671</v>
      </c>
      <c r="V3127" t="s">
        <v>1972</v>
      </c>
      <c r="W3127" t="s">
        <v>1984</v>
      </c>
      <c r="X3127" t="s">
        <v>292</v>
      </c>
      <c r="Y3127">
        <v>1500</v>
      </c>
      <c r="Z3127" t="s">
        <v>2007</v>
      </c>
      <c r="AA3127" t="s">
        <v>2014</v>
      </c>
      <c r="AB3127" t="s">
        <v>2032</v>
      </c>
      <c r="AC3127" t="s">
        <v>15481</v>
      </c>
      <c r="AD3127" t="s">
        <v>17612</v>
      </c>
      <c r="AE3127" t="s">
        <v>17901</v>
      </c>
      <c r="AF3127">
        <v>3</v>
      </c>
      <c r="AG3127" t="s">
        <v>2903</v>
      </c>
      <c r="AH3127" t="s">
        <v>1754</v>
      </c>
      <c r="AI3127">
        <v>4</v>
      </c>
      <c r="AJ3127">
        <v>2</v>
      </c>
      <c r="AK3127">
        <v>3</v>
      </c>
      <c r="AL3127">
        <v>55.06</v>
      </c>
      <c r="AO3127" t="s">
        <v>2926</v>
      </c>
      <c r="AP3127">
        <v>16200</v>
      </c>
      <c r="AR3127" t="s">
        <v>2976</v>
      </c>
      <c r="AS3127" t="s">
        <v>2982</v>
      </c>
      <c r="AT3127" t="s">
        <v>2992</v>
      </c>
      <c r="AU3127" t="s">
        <v>3014</v>
      </c>
      <c r="AV3127">
        <v>3.8</v>
      </c>
      <c r="AW3127" t="s">
        <v>292</v>
      </c>
      <c r="AX3127" t="s">
        <v>85</v>
      </c>
    </row>
    <row r="3128" spans="1:50">
      <c r="A3128" s="1" t="s">
        <v>50</v>
      </c>
      <c r="B3128" t="s">
        <v>135</v>
      </c>
      <c r="C3128" t="s">
        <v>164</v>
      </c>
      <c r="D3128" t="s">
        <v>6430</v>
      </c>
      <c r="E3128" t="s">
        <v>216</v>
      </c>
      <c r="F3128" t="s">
        <v>321</v>
      </c>
      <c r="G3128" t="s">
        <v>9250</v>
      </c>
      <c r="H3128" t="s">
        <v>8510</v>
      </c>
      <c r="I3128" t="s">
        <v>11589</v>
      </c>
      <c r="J3128">
        <v>2</v>
      </c>
      <c r="K3128" t="s">
        <v>1644</v>
      </c>
      <c r="L3128">
        <v>11208</v>
      </c>
      <c r="M3128" t="s">
        <v>1670</v>
      </c>
      <c r="P3128" t="s">
        <v>12889</v>
      </c>
      <c r="Q3128" t="s">
        <v>1940</v>
      </c>
      <c r="R3128" t="s">
        <v>1958</v>
      </c>
      <c r="S3128" t="s">
        <v>1965</v>
      </c>
      <c r="T3128" t="s">
        <v>1671</v>
      </c>
      <c r="V3128" t="s">
        <v>1972</v>
      </c>
      <c r="X3128" t="s">
        <v>352</v>
      </c>
      <c r="Y3128">
        <v>2000</v>
      </c>
      <c r="Z3128" t="s">
        <v>2009</v>
      </c>
      <c r="AA3128" t="s">
        <v>2018</v>
      </c>
      <c r="AB3128" t="s">
        <v>2029</v>
      </c>
      <c r="AC3128" t="s">
        <v>15482</v>
      </c>
      <c r="AD3128" t="s">
        <v>17613</v>
      </c>
      <c r="AF3128">
        <v>3</v>
      </c>
      <c r="AG3128" t="s">
        <v>2903</v>
      </c>
      <c r="AH3128" t="s">
        <v>1754</v>
      </c>
      <c r="AI3128">
        <v>-1</v>
      </c>
      <c r="AJ3128">
        <v>2</v>
      </c>
      <c r="AK3128">
        <v>2</v>
      </c>
      <c r="AL3128">
        <v>107.73</v>
      </c>
      <c r="AO3128" t="s">
        <v>2927</v>
      </c>
      <c r="AP3128">
        <v>27040</v>
      </c>
      <c r="AV3128">
        <v>11.3</v>
      </c>
      <c r="AW3128" t="s">
        <v>166</v>
      </c>
      <c r="AX3128" t="s">
        <v>3063</v>
      </c>
    </row>
    <row r="3129" spans="1:50">
      <c r="A3129" s="1" t="s">
        <v>50</v>
      </c>
      <c r="B3129" t="s">
        <v>131</v>
      </c>
      <c r="C3129" t="s">
        <v>164</v>
      </c>
      <c r="D3129" t="s">
        <v>6431</v>
      </c>
      <c r="E3129" t="s">
        <v>290</v>
      </c>
      <c r="F3129" t="s">
        <v>379</v>
      </c>
      <c r="G3129" t="s">
        <v>668</v>
      </c>
      <c r="H3129" t="s">
        <v>1002</v>
      </c>
      <c r="I3129" t="s">
        <v>11590</v>
      </c>
      <c r="J3129" t="s">
        <v>11449</v>
      </c>
      <c r="K3129" t="s">
        <v>1643</v>
      </c>
      <c r="L3129">
        <v>10029</v>
      </c>
      <c r="M3129" t="s">
        <v>1670</v>
      </c>
      <c r="Q3129" t="s">
        <v>1944</v>
      </c>
      <c r="R3129" t="s">
        <v>1959</v>
      </c>
      <c r="S3129" t="s">
        <v>1966</v>
      </c>
      <c r="T3129" t="s">
        <v>1671</v>
      </c>
      <c r="V3129" t="s">
        <v>1976</v>
      </c>
      <c r="W3129" t="s">
        <v>1984</v>
      </c>
      <c r="X3129" t="s">
        <v>272</v>
      </c>
      <c r="Y3129">
        <v>98</v>
      </c>
      <c r="Z3129" t="s">
        <v>2008</v>
      </c>
      <c r="AA3129" t="s">
        <v>2021</v>
      </c>
      <c r="AB3129" t="s">
        <v>2039</v>
      </c>
      <c r="AC3129" t="s">
        <v>15483</v>
      </c>
      <c r="AD3129" t="s">
        <v>17614</v>
      </c>
      <c r="AE3129" t="s">
        <v>17902</v>
      </c>
      <c r="AF3129">
        <v>120</v>
      </c>
      <c r="AG3129" t="s">
        <v>2902</v>
      </c>
      <c r="AH3129" t="s">
        <v>2915</v>
      </c>
      <c r="AI3129">
        <v>0</v>
      </c>
      <c r="AJ3129">
        <v>1</v>
      </c>
      <c r="AK3129">
        <v>3</v>
      </c>
      <c r="AL3129">
        <v>179.45</v>
      </c>
      <c r="AO3129" t="s">
        <v>2926</v>
      </c>
      <c r="AP3129">
        <v>46207.92</v>
      </c>
      <c r="AV3129">
        <v>3.5</v>
      </c>
      <c r="AW3129" t="s">
        <v>392</v>
      </c>
      <c r="AX3129" t="s">
        <v>3051</v>
      </c>
    </row>
    <row r="3130" spans="1:50">
      <c r="A3130" s="1" t="s">
        <v>50</v>
      </c>
      <c r="B3130" t="s">
        <v>73</v>
      </c>
      <c r="C3130" t="s">
        <v>164</v>
      </c>
      <c r="D3130" t="s">
        <v>6432</v>
      </c>
      <c r="E3130" t="s">
        <v>343</v>
      </c>
      <c r="F3130" t="s">
        <v>211</v>
      </c>
      <c r="G3130" t="s">
        <v>9251</v>
      </c>
      <c r="H3130" t="s">
        <v>10809</v>
      </c>
      <c r="I3130" t="s">
        <v>11591</v>
      </c>
      <c r="J3130" t="s">
        <v>1558</v>
      </c>
      <c r="K3130" t="s">
        <v>1647</v>
      </c>
      <c r="L3130">
        <v>11435</v>
      </c>
      <c r="M3130" t="s">
        <v>1670</v>
      </c>
      <c r="P3130" t="s">
        <v>12890</v>
      </c>
      <c r="Q3130" t="s">
        <v>1940</v>
      </c>
      <c r="R3130" t="s">
        <v>1958</v>
      </c>
      <c r="S3130" t="s">
        <v>1965</v>
      </c>
      <c r="T3130" t="s">
        <v>1671</v>
      </c>
      <c r="V3130" t="s">
        <v>1972</v>
      </c>
      <c r="W3130" t="s">
        <v>1983</v>
      </c>
      <c r="X3130" t="s">
        <v>343</v>
      </c>
      <c r="Y3130">
        <v>1888</v>
      </c>
      <c r="Z3130" t="s">
        <v>2007</v>
      </c>
      <c r="AA3130" t="s">
        <v>2014</v>
      </c>
      <c r="AB3130" t="s">
        <v>2029</v>
      </c>
      <c r="AC3130" t="s">
        <v>15484</v>
      </c>
      <c r="AD3130" t="s">
        <v>17615</v>
      </c>
      <c r="AE3130" t="s">
        <v>17903</v>
      </c>
      <c r="AF3130">
        <v>40</v>
      </c>
      <c r="AG3130" t="s">
        <v>2911</v>
      </c>
      <c r="AH3130" t="s">
        <v>1754</v>
      </c>
      <c r="AI3130">
        <v>3</v>
      </c>
      <c r="AJ3130">
        <v>1</v>
      </c>
      <c r="AK3130">
        <v>3</v>
      </c>
      <c r="AL3130">
        <v>39.35</v>
      </c>
      <c r="AO3130" t="s">
        <v>2926</v>
      </c>
      <c r="AP3130">
        <v>9876</v>
      </c>
      <c r="AV3130">
        <v>1.05</v>
      </c>
      <c r="AW3130" t="s">
        <v>211</v>
      </c>
      <c r="AX3130" t="s">
        <v>89</v>
      </c>
    </row>
    <row r="3131" spans="1:50">
      <c r="A3131" s="1" t="s">
        <v>51</v>
      </c>
      <c r="B3131" t="s">
        <v>74</v>
      </c>
      <c r="C3131" t="s">
        <v>164</v>
      </c>
      <c r="D3131" t="s">
        <v>6433</v>
      </c>
      <c r="E3131" t="s">
        <v>2003</v>
      </c>
      <c r="F3131" t="s">
        <v>359</v>
      </c>
      <c r="G3131" t="s">
        <v>9252</v>
      </c>
      <c r="H3131" t="s">
        <v>10810</v>
      </c>
      <c r="I3131" t="s">
        <v>11592</v>
      </c>
      <c r="J3131" t="s">
        <v>1498</v>
      </c>
      <c r="K3131" t="s">
        <v>1641</v>
      </c>
      <c r="L3131">
        <v>10468</v>
      </c>
      <c r="M3131" t="s">
        <v>1670</v>
      </c>
      <c r="Q3131" t="s">
        <v>1936</v>
      </c>
      <c r="R3131" t="s">
        <v>1960</v>
      </c>
      <c r="S3131" t="s">
        <v>1969</v>
      </c>
      <c r="T3131" t="s">
        <v>1671</v>
      </c>
      <c r="V3131" t="s">
        <v>1972</v>
      </c>
      <c r="X3131" t="s">
        <v>216</v>
      </c>
      <c r="Y3131">
        <v>871</v>
      </c>
      <c r="Z3131" t="s">
        <v>2006</v>
      </c>
      <c r="AA3131" t="s">
        <v>2012</v>
      </c>
      <c r="AB3131" t="s">
        <v>2032</v>
      </c>
      <c r="AC3131" t="s">
        <v>15485</v>
      </c>
      <c r="AD3131" t="s">
        <v>17616</v>
      </c>
      <c r="AE3131" t="s">
        <v>17904</v>
      </c>
      <c r="AF3131">
        <v>6</v>
      </c>
      <c r="AG3131" t="s">
        <v>2902</v>
      </c>
      <c r="AH3131" t="s">
        <v>1754</v>
      </c>
      <c r="AI3131">
        <v>15</v>
      </c>
      <c r="AJ3131">
        <v>1</v>
      </c>
      <c r="AK3131">
        <v>2</v>
      </c>
      <c r="AL3131">
        <v>142.29</v>
      </c>
      <c r="AM3131" t="s">
        <v>2923</v>
      </c>
      <c r="AN3131" t="s">
        <v>2924</v>
      </c>
      <c r="AO3131" t="s">
        <v>2926</v>
      </c>
      <c r="AP3131">
        <v>29568</v>
      </c>
      <c r="AR3131" t="s">
        <v>2976</v>
      </c>
      <c r="AS3131" t="s">
        <v>18488</v>
      </c>
      <c r="AT3131" t="s">
        <v>2992</v>
      </c>
      <c r="AU3131" t="s">
        <v>18627</v>
      </c>
      <c r="AV3131">
        <v>16.2</v>
      </c>
      <c r="AW3131" t="s">
        <v>321</v>
      </c>
      <c r="AX3131" t="s">
        <v>3080</v>
      </c>
    </row>
    <row r="3132" spans="1:50">
      <c r="A3132" s="1" t="s">
        <v>50</v>
      </c>
      <c r="B3132" t="s">
        <v>96</v>
      </c>
      <c r="C3132" t="s">
        <v>163</v>
      </c>
      <c r="D3132" t="s">
        <v>6434</v>
      </c>
      <c r="E3132" t="s">
        <v>196</v>
      </c>
      <c r="G3132" t="s">
        <v>6785</v>
      </c>
      <c r="H3132" t="s">
        <v>7873</v>
      </c>
      <c r="I3132" t="s">
        <v>9373</v>
      </c>
      <c r="J3132" t="s">
        <v>10937</v>
      </c>
      <c r="K3132" t="s">
        <v>1644</v>
      </c>
      <c r="L3132">
        <v>11213</v>
      </c>
      <c r="M3132" t="s">
        <v>1670</v>
      </c>
      <c r="P3132" t="s">
        <v>12891</v>
      </c>
      <c r="Q3132" t="s">
        <v>1940</v>
      </c>
      <c r="R3132" t="s">
        <v>1960</v>
      </c>
      <c r="T3132" t="s">
        <v>1671</v>
      </c>
      <c r="V3132" t="s">
        <v>1972</v>
      </c>
      <c r="W3132" t="s">
        <v>1984</v>
      </c>
      <c r="X3132" t="s">
        <v>315</v>
      </c>
      <c r="Y3132">
        <v>1158.98</v>
      </c>
      <c r="Z3132" t="s">
        <v>2009</v>
      </c>
      <c r="AA3132" t="s">
        <v>2020</v>
      </c>
      <c r="AC3132" t="s">
        <v>13073</v>
      </c>
      <c r="AD3132" t="s">
        <v>15067</v>
      </c>
      <c r="AE3132" t="s">
        <v>15707</v>
      </c>
      <c r="AF3132">
        <v>134</v>
      </c>
      <c r="AG3132" t="s">
        <v>2902</v>
      </c>
      <c r="AH3132" t="s">
        <v>1754</v>
      </c>
      <c r="AI3132">
        <v>11</v>
      </c>
      <c r="AJ3132">
        <v>1</v>
      </c>
      <c r="AK3132">
        <v>1</v>
      </c>
      <c r="AL3132">
        <v>189.55</v>
      </c>
      <c r="AO3132" t="s">
        <v>2926</v>
      </c>
      <c r="AP3132">
        <v>31200</v>
      </c>
      <c r="AR3132" t="s">
        <v>2977</v>
      </c>
      <c r="AS3132" t="s">
        <v>2988</v>
      </c>
      <c r="AT3132" t="s">
        <v>2992</v>
      </c>
      <c r="AV3132">
        <v>41.86</v>
      </c>
      <c r="AW3132" t="s">
        <v>3034</v>
      </c>
      <c r="AX3132" t="s">
        <v>3049</v>
      </c>
    </row>
    <row r="3133" spans="1:50">
      <c r="A3133" s="1" t="s">
        <v>51</v>
      </c>
      <c r="B3133" t="s">
        <v>63</v>
      </c>
      <c r="C3133" t="s">
        <v>163</v>
      </c>
      <c r="D3133" t="s">
        <v>6435</v>
      </c>
      <c r="E3133" t="s">
        <v>379</v>
      </c>
      <c r="G3133" t="s">
        <v>9253</v>
      </c>
      <c r="H3133" t="s">
        <v>10811</v>
      </c>
      <c r="I3133" t="s">
        <v>11593</v>
      </c>
      <c r="J3133" t="s">
        <v>10962</v>
      </c>
      <c r="K3133" t="s">
        <v>1641</v>
      </c>
      <c r="L3133">
        <v>10451</v>
      </c>
      <c r="M3133" t="s">
        <v>1670</v>
      </c>
      <c r="P3133" t="s">
        <v>12892</v>
      </c>
      <c r="Q3133" t="s">
        <v>1936</v>
      </c>
      <c r="R3133" t="s">
        <v>1960</v>
      </c>
      <c r="T3133" t="s">
        <v>1671</v>
      </c>
      <c r="V3133" t="s">
        <v>1979</v>
      </c>
      <c r="W3133" t="s">
        <v>1984</v>
      </c>
      <c r="X3133" t="s">
        <v>1991</v>
      </c>
      <c r="Y3133">
        <v>122</v>
      </c>
      <c r="Z3133" t="s">
        <v>2006</v>
      </c>
      <c r="AA3133" t="s">
        <v>2012</v>
      </c>
      <c r="AC3133" t="s">
        <v>15005</v>
      </c>
      <c r="AD3133" t="s">
        <v>17617</v>
      </c>
      <c r="AE3133" t="s">
        <v>17905</v>
      </c>
      <c r="AF3133">
        <v>1023</v>
      </c>
      <c r="AG3133" t="s">
        <v>2905</v>
      </c>
      <c r="AH3133" t="s">
        <v>1754</v>
      </c>
      <c r="AI3133">
        <v>2</v>
      </c>
      <c r="AJ3133">
        <v>1</v>
      </c>
      <c r="AK3133">
        <v>2</v>
      </c>
      <c r="AL3133">
        <v>27.85</v>
      </c>
      <c r="AM3133" t="s">
        <v>2923</v>
      </c>
      <c r="AN3133" t="s">
        <v>2924</v>
      </c>
      <c r="AO3133" t="s">
        <v>2926</v>
      </c>
      <c r="AP3133">
        <v>5940</v>
      </c>
      <c r="AQ3133" t="s">
        <v>18435</v>
      </c>
      <c r="AV3133">
        <v>4.9</v>
      </c>
      <c r="AW3133" t="s">
        <v>222</v>
      </c>
      <c r="AX3133" t="s">
        <v>3046</v>
      </c>
    </row>
    <row r="3134" spans="1:50">
      <c r="A3134" s="1" t="s">
        <v>51</v>
      </c>
      <c r="B3134" t="s">
        <v>151</v>
      </c>
      <c r="C3134" t="s">
        <v>163</v>
      </c>
      <c r="D3134" t="s">
        <v>6436</v>
      </c>
      <c r="E3134" t="s">
        <v>193</v>
      </c>
      <c r="G3134" t="s">
        <v>9254</v>
      </c>
      <c r="H3134" t="s">
        <v>10812</v>
      </c>
      <c r="I3134" t="s">
        <v>11594</v>
      </c>
      <c r="J3134" t="s">
        <v>1486</v>
      </c>
      <c r="K3134" t="s">
        <v>11748</v>
      </c>
      <c r="L3134">
        <v>11365</v>
      </c>
      <c r="M3134" t="s">
        <v>1670</v>
      </c>
      <c r="Q3134" t="s">
        <v>1948</v>
      </c>
      <c r="R3134" t="s">
        <v>1959</v>
      </c>
      <c r="T3134" t="s">
        <v>1671</v>
      </c>
      <c r="V3134" t="s">
        <v>1979</v>
      </c>
      <c r="W3134" t="s">
        <v>1984</v>
      </c>
      <c r="X3134" t="s">
        <v>193</v>
      </c>
      <c r="Y3134">
        <v>532</v>
      </c>
      <c r="Z3134" t="s">
        <v>2007</v>
      </c>
      <c r="AA3134" t="s">
        <v>2012</v>
      </c>
      <c r="AC3134" t="s">
        <v>15486</v>
      </c>
      <c r="AD3134" t="s">
        <v>17618</v>
      </c>
      <c r="AE3134" t="s">
        <v>17906</v>
      </c>
      <c r="AF3134">
        <v>701</v>
      </c>
      <c r="AG3134" t="s">
        <v>2905</v>
      </c>
      <c r="AH3134" t="s">
        <v>1754</v>
      </c>
      <c r="AI3134">
        <v>13</v>
      </c>
      <c r="AJ3134">
        <v>1</v>
      </c>
      <c r="AK3134">
        <v>2</v>
      </c>
      <c r="AL3134">
        <v>58.17</v>
      </c>
      <c r="AM3134" t="s">
        <v>2923</v>
      </c>
      <c r="AN3134" t="s">
        <v>2924</v>
      </c>
      <c r="AO3134" t="s">
        <v>2926</v>
      </c>
      <c r="AP3134">
        <v>12408</v>
      </c>
      <c r="AV3134">
        <v>10.4</v>
      </c>
      <c r="AW3134" t="s">
        <v>333</v>
      </c>
      <c r="AX3134" t="s">
        <v>151</v>
      </c>
    </row>
    <row r="3135" spans="1:50">
      <c r="A3135" s="1" t="s">
        <v>50</v>
      </c>
      <c r="B3135" t="s">
        <v>126</v>
      </c>
      <c r="C3135" t="s">
        <v>163</v>
      </c>
      <c r="D3135" t="s">
        <v>6437</v>
      </c>
      <c r="E3135" t="s">
        <v>242</v>
      </c>
      <c r="G3135" t="s">
        <v>533</v>
      </c>
      <c r="H3135" t="s">
        <v>7891</v>
      </c>
      <c r="I3135" t="s">
        <v>11488</v>
      </c>
      <c r="J3135" t="s">
        <v>1522</v>
      </c>
      <c r="K3135" t="s">
        <v>1641</v>
      </c>
      <c r="L3135">
        <v>10453</v>
      </c>
      <c r="M3135" t="s">
        <v>1670</v>
      </c>
      <c r="Q3135" t="s">
        <v>1943</v>
      </c>
      <c r="R3135" t="s">
        <v>1961</v>
      </c>
      <c r="T3135" t="s">
        <v>1671</v>
      </c>
      <c r="V3135" t="s">
        <v>1973</v>
      </c>
      <c r="X3135" t="s">
        <v>250</v>
      </c>
      <c r="Y3135">
        <v>1600</v>
      </c>
      <c r="Z3135" t="s">
        <v>2006</v>
      </c>
      <c r="AA3135" t="s">
        <v>2020</v>
      </c>
      <c r="AC3135" t="s">
        <v>15487</v>
      </c>
      <c r="AD3135" t="s">
        <v>17619</v>
      </c>
      <c r="AE3135" t="s">
        <v>17907</v>
      </c>
      <c r="AF3135">
        <v>48</v>
      </c>
      <c r="AG3135" t="s">
        <v>2902</v>
      </c>
      <c r="AH3135" t="s">
        <v>2915</v>
      </c>
      <c r="AI3135">
        <v>3</v>
      </c>
      <c r="AJ3135">
        <v>1</v>
      </c>
      <c r="AK3135">
        <v>3</v>
      </c>
      <c r="AL3135">
        <v>70.09</v>
      </c>
      <c r="AO3135" t="s">
        <v>2926</v>
      </c>
      <c r="AP3135">
        <v>17592</v>
      </c>
      <c r="AV3135">
        <v>5.8</v>
      </c>
      <c r="AW3135" t="s">
        <v>350</v>
      </c>
      <c r="AX3135" t="s">
        <v>3047</v>
      </c>
    </row>
    <row r="3136" spans="1:50">
      <c r="A3136" s="1" t="s">
        <v>50</v>
      </c>
      <c r="B3136" t="s">
        <v>140</v>
      </c>
      <c r="C3136" t="s">
        <v>163</v>
      </c>
      <c r="D3136" t="s">
        <v>6438</v>
      </c>
      <c r="E3136" t="s">
        <v>268</v>
      </c>
      <c r="G3136" t="s">
        <v>9255</v>
      </c>
      <c r="H3136" t="s">
        <v>10813</v>
      </c>
      <c r="I3136" t="s">
        <v>11595</v>
      </c>
      <c r="J3136" t="s">
        <v>1519</v>
      </c>
      <c r="K3136" t="s">
        <v>1647</v>
      </c>
      <c r="L3136">
        <v>11435</v>
      </c>
      <c r="M3136" t="s">
        <v>1670</v>
      </c>
      <c r="P3136" t="s">
        <v>12893</v>
      </c>
      <c r="Q3136" t="s">
        <v>1936</v>
      </c>
      <c r="R3136" t="s">
        <v>1960</v>
      </c>
      <c r="T3136" t="s">
        <v>1671</v>
      </c>
      <c r="V3136" t="s">
        <v>1972</v>
      </c>
      <c r="W3136" t="s">
        <v>1987</v>
      </c>
      <c r="X3136" t="s">
        <v>268</v>
      </c>
      <c r="Y3136">
        <v>1145</v>
      </c>
      <c r="Z3136" t="s">
        <v>2007</v>
      </c>
      <c r="AA3136" t="s">
        <v>2014</v>
      </c>
      <c r="AC3136" t="s">
        <v>15488</v>
      </c>
      <c r="AD3136" t="s">
        <v>17620</v>
      </c>
      <c r="AE3136" t="s">
        <v>17908</v>
      </c>
      <c r="AF3136">
        <v>36</v>
      </c>
      <c r="AG3136" t="s">
        <v>2904</v>
      </c>
      <c r="AH3136" t="s">
        <v>1754</v>
      </c>
      <c r="AI3136">
        <v>7</v>
      </c>
      <c r="AJ3136">
        <v>1</v>
      </c>
      <c r="AK3136">
        <v>1</v>
      </c>
      <c r="AL3136">
        <v>54.29</v>
      </c>
      <c r="AO3136" t="s">
        <v>2926</v>
      </c>
      <c r="AP3136">
        <v>9180</v>
      </c>
      <c r="AV3136">
        <v>3.5</v>
      </c>
      <c r="AW3136" t="s">
        <v>3037</v>
      </c>
      <c r="AX3136" t="s">
        <v>3044</v>
      </c>
    </row>
    <row r="3137" spans="1:50">
      <c r="A3137" s="1" t="s">
        <v>50</v>
      </c>
      <c r="B3137" t="s">
        <v>3172</v>
      </c>
      <c r="C3137" t="s">
        <v>164</v>
      </c>
      <c r="D3137" t="s">
        <v>6439</v>
      </c>
      <c r="E3137" t="s">
        <v>295</v>
      </c>
      <c r="F3137" t="s">
        <v>3031</v>
      </c>
      <c r="G3137" t="s">
        <v>9256</v>
      </c>
      <c r="H3137" t="s">
        <v>842</v>
      </c>
      <c r="I3137" t="s">
        <v>9730</v>
      </c>
      <c r="J3137" t="s">
        <v>11274</v>
      </c>
      <c r="K3137" t="s">
        <v>1656</v>
      </c>
      <c r="L3137">
        <v>11101</v>
      </c>
      <c r="M3137" t="s">
        <v>1670</v>
      </c>
      <c r="P3137" t="s">
        <v>12894</v>
      </c>
      <c r="Q3137" t="s">
        <v>1936</v>
      </c>
      <c r="R3137" t="s">
        <v>1958</v>
      </c>
      <c r="S3137" t="s">
        <v>1965</v>
      </c>
      <c r="T3137" t="s">
        <v>1671</v>
      </c>
      <c r="V3137" t="s">
        <v>1972</v>
      </c>
      <c r="W3137" t="s">
        <v>1987</v>
      </c>
      <c r="X3137" t="s">
        <v>295</v>
      </c>
      <c r="Y3137">
        <v>851.7</v>
      </c>
      <c r="Z3137" t="s">
        <v>2007</v>
      </c>
      <c r="AA3137" t="s">
        <v>2014</v>
      </c>
      <c r="AB3137" t="s">
        <v>2029</v>
      </c>
      <c r="AC3137" t="s">
        <v>15489</v>
      </c>
      <c r="AD3137" t="s">
        <v>17621</v>
      </c>
      <c r="AE3137" t="s">
        <v>17909</v>
      </c>
      <c r="AF3137">
        <v>320</v>
      </c>
      <c r="AG3137" t="s">
        <v>2902</v>
      </c>
      <c r="AH3137" t="s">
        <v>1754</v>
      </c>
      <c r="AI3137">
        <v>4</v>
      </c>
      <c r="AJ3137">
        <v>2</v>
      </c>
      <c r="AK3137">
        <v>2</v>
      </c>
      <c r="AL3137">
        <v>139.81</v>
      </c>
      <c r="AO3137" t="s">
        <v>2926</v>
      </c>
      <c r="AP3137">
        <v>36000</v>
      </c>
      <c r="AV3137">
        <v>2.1</v>
      </c>
      <c r="AW3137" t="s">
        <v>18682</v>
      </c>
      <c r="AX3137" t="s">
        <v>3044</v>
      </c>
    </row>
    <row r="3138" spans="1:50">
      <c r="A3138" s="1" t="s">
        <v>50</v>
      </c>
      <c r="B3138" t="s">
        <v>73</v>
      </c>
      <c r="C3138" t="s">
        <v>164</v>
      </c>
      <c r="D3138" t="s">
        <v>6440</v>
      </c>
      <c r="E3138" t="s">
        <v>318</v>
      </c>
      <c r="F3138" t="s">
        <v>340</v>
      </c>
      <c r="G3138" t="s">
        <v>7473</v>
      </c>
      <c r="H3138" t="s">
        <v>10814</v>
      </c>
      <c r="I3138" t="s">
        <v>11596</v>
      </c>
      <c r="J3138" t="s">
        <v>1539</v>
      </c>
      <c r="K3138" t="s">
        <v>1645</v>
      </c>
      <c r="L3138">
        <v>11691</v>
      </c>
      <c r="M3138" t="s">
        <v>1670</v>
      </c>
      <c r="P3138" t="s">
        <v>12895</v>
      </c>
      <c r="Q3138" t="s">
        <v>1940</v>
      </c>
      <c r="R3138" t="s">
        <v>1958</v>
      </c>
      <c r="S3138" t="s">
        <v>1965</v>
      </c>
      <c r="T3138" t="s">
        <v>1671</v>
      </c>
      <c r="V3138" t="s">
        <v>1972</v>
      </c>
      <c r="W3138" t="s">
        <v>1983</v>
      </c>
      <c r="X3138" t="s">
        <v>318</v>
      </c>
      <c r="Y3138">
        <v>1515</v>
      </c>
      <c r="Z3138" t="s">
        <v>2007</v>
      </c>
      <c r="AA3138" t="s">
        <v>2014</v>
      </c>
      <c r="AB3138" t="s">
        <v>2029</v>
      </c>
      <c r="AC3138" t="s">
        <v>15490</v>
      </c>
      <c r="AD3138" t="s">
        <v>17622</v>
      </c>
      <c r="AE3138" t="s">
        <v>17910</v>
      </c>
      <c r="AF3138">
        <v>4</v>
      </c>
      <c r="AG3138" t="s">
        <v>2903</v>
      </c>
      <c r="AH3138" t="s">
        <v>2918</v>
      </c>
      <c r="AI3138">
        <v>1</v>
      </c>
      <c r="AJ3138">
        <v>1</v>
      </c>
      <c r="AK3138">
        <v>2</v>
      </c>
      <c r="AL3138">
        <v>91.43000000000001</v>
      </c>
      <c r="AO3138" t="s">
        <v>2926</v>
      </c>
      <c r="AP3138">
        <v>19000</v>
      </c>
      <c r="AV3138">
        <v>0.4</v>
      </c>
      <c r="AW3138" t="s">
        <v>340</v>
      </c>
      <c r="AX3138" t="s">
        <v>3044</v>
      </c>
    </row>
    <row r="3139" spans="1:50">
      <c r="A3139" s="1" t="s">
        <v>50</v>
      </c>
      <c r="B3139" t="s">
        <v>3151</v>
      </c>
      <c r="C3139" t="s">
        <v>164</v>
      </c>
      <c r="D3139" t="s">
        <v>6441</v>
      </c>
      <c r="E3139" t="s">
        <v>207</v>
      </c>
      <c r="F3139" t="s">
        <v>359</v>
      </c>
      <c r="G3139" t="s">
        <v>7569</v>
      </c>
      <c r="H3139" t="s">
        <v>10815</v>
      </c>
      <c r="I3139" t="s">
        <v>9672</v>
      </c>
      <c r="J3139" t="s">
        <v>11783</v>
      </c>
      <c r="K3139" t="s">
        <v>1644</v>
      </c>
      <c r="L3139">
        <v>11236</v>
      </c>
      <c r="M3139" t="s">
        <v>1670</v>
      </c>
      <c r="P3139" t="s">
        <v>12896</v>
      </c>
      <c r="Q3139" t="s">
        <v>1940</v>
      </c>
      <c r="R3139" t="s">
        <v>1960</v>
      </c>
      <c r="S3139" t="s">
        <v>1967</v>
      </c>
      <c r="T3139" t="s">
        <v>1671</v>
      </c>
      <c r="V3139" t="s">
        <v>1972</v>
      </c>
      <c r="X3139" t="s">
        <v>359</v>
      </c>
      <c r="Y3139">
        <v>1142.33</v>
      </c>
      <c r="Z3139" t="s">
        <v>2009</v>
      </c>
      <c r="AA3139" t="s">
        <v>2025</v>
      </c>
      <c r="AB3139" t="s">
        <v>2032</v>
      </c>
      <c r="AC3139" t="s">
        <v>15491</v>
      </c>
      <c r="AD3139" t="s">
        <v>17623</v>
      </c>
      <c r="AE3139" t="s">
        <v>17911</v>
      </c>
      <c r="AF3139">
        <v>113</v>
      </c>
      <c r="AG3139" t="s">
        <v>2902</v>
      </c>
      <c r="AH3139" t="s">
        <v>1754</v>
      </c>
      <c r="AI3139">
        <v>15</v>
      </c>
      <c r="AJ3139">
        <v>1</v>
      </c>
      <c r="AK3139">
        <v>2</v>
      </c>
      <c r="AL3139">
        <v>187.68</v>
      </c>
      <c r="AO3139" t="s">
        <v>2926</v>
      </c>
      <c r="AP3139">
        <v>39000</v>
      </c>
      <c r="AV3139">
        <v>4.2</v>
      </c>
      <c r="AW3139" t="s">
        <v>292</v>
      </c>
      <c r="AX3139" t="s">
        <v>3060</v>
      </c>
    </row>
    <row r="3140" spans="1:50">
      <c r="A3140" s="1" t="s">
        <v>50</v>
      </c>
      <c r="B3140" t="s">
        <v>3193</v>
      </c>
      <c r="C3140" t="s">
        <v>164</v>
      </c>
      <c r="D3140" t="s">
        <v>6442</v>
      </c>
      <c r="E3140" t="s">
        <v>260</v>
      </c>
      <c r="F3140" t="s">
        <v>225</v>
      </c>
      <c r="G3140" t="s">
        <v>7314</v>
      </c>
      <c r="H3140" t="s">
        <v>965</v>
      </c>
      <c r="I3140" t="s">
        <v>11597</v>
      </c>
      <c r="J3140">
        <v>2</v>
      </c>
      <c r="K3140" t="s">
        <v>1645</v>
      </c>
      <c r="L3140">
        <v>11691</v>
      </c>
      <c r="M3140" t="s">
        <v>1670</v>
      </c>
      <c r="P3140" t="s">
        <v>12897</v>
      </c>
      <c r="Q3140" t="s">
        <v>1940</v>
      </c>
      <c r="R3140" t="s">
        <v>1960</v>
      </c>
      <c r="S3140" t="s">
        <v>1967</v>
      </c>
      <c r="T3140" t="s">
        <v>1671</v>
      </c>
      <c r="V3140" t="s">
        <v>1972</v>
      </c>
      <c r="W3140" t="s">
        <v>1984</v>
      </c>
      <c r="X3140" t="s">
        <v>225</v>
      </c>
      <c r="Y3140">
        <v>1230</v>
      </c>
      <c r="Z3140" t="s">
        <v>2007</v>
      </c>
      <c r="AA3140" t="s">
        <v>2014</v>
      </c>
      <c r="AB3140" t="s">
        <v>2034</v>
      </c>
      <c r="AC3140" t="s">
        <v>15492</v>
      </c>
      <c r="AD3140" t="s">
        <v>17624</v>
      </c>
      <c r="AE3140" t="s">
        <v>17912</v>
      </c>
      <c r="AF3140">
        <v>2</v>
      </c>
      <c r="AG3140" t="s">
        <v>2903</v>
      </c>
      <c r="AH3140" t="s">
        <v>2915</v>
      </c>
      <c r="AI3140">
        <v>9</v>
      </c>
      <c r="AJ3140">
        <v>2</v>
      </c>
      <c r="AK3140">
        <v>3</v>
      </c>
      <c r="AL3140" t="s">
        <v>13051</v>
      </c>
      <c r="AO3140" t="s">
        <v>2926</v>
      </c>
      <c r="AP3140" t="s">
        <v>13051</v>
      </c>
      <c r="AR3140" t="s">
        <v>2979</v>
      </c>
      <c r="AS3140" t="s">
        <v>2982</v>
      </c>
      <c r="AT3140" t="s">
        <v>2993</v>
      </c>
      <c r="AU3140" t="s">
        <v>3014</v>
      </c>
      <c r="AV3140">
        <v>10.3</v>
      </c>
      <c r="AW3140" t="s">
        <v>323</v>
      </c>
      <c r="AX3140" t="s">
        <v>85</v>
      </c>
    </row>
    <row r="3141" spans="1:50">
      <c r="A3141" s="1" t="s">
        <v>50</v>
      </c>
      <c r="B3141" t="s">
        <v>73</v>
      </c>
      <c r="C3141" t="s">
        <v>163</v>
      </c>
      <c r="D3141" t="s">
        <v>6443</v>
      </c>
      <c r="E3141" t="s">
        <v>229</v>
      </c>
      <c r="G3141" t="s">
        <v>9257</v>
      </c>
      <c r="H3141" t="s">
        <v>8184</v>
      </c>
      <c r="I3141" t="s">
        <v>1200</v>
      </c>
      <c r="J3141">
        <v>807</v>
      </c>
      <c r="K3141" t="s">
        <v>1649</v>
      </c>
      <c r="L3141">
        <v>11692</v>
      </c>
      <c r="M3141" t="s">
        <v>1670</v>
      </c>
      <c r="P3141" t="s">
        <v>12898</v>
      </c>
      <c r="Q3141" t="s">
        <v>1936</v>
      </c>
      <c r="R3141" t="s">
        <v>1960</v>
      </c>
      <c r="T3141" t="s">
        <v>1671</v>
      </c>
      <c r="V3141" t="s">
        <v>1972</v>
      </c>
      <c r="W3141" t="s">
        <v>1985</v>
      </c>
      <c r="X3141" t="s">
        <v>229</v>
      </c>
      <c r="Y3141">
        <v>1650</v>
      </c>
      <c r="Z3141" t="s">
        <v>2007</v>
      </c>
      <c r="AA3141" t="s">
        <v>2014</v>
      </c>
      <c r="AC3141" t="s">
        <v>15493</v>
      </c>
      <c r="AD3141" t="s">
        <v>17625</v>
      </c>
      <c r="AE3141" t="s">
        <v>17913</v>
      </c>
      <c r="AF3141">
        <v>103</v>
      </c>
      <c r="AG3141" t="s">
        <v>2902</v>
      </c>
      <c r="AH3141" t="s">
        <v>2916</v>
      </c>
      <c r="AI3141">
        <v>1</v>
      </c>
      <c r="AJ3141">
        <v>1</v>
      </c>
      <c r="AK3141">
        <v>3</v>
      </c>
      <c r="AL3141">
        <v>127.49</v>
      </c>
      <c r="AO3141" t="s">
        <v>2926</v>
      </c>
      <c r="AP3141">
        <v>32000</v>
      </c>
      <c r="AR3141" t="s">
        <v>18422</v>
      </c>
      <c r="AS3141" t="s">
        <v>18489</v>
      </c>
      <c r="AT3141" t="s">
        <v>2992</v>
      </c>
      <c r="AU3141" t="s">
        <v>18596</v>
      </c>
      <c r="AV3141">
        <v>6.65</v>
      </c>
      <c r="AW3141" t="s">
        <v>199</v>
      </c>
      <c r="AX3141" t="s">
        <v>3044</v>
      </c>
    </row>
    <row r="3142" spans="1:50">
      <c r="A3142" s="1" t="s">
        <v>50</v>
      </c>
      <c r="B3142" t="s">
        <v>151</v>
      </c>
      <c r="C3142" t="s">
        <v>163</v>
      </c>
      <c r="D3142" t="s">
        <v>6444</v>
      </c>
      <c r="E3142" t="s">
        <v>255</v>
      </c>
      <c r="G3142" t="s">
        <v>470</v>
      </c>
      <c r="H3142" t="s">
        <v>811</v>
      </c>
      <c r="I3142" t="s">
        <v>11598</v>
      </c>
      <c r="K3142" t="s">
        <v>11743</v>
      </c>
      <c r="L3142">
        <v>11421</v>
      </c>
      <c r="M3142" t="s">
        <v>1670</v>
      </c>
      <c r="P3142" t="s">
        <v>12899</v>
      </c>
      <c r="Q3142" t="s">
        <v>1936</v>
      </c>
      <c r="R3142" t="s">
        <v>1960</v>
      </c>
      <c r="T3142" t="s">
        <v>1671</v>
      </c>
      <c r="V3142" t="s">
        <v>1972</v>
      </c>
      <c r="W3142" t="s">
        <v>1984</v>
      </c>
      <c r="X3142" t="s">
        <v>255</v>
      </c>
      <c r="Y3142">
        <v>1600</v>
      </c>
      <c r="Z3142" t="s">
        <v>2007</v>
      </c>
      <c r="AA3142" t="s">
        <v>2014</v>
      </c>
      <c r="AC3142" t="s">
        <v>15494</v>
      </c>
      <c r="AD3142" t="s">
        <v>17626</v>
      </c>
      <c r="AE3142" t="s">
        <v>17914</v>
      </c>
      <c r="AF3142">
        <v>2</v>
      </c>
      <c r="AG3142" t="s">
        <v>2903</v>
      </c>
      <c r="AH3142" t="s">
        <v>1754</v>
      </c>
      <c r="AI3142">
        <v>1</v>
      </c>
      <c r="AJ3142">
        <v>2</v>
      </c>
      <c r="AK3142">
        <v>1</v>
      </c>
      <c r="AL3142">
        <v>46.88</v>
      </c>
      <c r="AO3142" t="s">
        <v>2926</v>
      </c>
      <c r="AP3142">
        <v>10000</v>
      </c>
      <c r="AR3142" t="s">
        <v>2976</v>
      </c>
      <c r="AS3142" t="s">
        <v>18459</v>
      </c>
      <c r="AT3142" t="s">
        <v>2993</v>
      </c>
      <c r="AU3142" t="s">
        <v>18628</v>
      </c>
      <c r="AV3142">
        <v>23.6</v>
      </c>
      <c r="AW3142" t="s">
        <v>396</v>
      </c>
      <c r="AX3142" t="s">
        <v>3073</v>
      </c>
    </row>
    <row r="3143" spans="1:50">
      <c r="A3143" s="1" t="s">
        <v>50</v>
      </c>
      <c r="B3143" t="s">
        <v>126</v>
      </c>
      <c r="C3143" t="s">
        <v>163</v>
      </c>
      <c r="D3143" t="s">
        <v>6445</v>
      </c>
      <c r="E3143" t="s">
        <v>245</v>
      </c>
      <c r="G3143" t="s">
        <v>9258</v>
      </c>
      <c r="H3143" t="s">
        <v>1048</v>
      </c>
      <c r="I3143" t="s">
        <v>11599</v>
      </c>
      <c r="J3143">
        <v>4</v>
      </c>
      <c r="K3143" t="s">
        <v>1641</v>
      </c>
      <c r="L3143">
        <v>10453</v>
      </c>
      <c r="M3143" t="s">
        <v>1670</v>
      </c>
      <c r="P3143" t="s">
        <v>12900</v>
      </c>
      <c r="Q3143" t="s">
        <v>1936</v>
      </c>
      <c r="R3143" t="s">
        <v>1960</v>
      </c>
      <c r="V3143" t="s">
        <v>1972</v>
      </c>
      <c r="X3143" t="s">
        <v>383</v>
      </c>
      <c r="Y3143">
        <v>1351.5</v>
      </c>
      <c r="Z3143" t="s">
        <v>2006</v>
      </c>
      <c r="AA3143" t="s">
        <v>2011</v>
      </c>
      <c r="AC3143" t="s">
        <v>2301</v>
      </c>
      <c r="AD3143" t="s">
        <v>17627</v>
      </c>
      <c r="AE3143" t="s">
        <v>17915</v>
      </c>
      <c r="AF3143">
        <v>30</v>
      </c>
      <c r="AG3143" t="s">
        <v>2904</v>
      </c>
      <c r="AH3143" t="s">
        <v>1754</v>
      </c>
      <c r="AI3143">
        <v>2</v>
      </c>
      <c r="AJ3143">
        <v>2</v>
      </c>
      <c r="AK3143">
        <v>3</v>
      </c>
      <c r="AL3143">
        <v>42.6</v>
      </c>
      <c r="AO3143" t="s">
        <v>2927</v>
      </c>
      <c r="AP3143">
        <v>12532</v>
      </c>
      <c r="AV3143">
        <v>9.199999999999999</v>
      </c>
      <c r="AW3143" t="s">
        <v>392</v>
      </c>
      <c r="AX3143" t="s">
        <v>3078</v>
      </c>
    </row>
    <row r="3144" spans="1:50">
      <c r="A3144" s="1" t="s">
        <v>50</v>
      </c>
      <c r="B3144" t="s">
        <v>118</v>
      </c>
      <c r="C3144" t="s">
        <v>163</v>
      </c>
      <c r="D3144" t="s">
        <v>6446</v>
      </c>
      <c r="E3144" t="s">
        <v>261</v>
      </c>
      <c r="G3144" t="s">
        <v>7488</v>
      </c>
      <c r="H3144" t="s">
        <v>8608</v>
      </c>
      <c r="I3144" t="s">
        <v>9700</v>
      </c>
      <c r="J3144" t="s">
        <v>1510</v>
      </c>
      <c r="K3144" t="s">
        <v>1641</v>
      </c>
      <c r="L3144">
        <v>10452</v>
      </c>
      <c r="M3144" t="s">
        <v>1670</v>
      </c>
      <c r="P3144" t="s">
        <v>12901</v>
      </c>
      <c r="Q3144" t="s">
        <v>1941</v>
      </c>
      <c r="R3144" t="s">
        <v>1964</v>
      </c>
      <c r="T3144" t="s">
        <v>1670</v>
      </c>
      <c r="V3144" t="s">
        <v>1972</v>
      </c>
      <c r="X3144" t="s">
        <v>359</v>
      </c>
      <c r="Y3144">
        <v>3000</v>
      </c>
      <c r="Z3144" t="s">
        <v>2006</v>
      </c>
      <c r="AA3144" t="s">
        <v>2015</v>
      </c>
      <c r="AC3144" t="s">
        <v>15495</v>
      </c>
      <c r="AD3144" t="s">
        <v>17628</v>
      </c>
      <c r="AE3144" t="s">
        <v>17916</v>
      </c>
      <c r="AF3144">
        <v>149</v>
      </c>
      <c r="AG3144" t="s">
        <v>2902</v>
      </c>
      <c r="AH3144" t="s">
        <v>2921</v>
      </c>
      <c r="AI3144">
        <v>24</v>
      </c>
      <c r="AJ3144">
        <v>3</v>
      </c>
      <c r="AK3144">
        <v>2</v>
      </c>
      <c r="AL3144">
        <v>39.16</v>
      </c>
      <c r="AP3144">
        <v>11520</v>
      </c>
      <c r="AV3144">
        <v>0.9</v>
      </c>
      <c r="AW3144" t="s">
        <v>208</v>
      </c>
      <c r="AX3144" t="s">
        <v>3054</v>
      </c>
    </row>
    <row r="3145" spans="1:50">
      <c r="A3145" s="1" t="s">
        <v>50</v>
      </c>
      <c r="B3145" t="s">
        <v>118</v>
      </c>
      <c r="C3145" t="s">
        <v>163</v>
      </c>
      <c r="D3145" t="s">
        <v>6447</v>
      </c>
      <c r="E3145" t="s">
        <v>261</v>
      </c>
      <c r="G3145" t="s">
        <v>7488</v>
      </c>
      <c r="H3145" t="s">
        <v>8608</v>
      </c>
      <c r="I3145" t="s">
        <v>9700</v>
      </c>
      <c r="J3145" t="s">
        <v>1510</v>
      </c>
      <c r="K3145" t="s">
        <v>1641</v>
      </c>
      <c r="L3145">
        <v>10452</v>
      </c>
      <c r="M3145" t="s">
        <v>1670</v>
      </c>
      <c r="P3145" t="s">
        <v>12372</v>
      </c>
      <c r="Q3145" t="s">
        <v>1939</v>
      </c>
      <c r="R3145" t="s">
        <v>1960</v>
      </c>
      <c r="T3145" t="s">
        <v>1670</v>
      </c>
      <c r="V3145" t="s">
        <v>1972</v>
      </c>
      <c r="X3145" t="s">
        <v>359</v>
      </c>
      <c r="Y3145">
        <v>3000</v>
      </c>
      <c r="Z3145" t="s">
        <v>2006</v>
      </c>
      <c r="AA3145" t="s">
        <v>2015</v>
      </c>
      <c r="AC3145" t="s">
        <v>15495</v>
      </c>
      <c r="AD3145" t="s">
        <v>17628</v>
      </c>
      <c r="AE3145" t="s">
        <v>17916</v>
      </c>
      <c r="AF3145">
        <v>149</v>
      </c>
      <c r="AG3145" t="s">
        <v>2902</v>
      </c>
      <c r="AH3145" t="s">
        <v>2921</v>
      </c>
      <c r="AI3145">
        <v>24</v>
      </c>
      <c r="AJ3145">
        <v>3</v>
      </c>
      <c r="AK3145">
        <v>2</v>
      </c>
      <c r="AL3145">
        <v>39.16</v>
      </c>
      <c r="AO3145" t="s">
        <v>2926</v>
      </c>
      <c r="AP3145">
        <v>11520</v>
      </c>
      <c r="AV3145" t="s">
        <v>13051</v>
      </c>
      <c r="AX3145" t="s">
        <v>3054</v>
      </c>
    </row>
    <row r="3146" spans="1:50">
      <c r="A3146" s="1" t="s">
        <v>50</v>
      </c>
      <c r="B3146" t="s">
        <v>73</v>
      </c>
      <c r="C3146" t="s">
        <v>164</v>
      </c>
      <c r="D3146" t="s">
        <v>6448</v>
      </c>
      <c r="E3146" t="s">
        <v>318</v>
      </c>
      <c r="F3146" t="s">
        <v>2005</v>
      </c>
      <c r="G3146" t="s">
        <v>9259</v>
      </c>
      <c r="H3146" t="s">
        <v>10816</v>
      </c>
      <c r="I3146" t="s">
        <v>11600</v>
      </c>
      <c r="J3146" t="s">
        <v>1501</v>
      </c>
      <c r="K3146" t="s">
        <v>1647</v>
      </c>
      <c r="L3146">
        <v>11432</v>
      </c>
      <c r="M3146" t="s">
        <v>1670</v>
      </c>
      <c r="P3146" t="s">
        <v>12902</v>
      </c>
      <c r="Q3146" t="s">
        <v>1936</v>
      </c>
      <c r="R3146" t="s">
        <v>1958</v>
      </c>
      <c r="S3146" t="s">
        <v>1965</v>
      </c>
      <c r="T3146" t="s">
        <v>1671</v>
      </c>
      <c r="V3146" t="s">
        <v>1972</v>
      </c>
      <c r="W3146" t="s">
        <v>1984</v>
      </c>
      <c r="X3146" t="s">
        <v>318</v>
      </c>
      <c r="Y3146">
        <v>1543</v>
      </c>
      <c r="Z3146" t="s">
        <v>2007</v>
      </c>
      <c r="AA3146" t="s">
        <v>2014</v>
      </c>
      <c r="AB3146" t="s">
        <v>2029</v>
      </c>
      <c r="AC3146" t="s">
        <v>15496</v>
      </c>
      <c r="AD3146" t="s">
        <v>17629</v>
      </c>
      <c r="AE3146" t="s">
        <v>17917</v>
      </c>
      <c r="AF3146">
        <v>6</v>
      </c>
      <c r="AG3146" t="s">
        <v>2904</v>
      </c>
      <c r="AH3146" t="s">
        <v>1754</v>
      </c>
      <c r="AI3146">
        <v>6</v>
      </c>
      <c r="AJ3146">
        <v>2</v>
      </c>
      <c r="AK3146">
        <v>2</v>
      </c>
      <c r="AL3146" t="s">
        <v>13051</v>
      </c>
      <c r="AO3146" t="s">
        <v>2926</v>
      </c>
      <c r="AP3146" t="s">
        <v>13051</v>
      </c>
      <c r="AV3146">
        <v>0.9</v>
      </c>
      <c r="AW3146" t="s">
        <v>2005</v>
      </c>
      <c r="AX3146" t="s">
        <v>85</v>
      </c>
    </row>
    <row r="3147" spans="1:50">
      <c r="A3147" s="1" t="s">
        <v>50</v>
      </c>
      <c r="B3147" t="s">
        <v>89</v>
      </c>
      <c r="C3147" t="s">
        <v>164</v>
      </c>
      <c r="D3147" t="s">
        <v>6449</v>
      </c>
      <c r="E3147" t="s">
        <v>3039</v>
      </c>
      <c r="F3147" t="s">
        <v>403</v>
      </c>
      <c r="G3147" t="s">
        <v>9260</v>
      </c>
      <c r="H3147" t="s">
        <v>10817</v>
      </c>
      <c r="I3147" t="s">
        <v>11601</v>
      </c>
      <c r="J3147" t="s">
        <v>10957</v>
      </c>
      <c r="K3147" t="s">
        <v>11745</v>
      </c>
      <c r="L3147">
        <v>11419</v>
      </c>
      <c r="M3147" t="s">
        <v>1670</v>
      </c>
      <c r="P3147" t="s">
        <v>12903</v>
      </c>
      <c r="R3147" t="s">
        <v>1958</v>
      </c>
      <c r="S3147" t="s">
        <v>1965</v>
      </c>
      <c r="V3147" t="s">
        <v>1972</v>
      </c>
      <c r="X3147" t="s">
        <v>3039</v>
      </c>
      <c r="Y3147">
        <v>2000</v>
      </c>
      <c r="Z3147" t="s">
        <v>2007</v>
      </c>
      <c r="AA3147" t="s">
        <v>2014</v>
      </c>
      <c r="AB3147" t="s">
        <v>2029</v>
      </c>
      <c r="AC3147" t="s">
        <v>15497</v>
      </c>
      <c r="AD3147" t="s">
        <v>17630</v>
      </c>
      <c r="AE3147" t="s">
        <v>17918</v>
      </c>
      <c r="AF3147">
        <v>4</v>
      </c>
      <c r="AG3147" t="s">
        <v>2903</v>
      </c>
      <c r="AH3147" t="s">
        <v>1754</v>
      </c>
      <c r="AI3147">
        <v>2</v>
      </c>
      <c r="AJ3147">
        <v>4</v>
      </c>
      <c r="AK3147">
        <v>1</v>
      </c>
      <c r="AL3147">
        <v>31.82</v>
      </c>
      <c r="AO3147" t="s">
        <v>2926</v>
      </c>
      <c r="AP3147">
        <v>9600</v>
      </c>
      <c r="AV3147">
        <v>1</v>
      </c>
      <c r="AW3147" t="s">
        <v>403</v>
      </c>
      <c r="AX3147" t="s">
        <v>3044</v>
      </c>
    </row>
    <row r="3148" spans="1:50">
      <c r="A3148" s="1" t="s">
        <v>50</v>
      </c>
      <c r="B3148" t="s">
        <v>88</v>
      </c>
      <c r="C3148" t="s">
        <v>164</v>
      </c>
      <c r="D3148" t="s">
        <v>6450</v>
      </c>
      <c r="E3148" t="s">
        <v>299</v>
      </c>
      <c r="F3148" t="s">
        <v>379</v>
      </c>
      <c r="G3148" t="s">
        <v>484</v>
      </c>
      <c r="H3148" t="s">
        <v>8763</v>
      </c>
      <c r="I3148" t="s">
        <v>11602</v>
      </c>
      <c r="J3148" t="s">
        <v>1562</v>
      </c>
      <c r="K3148" t="s">
        <v>1644</v>
      </c>
      <c r="L3148">
        <v>11207</v>
      </c>
      <c r="M3148" t="s">
        <v>1670</v>
      </c>
      <c r="P3148" t="s">
        <v>12904</v>
      </c>
      <c r="Q3148" t="s">
        <v>1940</v>
      </c>
      <c r="R3148" t="s">
        <v>1958</v>
      </c>
      <c r="S3148" t="s">
        <v>1965</v>
      </c>
      <c r="T3148" t="s">
        <v>1671</v>
      </c>
      <c r="V3148" t="s">
        <v>1972</v>
      </c>
      <c r="W3148" t="s">
        <v>1984</v>
      </c>
      <c r="X3148" t="s">
        <v>336</v>
      </c>
      <c r="Y3148">
        <v>1515</v>
      </c>
      <c r="Z3148" t="s">
        <v>2009</v>
      </c>
      <c r="AA3148" t="s">
        <v>2019</v>
      </c>
      <c r="AB3148" t="s">
        <v>2029</v>
      </c>
      <c r="AC3148" t="s">
        <v>15498</v>
      </c>
      <c r="AD3148" t="s">
        <v>17631</v>
      </c>
      <c r="AE3148" t="s">
        <v>17919</v>
      </c>
      <c r="AF3148">
        <v>2</v>
      </c>
      <c r="AG3148" t="s">
        <v>2903</v>
      </c>
      <c r="AH3148" t="s">
        <v>2916</v>
      </c>
      <c r="AI3148">
        <v>3</v>
      </c>
      <c r="AJ3148">
        <v>1</v>
      </c>
      <c r="AK3148">
        <v>3</v>
      </c>
      <c r="AL3148">
        <v>123.18</v>
      </c>
      <c r="AO3148" t="s">
        <v>2926</v>
      </c>
      <c r="AP3148">
        <v>31720</v>
      </c>
      <c r="AV3148">
        <v>1.5</v>
      </c>
      <c r="AW3148" t="s">
        <v>336</v>
      </c>
      <c r="AX3148" t="s">
        <v>3083</v>
      </c>
    </row>
    <row r="3149" spans="1:50">
      <c r="A3149" s="1" t="s">
        <v>50</v>
      </c>
      <c r="B3149" t="s">
        <v>73</v>
      </c>
      <c r="C3149" t="s">
        <v>164</v>
      </c>
      <c r="D3149" t="s">
        <v>6451</v>
      </c>
      <c r="E3149" t="s">
        <v>245</v>
      </c>
      <c r="F3149" t="s">
        <v>245</v>
      </c>
      <c r="G3149" t="s">
        <v>6837</v>
      </c>
      <c r="H3149" t="s">
        <v>7099</v>
      </c>
      <c r="I3149" t="s">
        <v>1200</v>
      </c>
      <c r="J3149">
        <v>410</v>
      </c>
      <c r="K3149" t="s">
        <v>1649</v>
      </c>
      <c r="L3149">
        <v>11692</v>
      </c>
      <c r="M3149" t="s">
        <v>1670</v>
      </c>
      <c r="P3149" t="s">
        <v>12905</v>
      </c>
      <c r="Q3149" t="s">
        <v>1936</v>
      </c>
      <c r="R3149" t="s">
        <v>1958</v>
      </c>
      <c r="S3149" t="s">
        <v>1965</v>
      </c>
      <c r="T3149" t="s">
        <v>1671</v>
      </c>
      <c r="V3149" t="s">
        <v>1972</v>
      </c>
      <c r="W3149" t="s">
        <v>1983</v>
      </c>
      <c r="X3149" t="s">
        <v>245</v>
      </c>
      <c r="Y3149">
        <v>1536</v>
      </c>
      <c r="Z3149" t="s">
        <v>2007</v>
      </c>
      <c r="AA3149" t="s">
        <v>2014</v>
      </c>
      <c r="AB3149" t="s">
        <v>2029</v>
      </c>
      <c r="AC3149" t="s">
        <v>15499</v>
      </c>
      <c r="AD3149" t="s">
        <v>17632</v>
      </c>
      <c r="AE3149" t="s">
        <v>17920</v>
      </c>
      <c r="AF3149">
        <v>220</v>
      </c>
      <c r="AG3149" t="s">
        <v>2902</v>
      </c>
      <c r="AH3149" t="s">
        <v>1754</v>
      </c>
      <c r="AI3149">
        <v>18</v>
      </c>
      <c r="AJ3149">
        <v>2</v>
      </c>
      <c r="AK3149">
        <v>1</v>
      </c>
      <c r="AL3149">
        <v>178.06</v>
      </c>
      <c r="AO3149" t="s">
        <v>2926</v>
      </c>
      <c r="AP3149">
        <v>37000</v>
      </c>
      <c r="AV3149">
        <v>0.7</v>
      </c>
      <c r="AW3149" t="s">
        <v>245</v>
      </c>
      <c r="AX3149" t="s">
        <v>3044</v>
      </c>
    </row>
    <row r="3150" spans="1:50">
      <c r="A3150" s="1" t="s">
        <v>50</v>
      </c>
      <c r="B3150" t="s">
        <v>103</v>
      </c>
      <c r="C3150" t="s">
        <v>163</v>
      </c>
      <c r="D3150" t="s">
        <v>6452</v>
      </c>
      <c r="E3150" t="s">
        <v>302</v>
      </c>
      <c r="G3150" t="s">
        <v>9261</v>
      </c>
      <c r="H3150" t="s">
        <v>890</v>
      </c>
      <c r="I3150" t="s">
        <v>11603</v>
      </c>
      <c r="J3150" t="s">
        <v>1542</v>
      </c>
      <c r="K3150" t="s">
        <v>1644</v>
      </c>
      <c r="L3150">
        <v>11233</v>
      </c>
      <c r="M3150" t="s">
        <v>1670</v>
      </c>
      <c r="P3150" t="s">
        <v>12906</v>
      </c>
      <c r="Q3150" t="s">
        <v>1936</v>
      </c>
      <c r="R3150" t="s">
        <v>1960</v>
      </c>
      <c r="T3150" t="s">
        <v>1671</v>
      </c>
      <c r="V3150" t="s">
        <v>1972</v>
      </c>
      <c r="W3150" t="s">
        <v>1984</v>
      </c>
      <c r="X3150" t="s">
        <v>1993</v>
      </c>
      <c r="Y3150">
        <v>2000</v>
      </c>
      <c r="Z3150" t="s">
        <v>2009</v>
      </c>
      <c r="AA3150" t="s">
        <v>2014</v>
      </c>
      <c r="AC3150" t="s">
        <v>15500</v>
      </c>
      <c r="AD3150" t="s">
        <v>17633</v>
      </c>
      <c r="AE3150" t="s">
        <v>17921</v>
      </c>
      <c r="AF3150">
        <v>3</v>
      </c>
      <c r="AG3150" t="s">
        <v>2903</v>
      </c>
      <c r="AH3150" t="s">
        <v>2017</v>
      </c>
      <c r="AI3150">
        <v>1</v>
      </c>
      <c r="AJ3150">
        <v>2</v>
      </c>
      <c r="AK3150">
        <v>2</v>
      </c>
      <c r="AL3150">
        <v>11.95</v>
      </c>
      <c r="AO3150" t="s">
        <v>2926</v>
      </c>
      <c r="AP3150">
        <v>3000</v>
      </c>
      <c r="AV3150">
        <v>28.05</v>
      </c>
      <c r="AW3150" t="s">
        <v>186</v>
      </c>
      <c r="AX3150" t="s">
        <v>3059</v>
      </c>
    </row>
    <row r="3151" spans="1:50">
      <c r="A3151" s="1" t="s">
        <v>50</v>
      </c>
      <c r="B3151" t="s">
        <v>105</v>
      </c>
      <c r="C3151" t="s">
        <v>163</v>
      </c>
      <c r="D3151" t="s">
        <v>6453</v>
      </c>
      <c r="E3151" t="s">
        <v>3040</v>
      </c>
      <c r="G3151" t="s">
        <v>650</v>
      </c>
      <c r="H3151" t="s">
        <v>8350</v>
      </c>
      <c r="I3151" t="s">
        <v>11604</v>
      </c>
      <c r="J3151" t="s">
        <v>1534</v>
      </c>
      <c r="K3151" t="s">
        <v>1641</v>
      </c>
      <c r="L3151">
        <v>10455</v>
      </c>
      <c r="M3151" t="s">
        <v>1670</v>
      </c>
      <c r="P3151" t="s">
        <v>12907</v>
      </c>
      <c r="Q3151" t="s">
        <v>1936</v>
      </c>
      <c r="R3151" t="s">
        <v>1960</v>
      </c>
      <c r="T3151" t="s">
        <v>1671</v>
      </c>
      <c r="V3151" t="s">
        <v>1972</v>
      </c>
      <c r="X3151" t="s">
        <v>3040</v>
      </c>
      <c r="Y3151">
        <v>1360</v>
      </c>
      <c r="Z3151" t="s">
        <v>2006</v>
      </c>
      <c r="AA3151" t="s">
        <v>2017</v>
      </c>
      <c r="AC3151" t="s">
        <v>15501</v>
      </c>
      <c r="AD3151" t="s">
        <v>17634</v>
      </c>
      <c r="AF3151">
        <v>16</v>
      </c>
      <c r="AG3151" t="s">
        <v>2904</v>
      </c>
      <c r="AH3151" t="s">
        <v>1754</v>
      </c>
      <c r="AI3151">
        <v>2</v>
      </c>
      <c r="AJ3151">
        <v>1</v>
      </c>
      <c r="AK3151">
        <v>1</v>
      </c>
      <c r="AL3151">
        <v>110.57</v>
      </c>
      <c r="AO3151" t="s">
        <v>2927</v>
      </c>
      <c r="AP3151">
        <v>18200</v>
      </c>
      <c r="AV3151">
        <v>25.1</v>
      </c>
      <c r="AW3151" t="s">
        <v>177</v>
      </c>
      <c r="AX3151" t="s">
        <v>3047</v>
      </c>
    </row>
    <row r="3152" spans="1:50">
      <c r="A3152" s="1" t="s">
        <v>50</v>
      </c>
      <c r="B3152" t="s">
        <v>119</v>
      </c>
      <c r="C3152" t="s">
        <v>163</v>
      </c>
      <c r="D3152" t="s">
        <v>6454</v>
      </c>
      <c r="E3152" t="s">
        <v>235</v>
      </c>
      <c r="G3152" t="s">
        <v>9262</v>
      </c>
      <c r="H3152" t="s">
        <v>877</v>
      </c>
      <c r="I3152" t="s">
        <v>11605</v>
      </c>
      <c r="J3152" t="s">
        <v>1525</v>
      </c>
      <c r="K3152" t="s">
        <v>1644</v>
      </c>
      <c r="L3152">
        <v>11208</v>
      </c>
      <c r="M3152" t="s">
        <v>1670</v>
      </c>
      <c r="P3152" t="s">
        <v>12908</v>
      </c>
      <c r="Q3152" t="s">
        <v>1940</v>
      </c>
      <c r="R3152" t="s">
        <v>1960</v>
      </c>
      <c r="T3152" t="s">
        <v>1671</v>
      </c>
      <c r="V3152" t="s">
        <v>1972</v>
      </c>
      <c r="W3152" t="s">
        <v>1984</v>
      </c>
      <c r="X3152" t="s">
        <v>249</v>
      </c>
      <c r="Y3152">
        <v>1550</v>
      </c>
      <c r="Z3152" t="s">
        <v>2009</v>
      </c>
      <c r="AA3152" t="s">
        <v>2014</v>
      </c>
      <c r="AC3152" t="s">
        <v>13753</v>
      </c>
      <c r="AD3152" t="s">
        <v>17635</v>
      </c>
      <c r="AE3152" t="s">
        <v>17922</v>
      </c>
      <c r="AF3152">
        <v>4</v>
      </c>
      <c r="AG3152" t="s">
        <v>2903</v>
      </c>
      <c r="AH3152" t="s">
        <v>2916</v>
      </c>
      <c r="AI3152">
        <v>4</v>
      </c>
      <c r="AJ3152">
        <v>2</v>
      </c>
      <c r="AK3152">
        <v>1</v>
      </c>
      <c r="AL3152">
        <v>146.27</v>
      </c>
      <c r="AO3152" t="s">
        <v>2926</v>
      </c>
      <c r="AP3152">
        <v>31200</v>
      </c>
      <c r="AV3152">
        <v>13.7</v>
      </c>
      <c r="AW3152" t="s">
        <v>3030</v>
      </c>
      <c r="AX3152" t="s">
        <v>3060</v>
      </c>
    </row>
    <row r="3153" spans="1:50">
      <c r="A3153" s="1" t="s">
        <v>50</v>
      </c>
      <c r="B3153" t="s">
        <v>107</v>
      </c>
      <c r="C3153" t="s">
        <v>163</v>
      </c>
      <c r="D3153" t="s">
        <v>6455</v>
      </c>
      <c r="E3153" t="s">
        <v>211</v>
      </c>
      <c r="G3153" t="s">
        <v>9263</v>
      </c>
      <c r="H3153" t="s">
        <v>9135</v>
      </c>
      <c r="I3153" t="s">
        <v>11606</v>
      </c>
      <c r="J3153" t="s">
        <v>1553</v>
      </c>
      <c r="K3153" t="s">
        <v>1644</v>
      </c>
      <c r="L3153">
        <v>11208</v>
      </c>
      <c r="M3153" t="s">
        <v>1670</v>
      </c>
      <c r="P3153" t="s">
        <v>12909</v>
      </c>
      <c r="Q3153" t="s">
        <v>1940</v>
      </c>
      <c r="R3153" t="s">
        <v>1960</v>
      </c>
      <c r="T3153" t="s">
        <v>1671</v>
      </c>
      <c r="V3153" t="s">
        <v>1972</v>
      </c>
      <c r="W3153" t="s">
        <v>1984</v>
      </c>
      <c r="X3153" t="s">
        <v>211</v>
      </c>
      <c r="Y3153">
        <v>1956</v>
      </c>
      <c r="Z3153" t="s">
        <v>2009</v>
      </c>
      <c r="AA3153" t="s">
        <v>2021</v>
      </c>
      <c r="AC3153" t="s">
        <v>15502</v>
      </c>
      <c r="AD3153" t="s">
        <v>17636</v>
      </c>
      <c r="AE3153" t="s">
        <v>17923</v>
      </c>
      <c r="AF3153">
        <v>3</v>
      </c>
      <c r="AG3153" t="s">
        <v>2903</v>
      </c>
      <c r="AH3153" t="s">
        <v>2918</v>
      </c>
      <c r="AI3153">
        <v>1</v>
      </c>
      <c r="AJ3153">
        <v>1</v>
      </c>
      <c r="AK3153">
        <v>4</v>
      </c>
      <c r="AL3153">
        <v>47.76</v>
      </c>
      <c r="AO3153" t="s">
        <v>2926</v>
      </c>
      <c r="AP3153">
        <v>14050</v>
      </c>
      <c r="AQ3153" t="s">
        <v>2953</v>
      </c>
      <c r="AV3153">
        <v>66.75</v>
      </c>
      <c r="AW3153" t="s">
        <v>188</v>
      </c>
      <c r="AX3153" t="s">
        <v>3049</v>
      </c>
    </row>
    <row r="3154" spans="1:50">
      <c r="A3154" s="1" t="s">
        <v>50</v>
      </c>
      <c r="B3154" t="s">
        <v>99</v>
      </c>
      <c r="C3154" t="s">
        <v>164</v>
      </c>
      <c r="D3154" t="s">
        <v>6456</v>
      </c>
      <c r="E3154" t="s">
        <v>278</v>
      </c>
      <c r="F3154" t="s">
        <v>278</v>
      </c>
      <c r="G3154" t="s">
        <v>9264</v>
      </c>
      <c r="H3154" t="s">
        <v>10818</v>
      </c>
      <c r="I3154" t="s">
        <v>11607</v>
      </c>
      <c r="J3154" t="s">
        <v>1542</v>
      </c>
      <c r="K3154" t="s">
        <v>1647</v>
      </c>
      <c r="L3154">
        <v>11435</v>
      </c>
      <c r="M3154" t="s">
        <v>1670</v>
      </c>
      <c r="P3154" t="s">
        <v>12910</v>
      </c>
      <c r="Q3154" t="s">
        <v>1936</v>
      </c>
      <c r="R3154" t="s">
        <v>1958</v>
      </c>
      <c r="S3154" t="s">
        <v>1965</v>
      </c>
      <c r="T3154" t="s">
        <v>1671</v>
      </c>
      <c r="V3154" t="s">
        <v>1972</v>
      </c>
      <c r="W3154" t="s">
        <v>1984</v>
      </c>
      <c r="X3154" t="s">
        <v>245</v>
      </c>
      <c r="Y3154">
        <v>1600</v>
      </c>
      <c r="Z3154" t="s">
        <v>2007</v>
      </c>
      <c r="AA3154" t="s">
        <v>2014</v>
      </c>
      <c r="AB3154" t="s">
        <v>2029</v>
      </c>
      <c r="AC3154" t="s">
        <v>15503</v>
      </c>
      <c r="AD3154" t="s">
        <v>15306</v>
      </c>
      <c r="AE3154" t="s">
        <v>17924</v>
      </c>
      <c r="AF3154">
        <v>3</v>
      </c>
      <c r="AG3154" t="s">
        <v>2903</v>
      </c>
      <c r="AH3154" t="s">
        <v>1754</v>
      </c>
      <c r="AI3154">
        <v>2</v>
      </c>
      <c r="AJ3154">
        <v>2</v>
      </c>
      <c r="AK3154">
        <v>1</v>
      </c>
      <c r="AL3154">
        <v>70.26000000000001</v>
      </c>
      <c r="AO3154" t="s">
        <v>2926</v>
      </c>
      <c r="AP3154">
        <v>14600</v>
      </c>
      <c r="AV3154">
        <v>0.72</v>
      </c>
      <c r="AW3154" t="s">
        <v>278</v>
      </c>
      <c r="AX3154" t="s">
        <v>85</v>
      </c>
    </row>
    <row r="3155" spans="1:50">
      <c r="A3155" s="1" t="s">
        <v>50</v>
      </c>
      <c r="B3155" t="s">
        <v>63</v>
      </c>
      <c r="C3155" t="s">
        <v>163</v>
      </c>
      <c r="D3155" t="s">
        <v>6457</v>
      </c>
      <c r="E3155" t="s">
        <v>231</v>
      </c>
      <c r="G3155" t="s">
        <v>448</v>
      </c>
      <c r="H3155" t="s">
        <v>8043</v>
      </c>
      <c r="I3155" t="s">
        <v>1227</v>
      </c>
      <c r="J3155" t="s">
        <v>1600</v>
      </c>
      <c r="K3155" t="s">
        <v>1641</v>
      </c>
      <c r="L3155">
        <v>10463</v>
      </c>
      <c r="M3155" t="s">
        <v>1670</v>
      </c>
      <c r="P3155" t="s">
        <v>1763</v>
      </c>
      <c r="Q3155" t="s">
        <v>1939</v>
      </c>
      <c r="R3155" t="s">
        <v>1960</v>
      </c>
      <c r="T3155" t="s">
        <v>1670</v>
      </c>
      <c r="V3155" t="s">
        <v>1972</v>
      </c>
      <c r="X3155" t="s">
        <v>359</v>
      </c>
      <c r="Y3155">
        <v>1530</v>
      </c>
      <c r="Z3155" t="s">
        <v>2006</v>
      </c>
      <c r="AA3155" t="s">
        <v>2015</v>
      </c>
      <c r="AC3155" t="s">
        <v>15504</v>
      </c>
      <c r="AD3155" t="s">
        <v>17637</v>
      </c>
      <c r="AF3155">
        <v>55</v>
      </c>
      <c r="AG3155" t="s">
        <v>2902</v>
      </c>
      <c r="AH3155" t="s">
        <v>2017</v>
      </c>
      <c r="AI3155">
        <v>3</v>
      </c>
      <c r="AJ3155">
        <v>1</v>
      </c>
      <c r="AK3155">
        <v>3</v>
      </c>
      <c r="AL3155">
        <v>70.84999999999999</v>
      </c>
      <c r="AO3155" t="s">
        <v>2927</v>
      </c>
      <c r="AP3155">
        <v>17784</v>
      </c>
      <c r="AV3155" t="s">
        <v>13051</v>
      </c>
      <c r="AX3155" t="s">
        <v>3054</v>
      </c>
    </row>
    <row r="3156" spans="1:50">
      <c r="A3156" s="1" t="s">
        <v>50</v>
      </c>
      <c r="B3156" t="s">
        <v>97</v>
      </c>
      <c r="C3156" t="s">
        <v>163</v>
      </c>
      <c r="D3156" t="s">
        <v>6458</v>
      </c>
      <c r="E3156" t="s">
        <v>245</v>
      </c>
      <c r="G3156" t="s">
        <v>9265</v>
      </c>
      <c r="H3156" t="s">
        <v>780</v>
      </c>
      <c r="I3156" t="s">
        <v>11608</v>
      </c>
      <c r="J3156">
        <v>33</v>
      </c>
      <c r="K3156" t="s">
        <v>1643</v>
      </c>
      <c r="L3156">
        <v>10034</v>
      </c>
      <c r="M3156" t="s">
        <v>1670</v>
      </c>
      <c r="Q3156" t="s">
        <v>1937</v>
      </c>
      <c r="R3156" t="s">
        <v>1959</v>
      </c>
      <c r="T3156" t="s">
        <v>1671</v>
      </c>
      <c r="V3156" t="s">
        <v>1972</v>
      </c>
      <c r="X3156" t="s">
        <v>245</v>
      </c>
      <c r="Y3156">
        <v>1287</v>
      </c>
      <c r="Z3156" t="s">
        <v>2008</v>
      </c>
      <c r="AA3156" t="s">
        <v>2013</v>
      </c>
      <c r="AC3156" t="s">
        <v>15505</v>
      </c>
      <c r="AD3156" t="s">
        <v>17638</v>
      </c>
      <c r="AE3156" t="s">
        <v>17925</v>
      </c>
      <c r="AF3156">
        <v>57</v>
      </c>
      <c r="AG3156" t="s">
        <v>2902</v>
      </c>
      <c r="AH3156" t="s">
        <v>1754</v>
      </c>
      <c r="AI3156">
        <v>4</v>
      </c>
      <c r="AJ3156">
        <v>2</v>
      </c>
      <c r="AK3156">
        <v>2</v>
      </c>
      <c r="AL3156">
        <v>73.13</v>
      </c>
      <c r="AO3156" t="s">
        <v>2927</v>
      </c>
      <c r="AP3156">
        <v>18356</v>
      </c>
      <c r="AV3156">
        <v>4.5</v>
      </c>
      <c r="AW3156" t="s">
        <v>245</v>
      </c>
      <c r="AX3156" t="s">
        <v>3042</v>
      </c>
    </row>
    <row r="3157" spans="1:50">
      <c r="A3157" s="1" t="s">
        <v>50</v>
      </c>
      <c r="B3157" t="s">
        <v>97</v>
      </c>
      <c r="C3157" t="s">
        <v>163</v>
      </c>
      <c r="D3157" t="s">
        <v>6459</v>
      </c>
      <c r="E3157" t="s">
        <v>191</v>
      </c>
      <c r="G3157" t="s">
        <v>9265</v>
      </c>
      <c r="H3157" t="s">
        <v>780</v>
      </c>
      <c r="I3157" t="s">
        <v>11608</v>
      </c>
      <c r="J3157" t="s">
        <v>11784</v>
      </c>
      <c r="K3157" t="s">
        <v>1643</v>
      </c>
      <c r="L3157">
        <v>10034</v>
      </c>
      <c r="M3157" t="s">
        <v>1670</v>
      </c>
      <c r="R3157" t="s">
        <v>1959</v>
      </c>
      <c r="T3157" t="s">
        <v>1671</v>
      </c>
      <c r="U3157" t="s">
        <v>50</v>
      </c>
      <c r="V3157" t="s">
        <v>1972</v>
      </c>
      <c r="X3157" t="s">
        <v>364</v>
      </c>
      <c r="Y3157">
        <v>1287</v>
      </c>
      <c r="Z3157" t="s">
        <v>2008</v>
      </c>
      <c r="AA3157" t="s">
        <v>2020</v>
      </c>
      <c r="AC3157" t="s">
        <v>15505</v>
      </c>
      <c r="AD3157" t="s">
        <v>17638</v>
      </c>
      <c r="AE3157" t="s">
        <v>17925</v>
      </c>
      <c r="AF3157">
        <v>57</v>
      </c>
      <c r="AG3157" t="s">
        <v>2902</v>
      </c>
      <c r="AH3157" t="s">
        <v>1754</v>
      </c>
      <c r="AI3157">
        <v>5</v>
      </c>
      <c r="AJ3157">
        <v>2</v>
      </c>
      <c r="AK3157">
        <v>2</v>
      </c>
      <c r="AL3157">
        <v>106.02</v>
      </c>
      <c r="AO3157" t="s">
        <v>2927</v>
      </c>
      <c r="AP3157">
        <v>27300</v>
      </c>
      <c r="AV3157">
        <v>4.6</v>
      </c>
      <c r="AW3157" t="s">
        <v>388</v>
      </c>
      <c r="AX3157" t="s">
        <v>3043</v>
      </c>
    </row>
    <row r="3158" spans="1:50">
      <c r="A3158" s="1" t="s">
        <v>50</v>
      </c>
      <c r="B3158" t="s">
        <v>59</v>
      </c>
      <c r="C3158" t="s">
        <v>164</v>
      </c>
      <c r="D3158" t="s">
        <v>6460</v>
      </c>
      <c r="E3158" t="s">
        <v>260</v>
      </c>
      <c r="F3158" t="s">
        <v>391</v>
      </c>
      <c r="G3158" t="s">
        <v>427</v>
      </c>
      <c r="H3158" t="s">
        <v>873</v>
      </c>
      <c r="I3158" t="s">
        <v>11609</v>
      </c>
      <c r="J3158">
        <v>19</v>
      </c>
      <c r="K3158" t="s">
        <v>1641</v>
      </c>
      <c r="L3158">
        <v>10453</v>
      </c>
      <c r="M3158" t="s">
        <v>1670</v>
      </c>
      <c r="P3158" t="s">
        <v>12911</v>
      </c>
      <c r="Q3158" t="s">
        <v>1936</v>
      </c>
      <c r="R3158" t="s">
        <v>1960</v>
      </c>
      <c r="S3158" t="s">
        <v>1969</v>
      </c>
      <c r="T3158" t="s">
        <v>1671</v>
      </c>
      <c r="V3158" t="s">
        <v>1972</v>
      </c>
      <c r="W3158" t="s">
        <v>1983</v>
      </c>
      <c r="X3158" t="s">
        <v>1992</v>
      </c>
      <c r="Y3158">
        <v>1440.37</v>
      </c>
      <c r="Z3158" t="s">
        <v>2006</v>
      </c>
      <c r="AA3158" t="s">
        <v>2023</v>
      </c>
      <c r="AB3158" t="s">
        <v>2041</v>
      </c>
      <c r="AC3158" t="s">
        <v>15506</v>
      </c>
      <c r="AD3158" t="s">
        <v>17639</v>
      </c>
      <c r="AE3158" t="s">
        <v>17926</v>
      </c>
      <c r="AF3158">
        <v>20</v>
      </c>
      <c r="AG3158" t="s">
        <v>18014</v>
      </c>
      <c r="AH3158" t="s">
        <v>2917</v>
      </c>
      <c r="AI3158">
        <v>8</v>
      </c>
      <c r="AJ3158">
        <v>2</v>
      </c>
      <c r="AK3158">
        <v>2</v>
      </c>
      <c r="AL3158">
        <v>36.96</v>
      </c>
      <c r="AO3158" t="s">
        <v>2927</v>
      </c>
      <c r="AP3158">
        <v>9276</v>
      </c>
      <c r="AR3158" t="s">
        <v>2976</v>
      </c>
      <c r="AS3158" t="s">
        <v>2989</v>
      </c>
      <c r="AT3158" t="s">
        <v>2992</v>
      </c>
      <c r="AU3158" t="s">
        <v>18629</v>
      </c>
      <c r="AV3158">
        <v>12.25</v>
      </c>
      <c r="AW3158" t="s">
        <v>343</v>
      </c>
      <c r="AX3158" t="s">
        <v>3047</v>
      </c>
    </row>
    <row r="3159" spans="1:50">
      <c r="A3159" s="1" t="s">
        <v>50</v>
      </c>
      <c r="B3159" t="s">
        <v>120</v>
      </c>
      <c r="C3159" t="s">
        <v>163</v>
      </c>
      <c r="D3159" t="s">
        <v>6461</v>
      </c>
      <c r="E3159" t="s">
        <v>277</v>
      </c>
      <c r="G3159" t="s">
        <v>9266</v>
      </c>
      <c r="H3159" t="s">
        <v>10819</v>
      </c>
      <c r="I3159" t="s">
        <v>11610</v>
      </c>
      <c r="J3159" t="s">
        <v>11785</v>
      </c>
      <c r="K3159" t="s">
        <v>1644</v>
      </c>
      <c r="L3159">
        <v>11208</v>
      </c>
      <c r="M3159" t="s">
        <v>1670</v>
      </c>
      <c r="P3159" t="s">
        <v>12912</v>
      </c>
      <c r="Q3159" t="s">
        <v>1944</v>
      </c>
      <c r="R3159" t="s">
        <v>1961</v>
      </c>
      <c r="T3159" t="s">
        <v>1671</v>
      </c>
      <c r="V3159" t="s">
        <v>1974</v>
      </c>
      <c r="X3159" t="s">
        <v>270</v>
      </c>
      <c r="Y3159" t="s">
        <v>13051</v>
      </c>
      <c r="Z3159" t="s">
        <v>2009</v>
      </c>
      <c r="AA3159" t="s">
        <v>2011</v>
      </c>
      <c r="AC3159" t="s">
        <v>15507</v>
      </c>
      <c r="AD3159" t="s">
        <v>17640</v>
      </c>
      <c r="AE3159" t="s">
        <v>17927</v>
      </c>
      <c r="AF3159">
        <v>3</v>
      </c>
      <c r="AI3159">
        <v>0</v>
      </c>
      <c r="AJ3159">
        <v>3</v>
      </c>
      <c r="AK3159">
        <v>2</v>
      </c>
      <c r="AL3159">
        <v>69.75</v>
      </c>
      <c r="AO3159" t="s">
        <v>2926</v>
      </c>
      <c r="AP3159">
        <v>21044</v>
      </c>
      <c r="AV3159">
        <v>4.6</v>
      </c>
      <c r="AW3159" t="s">
        <v>230</v>
      </c>
      <c r="AX3159" t="s">
        <v>3059</v>
      </c>
    </row>
    <row r="3160" spans="1:50">
      <c r="A3160" s="1" t="s">
        <v>50</v>
      </c>
      <c r="B3160" t="s">
        <v>66</v>
      </c>
      <c r="C3160" t="s">
        <v>163</v>
      </c>
      <c r="D3160" t="s">
        <v>6462</v>
      </c>
      <c r="E3160" t="s">
        <v>270</v>
      </c>
      <c r="G3160" t="s">
        <v>9266</v>
      </c>
      <c r="H3160" t="s">
        <v>10819</v>
      </c>
      <c r="I3160" t="s">
        <v>11610</v>
      </c>
      <c r="J3160" t="s">
        <v>11785</v>
      </c>
      <c r="K3160" t="s">
        <v>1644</v>
      </c>
      <c r="L3160">
        <v>11208</v>
      </c>
      <c r="M3160" t="s">
        <v>1670</v>
      </c>
      <c r="P3160" t="s">
        <v>12912</v>
      </c>
      <c r="Q3160" t="s">
        <v>1936</v>
      </c>
      <c r="R3160" t="s">
        <v>1960</v>
      </c>
      <c r="V3160" t="s">
        <v>1972</v>
      </c>
      <c r="X3160" t="s">
        <v>270</v>
      </c>
      <c r="Y3160" t="s">
        <v>13051</v>
      </c>
      <c r="Z3160" t="s">
        <v>2009</v>
      </c>
      <c r="AA3160" t="s">
        <v>2011</v>
      </c>
      <c r="AC3160" t="s">
        <v>15507</v>
      </c>
      <c r="AD3160" t="s">
        <v>17641</v>
      </c>
      <c r="AE3160" t="s">
        <v>17927</v>
      </c>
      <c r="AF3160">
        <v>3</v>
      </c>
      <c r="AI3160">
        <v>0</v>
      </c>
      <c r="AJ3160">
        <v>3</v>
      </c>
      <c r="AK3160">
        <v>2</v>
      </c>
      <c r="AL3160">
        <v>71.53</v>
      </c>
      <c r="AO3160" t="s">
        <v>2926</v>
      </c>
      <c r="AP3160">
        <v>21044</v>
      </c>
      <c r="AV3160">
        <v>13</v>
      </c>
      <c r="AW3160" t="s">
        <v>212</v>
      </c>
      <c r="AX3160" t="s">
        <v>3049</v>
      </c>
    </row>
    <row r="3161" spans="1:50">
      <c r="A3161" s="1" t="s">
        <v>50</v>
      </c>
      <c r="B3161" t="s">
        <v>151</v>
      </c>
      <c r="C3161" t="s">
        <v>164</v>
      </c>
      <c r="D3161" t="s">
        <v>6463</v>
      </c>
      <c r="E3161" t="s">
        <v>367</v>
      </c>
      <c r="F3161" t="s">
        <v>277</v>
      </c>
      <c r="G3161" t="s">
        <v>9267</v>
      </c>
      <c r="H3161" t="s">
        <v>10820</v>
      </c>
      <c r="I3161" t="s">
        <v>10172</v>
      </c>
      <c r="J3161" t="s">
        <v>11786</v>
      </c>
      <c r="K3161" t="s">
        <v>1656</v>
      </c>
      <c r="L3161">
        <v>11101</v>
      </c>
      <c r="M3161" t="s">
        <v>1670</v>
      </c>
      <c r="P3161" t="s">
        <v>12913</v>
      </c>
      <c r="Q3161" t="s">
        <v>1936</v>
      </c>
      <c r="R3161" t="s">
        <v>1958</v>
      </c>
      <c r="S3161" t="s">
        <v>1965</v>
      </c>
      <c r="T3161" t="s">
        <v>1671</v>
      </c>
      <c r="V3161" t="s">
        <v>1972</v>
      </c>
      <c r="W3161" t="s">
        <v>1984</v>
      </c>
      <c r="X3161" t="s">
        <v>367</v>
      </c>
      <c r="Y3161">
        <v>1230</v>
      </c>
      <c r="Z3161" t="s">
        <v>2007</v>
      </c>
      <c r="AA3161" t="s">
        <v>2014</v>
      </c>
      <c r="AB3161" t="s">
        <v>2029</v>
      </c>
      <c r="AC3161" t="s">
        <v>15037</v>
      </c>
      <c r="AD3161" t="s">
        <v>17642</v>
      </c>
      <c r="AE3161" t="s">
        <v>17928</v>
      </c>
      <c r="AF3161">
        <v>974</v>
      </c>
      <c r="AG3161" t="s">
        <v>2902</v>
      </c>
      <c r="AH3161" t="s">
        <v>1754</v>
      </c>
      <c r="AI3161">
        <v>1</v>
      </c>
      <c r="AJ3161">
        <v>2</v>
      </c>
      <c r="AK3161">
        <v>2</v>
      </c>
      <c r="AL3161">
        <v>149.16</v>
      </c>
      <c r="AO3161" t="s">
        <v>2926</v>
      </c>
      <c r="AP3161">
        <v>37440</v>
      </c>
      <c r="AV3161">
        <v>0.25</v>
      </c>
      <c r="AW3161" t="s">
        <v>367</v>
      </c>
      <c r="AX3161" t="s">
        <v>85</v>
      </c>
    </row>
    <row r="3162" spans="1:50">
      <c r="A3162" s="1" t="s">
        <v>50</v>
      </c>
      <c r="B3162" t="s">
        <v>120</v>
      </c>
      <c r="C3162" t="s">
        <v>164</v>
      </c>
      <c r="D3162" t="s">
        <v>6464</v>
      </c>
      <c r="E3162" t="s">
        <v>377</v>
      </c>
      <c r="F3162" t="s">
        <v>6191</v>
      </c>
      <c r="G3162" t="s">
        <v>6951</v>
      </c>
      <c r="H3162" t="s">
        <v>8240</v>
      </c>
      <c r="I3162" t="s">
        <v>11611</v>
      </c>
      <c r="J3162">
        <v>2</v>
      </c>
      <c r="K3162" t="s">
        <v>1644</v>
      </c>
      <c r="L3162">
        <v>11208</v>
      </c>
      <c r="M3162" t="s">
        <v>1670</v>
      </c>
      <c r="P3162" t="s">
        <v>12914</v>
      </c>
      <c r="Q3162" t="s">
        <v>1950</v>
      </c>
      <c r="R3162" t="s">
        <v>1961</v>
      </c>
      <c r="S3162" t="s">
        <v>1970</v>
      </c>
      <c r="T3162" t="s">
        <v>1671</v>
      </c>
      <c r="V3162" t="s">
        <v>1974</v>
      </c>
      <c r="W3162" t="s">
        <v>1984</v>
      </c>
      <c r="X3162" t="s">
        <v>377</v>
      </c>
      <c r="Y3162">
        <v>1975</v>
      </c>
      <c r="Z3162" t="s">
        <v>2009</v>
      </c>
      <c r="AA3162" t="s">
        <v>2014</v>
      </c>
      <c r="AB3162" t="s">
        <v>2039</v>
      </c>
      <c r="AC3162" t="s">
        <v>15508</v>
      </c>
      <c r="AD3162" t="s">
        <v>17643</v>
      </c>
      <c r="AE3162" t="s">
        <v>17929</v>
      </c>
      <c r="AF3162">
        <v>4</v>
      </c>
      <c r="AG3162" t="s">
        <v>2903</v>
      </c>
      <c r="AH3162" t="s">
        <v>2916</v>
      </c>
      <c r="AI3162">
        <v>3</v>
      </c>
      <c r="AJ3162">
        <v>2</v>
      </c>
      <c r="AK3162">
        <v>4</v>
      </c>
      <c r="AL3162">
        <v>100.18</v>
      </c>
      <c r="AO3162" t="s">
        <v>2926</v>
      </c>
      <c r="AP3162">
        <v>33800</v>
      </c>
      <c r="AV3162">
        <v>28</v>
      </c>
      <c r="AW3162" t="s">
        <v>6191</v>
      </c>
      <c r="AX3162" t="s">
        <v>3060</v>
      </c>
    </row>
    <row r="3163" spans="1:50">
      <c r="A3163" s="1" t="s">
        <v>50</v>
      </c>
      <c r="B3163" t="s">
        <v>107</v>
      </c>
      <c r="C3163" t="s">
        <v>163</v>
      </c>
      <c r="D3163" t="s">
        <v>6465</v>
      </c>
      <c r="E3163" t="s">
        <v>284</v>
      </c>
      <c r="G3163" t="s">
        <v>6951</v>
      </c>
      <c r="H3163" t="s">
        <v>8240</v>
      </c>
      <c r="I3163" t="s">
        <v>11611</v>
      </c>
      <c r="J3163">
        <v>2</v>
      </c>
      <c r="K3163" t="s">
        <v>1644</v>
      </c>
      <c r="L3163">
        <v>11208</v>
      </c>
      <c r="M3163" t="s">
        <v>1670</v>
      </c>
      <c r="P3163" t="s">
        <v>12914</v>
      </c>
      <c r="Q3163" t="s">
        <v>1936</v>
      </c>
      <c r="R3163" t="s">
        <v>1960</v>
      </c>
      <c r="T3163" t="s">
        <v>1671</v>
      </c>
      <c r="V3163" t="s">
        <v>1972</v>
      </c>
      <c r="W3163" t="s">
        <v>1987</v>
      </c>
      <c r="X3163" t="s">
        <v>229</v>
      </c>
      <c r="Y3163">
        <v>1975</v>
      </c>
      <c r="Z3163" t="s">
        <v>2009</v>
      </c>
      <c r="AA3163" t="s">
        <v>2014</v>
      </c>
      <c r="AC3163" t="s">
        <v>15508</v>
      </c>
      <c r="AD3163" t="s">
        <v>17643</v>
      </c>
      <c r="AE3163" t="s">
        <v>17929</v>
      </c>
      <c r="AF3163">
        <v>4</v>
      </c>
      <c r="AG3163" t="s">
        <v>2903</v>
      </c>
      <c r="AH3163" t="s">
        <v>2916</v>
      </c>
      <c r="AI3163">
        <v>3</v>
      </c>
      <c r="AJ3163">
        <v>2</v>
      </c>
      <c r="AK3163">
        <v>4</v>
      </c>
      <c r="AL3163">
        <v>100.18</v>
      </c>
      <c r="AO3163" t="s">
        <v>2926</v>
      </c>
      <c r="AP3163">
        <v>33800</v>
      </c>
      <c r="AV3163">
        <v>31.95</v>
      </c>
      <c r="AW3163" t="s">
        <v>189</v>
      </c>
      <c r="AX3163" t="s">
        <v>3060</v>
      </c>
    </row>
    <row r="3164" spans="1:50">
      <c r="A3164" s="1" t="s">
        <v>50</v>
      </c>
      <c r="B3164" t="s">
        <v>3172</v>
      </c>
      <c r="C3164" t="s">
        <v>164</v>
      </c>
      <c r="D3164" t="s">
        <v>6466</v>
      </c>
      <c r="E3164" t="s">
        <v>6766</v>
      </c>
      <c r="F3164" t="s">
        <v>6766</v>
      </c>
      <c r="G3164" t="s">
        <v>9268</v>
      </c>
      <c r="H3164" t="s">
        <v>8886</v>
      </c>
      <c r="I3164" t="s">
        <v>9730</v>
      </c>
      <c r="J3164" t="s">
        <v>11021</v>
      </c>
      <c r="K3164" t="s">
        <v>1656</v>
      </c>
      <c r="L3164">
        <v>11101</v>
      </c>
      <c r="M3164" t="s">
        <v>1670</v>
      </c>
      <c r="Q3164" t="s">
        <v>1675</v>
      </c>
      <c r="R3164" t="s">
        <v>1962</v>
      </c>
      <c r="S3164" t="s">
        <v>1968</v>
      </c>
      <c r="T3164" t="s">
        <v>1671</v>
      </c>
      <c r="V3164" t="s">
        <v>1972</v>
      </c>
      <c r="W3164" t="s">
        <v>1984</v>
      </c>
      <c r="X3164" t="s">
        <v>6766</v>
      </c>
      <c r="Y3164">
        <v>336</v>
      </c>
      <c r="Z3164" t="s">
        <v>2007</v>
      </c>
      <c r="AA3164" t="s">
        <v>2020</v>
      </c>
      <c r="AB3164" t="s">
        <v>2030</v>
      </c>
      <c r="AC3164" t="s">
        <v>15509</v>
      </c>
      <c r="AD3164" t="s">
        <v>17644</v>
      </c>
      <c r="AE3164" t="s">
        <v>17930</v>
      </c>
      <c r="AF3164">
        <v>306</v>
      </c>
      <c r="AG3164" t="s">
        <v>2910</v>
      </c>
      <c r="AH3164" t="s">
        <v>2915</v>
      </c>
      <c r="AI3164">
        <v>3</v>
      </c>
      <c r="AJ3164">
        <v>1</v>
      </c>
      <c r="AK3164">
        <v>1</v>
      </c>
      <c r="AL3164">
        <v>59.14</v>
      </c>
      <c r="AO3164" t="s">
        <v>2926</v>
      </c>
      <c r="AP3164">
        <v>10000</v>
      </c>
      <c r="AV3164">
        <v>0.7</v>
      </c>
      <c r="AW3164" t="s">
        <v>1994</v>
      </c>
      <c r="AX3164" t="s">
        <v>3172</v>
      </c>
    </row>
    <row r="3165" spans="1:50">
      <c r="A3165" s="1" t="s">
        <v>50</v>
      </c>
      <c r="B3165" t="s">
        <v>3172</v>
      </c>
      <c r="C3165" t="s">
        <v>164</v>
      </c>
      <c r="D3165" t="s">
        <v>6467</v>
      </c>
      <c r="E3165" t="s">
        <v>294</v>
      </c>
      <c r="F3165" t="s">
        <v>191</v>
      </c>
      <c r="G3165" t="s">
        <v>9268</v>
      </c>
      <c r="H3165" t="s">
        <v>8886</v>
      </c>
      <c r="I3165" t="s">
        <v>9730</v>
      </c>
      <c r="J3165" t="s">
        <v>11021</v>
      </c>
      <c r="K3165" t="s">
        <v>1656</v>
      </c>
      <c r="L3165">
        <v>11101</v>
      </c>
      <c r="M3165" t="s">
        <v>1670</v>
      </c>
      <c r="P3165" t="s">
        <v>12915</v>
      </c>
      <c r="Q3165" t="s">
        <v>1940</v>
      </c>
      <c r="R3165" t="s">
        <v>1960</v>
      </c>
      <c r="S3165" t="s">
        <v>1969</v>
      </c>
      <c r="T3165" t="s">
        <v>1671</v>
      </c>
      <c r="V3165" t="s">
        <v>1972</v>
      </c>
      <c r="W3165" t="s">
        <v>1984</v>
      </c>
      <c r="X3165" t="s">
        <v>294</v>
      </c>
      <c r="Y3165">
        <v>336</v>
      </c>
      <c r="Z3165" t="s">
        <v>2007</v>
      </c>
      <c r="AA3165" t="s">
        <v>2020</v>
      </c>
      <c r="AB3165" t="s">
        <v>2032</v>
      </c>
      <c r="AC3165" t="s">
        <v>15509</v>
      </c>
      <c r="AD3165" t="s">
        <v>17644</v>
      </c>
      <c r="AE3165" t="s">
        <v>17930</v>
      </c>
      <c r="AF3165">
        <v>306</v>
      </c>
      <c r="AG3165" t="s">
        <v>2910</v>
      </c>
      <c r="AH3165" t="s">
        <v>2915</v>
      </c>
      <c r="AI3165">
        <v>3</v>
      </c>
      <c r="AJ3165">
        <v>1</v>
      </c>
      <c r="AK3165">
        <v>1</v>
      </c>
      <c r="AL3165">
        <v>59.14</v>
      </c>
      <c r="AO3165" t="s">
        <v>2926</v>
      </c>
      <c r="AP3165">
        <v>10000</v>
      </c>
      <c r="AR3165" t="s">
        <v>2976</v>
      </c>
      <c r="AS3165" t="s">
        <v>18486</v>
      </c>
      <c r="AT3165" t="s">
        <v>2992</v>
      </c>
      <c r="AU3165" t="s">
        <v>18614</v>
      </c>
      <c r="AV3165">
        <v>34.9</v>
      </c>
      <c r="AW3165" t="s">
        <v>369</v>
      </c>
      <c r="AX3165" t="s">
        <v>3172</v>
      </c>
    </row>
    <row r="3166" spans="1:50">
      <c r="A3166" s="1" t="s">
        <v>50</v>
      </c>
      <c r="B3166" t="s">
        <v>120</v>
      </c>
      <c r="C3166" t="s">
        <v>163</v>
      </c>
      <c r="D3166" t="s">
        <v>6468</v>
      </c>
      <c r="E3166" t="s">
        <v>3039</v>
      </c>
      <c r="G3166" t="s">
        <v>9269</v>
      </c>
      <c r="H3166" t="s">
        <v>919</v>
      </c>
      <c r="I3166" t="s">
        <v>11612</v>
      </c>
      <c r="J3166" t="s">
        <v>1522</v>
      </c>
      <c r="K3166" t="s">
        <v>1644</v>
      </c>
      <c r="L3166">
        <v>11233</v>
      </c>
      <c r="M3166" t="s">
        <v>1670</v>
      </c>
      <c r="P3166" t="s">
        <v>12916</v>
      </c>
      <c r="Q3166" t="s">
        <v>1947</v>
      </c>
      <c r="R3166" t="s">
        <v>1961</v>
      </c>
      <c r="T3166" t="s">
        <v>1671</v>
      </c>
      <c r="V3166" t="s">
        <v>1974</v>
      </c>
      <c r="W3166" t="s">
        <v>1984</v>
      </c>
      <c r="X3166" t="s">
        <v>272</v>
      </c>
      <c r="Y3166">
        <v>944</v>
      </c>
      <c r="Z3166" t="s">
        <v>2009</v>
      </c>
      <c r="AA3166" t="s">
        <v>2022</v>
      </c>
      <c r="AC3166" t="s">
        <v>15510</v>
      </c>
      <c r="AD3166" t="s">
        <v>17645</v>
      </c>
      <c r="AE3166" t="s">
        <v>17931</v>
      </c>
      <c r="AF3166">
        <v>20</v>
      </c>
      <c r="AG3166" t="s">
        <v>2902</v>
      </c>
      <c r="AH3166" t="s">
        <v>2017</v>
      </c>
      <c r="AI3166">
        <v>3</v>
      </c>
      <c r="AJ3166">
        <v>1</v>
      </c>
      <c r="AK3166">
        <v>1</v>
      </c>
      <c r="AL3166">
        <v>67.42</v>
      </c>
      <c r="AO3166" t="s">
        <v>2926</v>
      </c>
      <c r="AP3166">
        <v>11400</v>
      </c>
      <c r="AV3166">
        <v>13</v>
      </c>
      <c r="AW3166" t="s">
        <v>397</v>
      </c>
      <c r="AX3166" t="s">
        <v>3060</v>
      </c>
    </row>
    <row r="3167" spans="1:50">
      <c r="A3167" s="1" t="s">
        <v>50</v>
      </c>
      <c r="B3167" t="s">
        <v>107</v>
      </c>
      <c r="C3167" t="s">
        <v>163</v>
      </c>
      <c r="D3167" t="s">
        <v>6469</v>
      </c>
      <c r="E3167" t="s">
        <v>226</v>
      </c>
      <c r="G3167" t="s">
        <v>9269</v>
      </c>
      <c r="H3167" t="s">
        <v>919</v>
      </c>
      <c r="I3167" t="s">
        <v>11612</v>
      </c>
      <c r="J3167" t="s">
        <v>1522</v>
      </c>
      <c r="K3167" t="s">
        <v>1644</v>
      </c>
      <c r="L3167">
        <v>11233</v>
      </c>
      <c r="M3167" t="s">
        <v>1670</v>
      </c>
      <c r="P3167" t="s">
        <v>12916</v>
      </c>
      <c r="Q3167" t="s">
        <v>1936</v>
      </c>
      <c r="R3167" t="s">
        <v>1960</v>
      </c>
      <c r="T3167" t="s">
        <v>1670</v>
      </c>
      <c r="U3167" t="s">
        <v>50</v>
      </c>
      <c r="V3167" t="s">
        <v>1972</v>
      </c>
      <c r="W3167" t="s">
        <v>1984</v>
      </c>
      <c r="X3167" t="s">
        <v>249</v>
      </c>
      <c r="Y3167">
        <v>944</v>
      </c>
      <c r="Z3167" t="s">
        <v>2009</v>
      </c>
      <c r="AA3167" t="s">
        <v>2022</v>
      </c>
      <c r="AC3167" t="s">
        <v>15510</v>
      </c>
      <c r="AD3167" t="s">
        <v>17645</v>
      </c>
      <c r="AE3167" t="s">
        <v>17931</v>
      </c>
      <c r="AF3167">
        <v>20</v>
      </c>
      <c r="AG3167" t="s">
        <v>2902</v>
      </c>
      <c r="AH3167" t="s">
        <v>2017</v>
      </c>
      <c r="AI3167">
        <v>3</v>
      </c>
      <c r="AJ3167">
        <v>1</v>
      </c>
      <c r="AK3167">
        <v>1</v>
      </c>
      <c r="AL3167">
        <v>67.42</v>
      </c>
      <c r="AO3167" t="s">
        <v>2926</v>
      </c>
      <c r="AP3167">
        <v>11400</v>
      </c>
      <c r="AV3167">
        <v>2.25</v>
      </c>
      <c r="AW3167" t="s">
        <v>3039</v>
      </c>
      <c r="AX3167" t="s">
        <v>3060</v>
      </c>
    </row>
    <row r="3168" spans="1:50">
      <c r="A3168" s="1" t="s">
        <v>50</v>
      </c>
      <c r="B3168" t="s">
        <v>86</v>
      </c>
      <c r="C3168" t="s">
        <v>164</v>
      </c>
      <c r="D3168" t="s">
        <v>6470</v>
      </c>
      <c r="E3168" t="s">
        <v>309</v>
      </c>
      <c r="F3168" t="s">
        <v>388</v>
      </c>
      <c r="G3168" t="s">
        <v>9270</v>
      </c>
      <c r="H3168" t="s">
        <v>10821</v>
      </c>
      <c r="I3168" t="s">
        <v>11613</v>
      </c>
      <c r="J3168" t="s">
        <v>11787</v>
      </c>
      <c r="K3168" t="s">
        <v>1641</v>
      </c>
      <c r="L3168">
        <v>10468</v>
      </c>
      <c r="M3168" t="s">
        <v>1670</v>
      </c>
      <c r="P3168" t="s">
        <v>1691</v>
      </c>
      <c r="Q3168" t="s">
        <v>1942</v>
      </c>
      <c r="R3168" t="s">
        <v>1959</v>
      </c>
      <c r="S3168" t="s">
        <v>1968</v>
      </c>
      <c r="T3168" t="s">
        <v>1671</v>
      </c>
      <c r="V3168" t="s">
        <v>1973</v>
      </c>
      <c r="W3168" t="s">
        <v>1983</v>
      </c>
      <c r="X3168" t="s">
        <v>309</v>
      </c>
      <c r="Y3168">
        <v>1550.24</v>
      </c>
      <c r="Z3168" t="s">
        <v>2006</v>
      </c>
      <c r="AA3168" t="s">
        <v>2015</v>
      </c>
      <c r="AB3168" t="s">
        <v>2029</v>
      </c>
      <c r="AC3168" t="s">
        <v>15511</v>
      </c>
      <c r="AD3168" t="s">
        <v>17646</v>
      </c>
      <c r="AE3168" t="s">
        <v>17932</v>
      </c>
      <c r="AF3168">
        <v>871</v>
      </c>
      <c r="AG3168" t="s">
        <v>2910</v>
      </c>
      <c r="AH3168" t="s">
        <v>2917</v>
      </c>
      <c r="AI3168">
        <v>3</v>
      </c>
      <c r="AJ3168">
        <v>2</v>
      </c>
      <c r="AK3168">
        <v>3</v>
      </c>
      <c r="AL3168">
        <v>20.39</v>
      </c>
      <c r="AO3168" t="s">
        <v>2926</v>
      </c>
      <c r="AP3168">
        <v>6000</v>
      </c>
      <c r="AQ3168" t="s">
        <v>18229</v>
      </c>
      <c r="AR3168" t="s">
        <v>2978</v>
      </c>
      <c r="AV3168">
        <v>5.4</v>
      </c>
      <c r="AW3168" t="s">
        <v>388</v>
      </c>
      <c r="AX3168" t="s">
        <v>3070</v>
      </c>
    </row>
    <row r="3169" spans="1:50">
      <c r="A3169" s="1" t="s">
        <v>50</v>
      </c>
      <c r="B3169" t="s">
        <v>73</v>
      </c>
      <c r="C3169" t="s">
        <v>163</v>
      </c>
      <c r="D3169" t="s">
        <v>6471</v>
      </c>
      <c r="E3169" t="s">
        <v>335</v>
      </c>
      <c r="G3169" t="s">
        <v>9271</v>
      </c>
      <c r="H3169" t="s">
        <v>10822</v>
      </c>
      <c r="I3169" t="s">
        <v>11614</v>
      </c>
      <c r="J3169" t="s">
        <v>10967</v>
      </c>
      <c r="K3169" t="s">
        <v>1645</v>
      </c>
      <c r="L3169">
        <v>11691</v>
      </c>
      <c r="M3169" t="s">
        <v>1670</v>
      </c>
      <c r="P3169" t="s">
        <v>12917</v>
      </c>
      <c r="Q3169" t="s">
        <v>1936</v>
      </c>
      <c r="R3169" t="s">
        <v>1960</v>
      </c>
      <c r="T3169" t="s">
        <v>1671</v>
      </c>
      <c r="V3169" t="s">
        <v>1972</v>
      </c>
      <c r="W3169" t="s">
        <v>1984</v>
      </c>
      <c r="X3169" t="s">
        <v>335</v>
      </c>
      <c r="Y3169">
        <v>1956</v>
      </c>
      <c r="Z3169" t="s">
        <v>2007</v>
      </c>
      <c r="AA3169" t="s">
        <v>2014</v>
      </c>
      <c r="AC3169" t="s">
        <v>15512</v>
      </c>
      <c r="AD3169" t="s">
        <v>17647</v>
      </c>
      <c r="AE3169" t="s">
        <v>17933</v>
      </c>
      <c r="AF3169">
        <v>108</v>
      </c>
      <c r="AG3169" t="s">
        <v>2902</v>
      </c>
      <c r="AH3169" t="s">
        <v>2917</v>
      </c>
      <c r="AI3169">
        <v>1</v>
      </c>
      <c r="AJ3169">
        <v>1</v>
      </c>
      <c r="AK3169">
        <v>4</v>
      </c>
      <c r="AL3169">
        <v>27.31</v>
      </c>
      <c r="AO3169" t="s">
        <v>2926</v>
      </c>
      <c r="AP3169">
        <v>8034</v>
      </c>
      <c r="AR3169" t="s">
        <v>2980</v>
      </c>
      <c r="AS3169" t="s">
        <v>2017</v>
      </c>
      <c r="AT3169" t="s">
        <v>2992</v>
      </c>
      <c r="AU3169" t="s">
        <v>18582</v>
      </c>
      <c r="AV3169">
        <v>3.8</v>
      </c>
      <c r="AW3169" t="s">
        <v>199</v>
      </c>
      <c r="AX3169" t="s">
        <v>89</v>
      </c>
    </row>
    <row r="3170" spans="1:50">
      <c r="A3170" s="1" t="s">
        <v>50</v>
      </c>
      <c r="B3170" t="s">
        <v>159</v>
      </c>
      <c r="C3170" t="s">
        <v>164</v>
      </c>
      <c r="D3170" t="s">
        <v>6472</v>
      </c>
      <c r="E3170" t="s">
        <v>342</v>
      </c>
      <c r="F3170" t="s">
        <v>243</v>
      </c>
      <c r="G3170" t="s">
        <v>9272</v>
      </c>
      <c r="H3170" t="s">
        <v>8528</v>
      </c>
      <c r="I3170" t="s">
        <v>11615</v>
      </c>
      <c r="J3170" t="s">
        <v>1477</v>
      </c>
      <c r="K3170" t="s">
        <v>1644</v>
      </c>
      <c r="L3170">
        <v>11233</v>
      </c>
      <c r="M3170" t="s">
        <v>1670</v>
      </c>
      <c r="P3170" t="s">
        <v>12918</v>
      </c>
      <c r="Q3170" t="s">
        <v>1940</v>
      </c>
      <c r="R3170" t="s">
        <v>1962</v>
      </c>
      <c r="S3170" t="s">
        <v>1968</v>
      </c>
      <c r="V3170" t="s">
        <v>1972</v>
      </c>
      <c r="X3170" t="s">
        <v>243</v>
      </c>
      <c r="Y3170">
        <v>1515</v>
      </c>
      <c r="Z3170" t="s">
        <v>2009</v>
      </c>
      <c r="AA3170" t="s">
        <v>2014</v>
      </c>
      <c r="AB3170" t="s">
        <v>2034</v>
      </c>
      <c r="AC3170" t="s">
        <v>15513</v>
      </c>
      <c r="AD3170" t="s">
        <v>17648</v>
      </c>
      <c r="AE3170" t="s">
        <v>17934</v>
      </c>
      <c r="AF3170">
        <v>2</v>
      </c>
      <c r="AH3170" t="s">
        <v>2918</v>
      </c>
      <c r="AI3170">
        <v>2</v>
      </c>
      <c r="AJ3170">
        <v>1</v>
      </c>
      <c r="AK3170">
        <v>1</v>
      </c>
      <c r="AL3170">
        <v>28.29</v>
      </c>
      <c r="AO3170" t="s">
        <v>2926</v>
      </c>
      <c r="AP3170">
        <v>4656</v>
      </c>
      <c r="AV3170">
        <v>2.6</v>
      </c>
      <c r="AW3170" t="s">
        <v>243</v>
      </c>
      <c r="AX3170" t="s">
        <v>3074</v>
      </c>
    </row>
    <row r="3171" spans="1:50">
      <c r="A3171" s="1" t="s">
        <v>50</v>
      </c>
      <c r="B3171" t="s">
        <v>128</v>
      </c>
      <c r="C3171" t="s">
        <v>164</v>
      </c>
      <c r="D3171" t="s">
        <v>6473</v>
      </c>
      <c r="E3171" t="s">
        <v>247</v>
      </c>
      <c r="F3171" t="s">
        <v>246</v>
      </c>
      <c r="G3171" t="s">
        <v>6942</v>
      </c>
      <c r="H3171" t="s">
        <v>10823</v>
      </c>
      <c r="I3171" t="s">
        <v>11616</v>
      </c>
      <c r="J3171" t="s">
        <v>11139</v>
      </c>
      <c r="K3171" t="s">
        <v>1641</v>
      </c>
      <c r="L3171">
        <v>10466</v>
      </c>
      <c r="M3171" t="s">
        <v>1670</v>
      </c>
      <c r="P3171" t="s">
        <v>12919</v>
      </c>
      <c r="Q3171" t="s">
        <v>1936</v>
      </c>
      <c r="R3171" t="s">
        <v>1958</v>
      </c>
      <c r="S3171" t="s">
        <v>1965</v>
      </c>
      <c r="T3171" t="s">
        <v>1671</v>
      </c>
      <c r="V3171" t="s">
        <v>1972</v>
      </c>
      <c r="W3171" t="s">
        <v>1983</v>
      </c>
      <c r="X3171" t="s">
        <v>247</v>
      </c>
      <c r="Y3171" t="s">
        <v>13051</v>
      </c>
      <c r="Z3171" t="s">
        <v>2006</v>
      </c>
      <c r="AA3171" t="s">
        <v>2015</v>
      </c>
      <c r="AB3171" t="s">
        <v>2029</v>
      </c>
      <c r="AC3171" t="s">
        <v>15514</v>
      </c>
      <c r="AD3171" t="s">
        <v>17649</v>
      </c>
      <c r="AE3171" t="s">
        <v>17935</v>
      </c>
      <c r="AF3171">
        <v>3</v>
      </c>
      <c r="AG3171" t="s">
        <v>2903</v>
      </c>
      <c r="AH3171" t="s">
        <v>2916</v>
      </c>
      <c r="AI3171">
        <v>0</v>
      </c>
      <c r="AJ3171">
        <v>2</v>
      </c>
      <c r="AK3171">
        <v>3</v>
      </c>
      <c r="AL3171">
        <v>1.51</v>
      </c>
      <c r="AO3171" t="s">
        <v>2926</v>
      </c>
      <c r="AP3171">
        <v>444</v>
      </c>
      <c r="AV3171">
        <v>0.6</v>
      </c>
      <c r="AW3171" t="s">
        <v>247</v>
      </c>
      <c r="AX3171" t="s">
        <v>128</v>
      </c>
    </row>
    <row r="3172" spans="1:50">
      <c r="A3172" s="1" t="s">
        <v>50</v>
      </c>
      <c r="B3172" t="s">
        <v>58</v>
      </c>
      <c r="C3172" t="s">
        <v>164</v>
      </c>
      <c r="D3172" t="s">
        <v>6474</v>
      </c>
      <c r="E3172" t="s">
        <v>238</v>
      </c>
      <c r="F3172" t="s">
        <v>303</v>
      </c>
      <c r="G3172" t="s">
        <v>6942</v>
      </c>
      <c r="H3172" t="s">
        <v>10823</v>
      </c>
      <c r="I3172" t="s">
        <v>11616</v>
      </c>
      <c r="J3172">
        <v>1</v>
      </c>
      <c r="K3172" t="s">
        <v>1641</v>
      </c>
      <c r="L3172">
        <v>10466</v>
      </c>
      <c r="M3172" t="s">
        <v>1670</v>
      </c>
      <c r="P3172" t="s">
        <v>12920</v>
      </c>
      <c r="Q3172" t="s">
        <v>1940</v>
      </c>
      <c r="R3172" t="s">
        <v>1960</v>
      </c>
      <c r="S3172" t="s">
        <v>1969</v>
      </c>
      <c r="T3172" t="s">
        <v>1671</v>
      </c>
      <c r="V3172" t="s">
        <v>1972</v>
      </c>
      <c r="W3172" t="s">
        <v>1983</v>
      </c>
      <c r="X3172" t="s">
        <v>238</v>
      </c>
      <c r="Y3172">
        <v>1956</v>
      </c>
      <c r="Z3172" t="s">
        <v>2006</v>
      </c>
      <c r="AA3172" t="s">
        <v>2015</v>
      </c>
      <c r="AB3172" t="s">
        <v>2033</v>
      </c>
      <c r="AC3172" t="s">
        <v>15514</v>
      </c>
      <c r="AD3172" t="s">
        <v>17649</v>
      </c>
      <c r="AE3172" t="s">
        <v>17935</v>
      </c>
      <c r="AF3172">
        <v>3</v>
      </c>
      <c r="AG3172" t="s">
        <v>2903</v>
      </c>
      <c r="AH3172" t="s">
        <v>2916</v>
      </c>
      <c r="AI3172">
        <v>2</v>
      </c>
      <c r="AJ3172">
        <v>2</v>
      </c>
      <c r="AK3172">
        <v>3</v>
      </c>
      <c r="AL3172">
        <v>53.03</v>
      </c>
      <c r="AO3172" t="s">
        <v>2926</v>
      </c>
      <c r="AP3172">
        <v>15600</v>
      </c>
      <c r="AR3172" t="s">
        <v>2978</v>
      </c>
      <c r="AS3172" t="s">
        <v>18490</v>
      </c>
      <c r="AT3172" t="s">
        <v>2993</v>
      </c>
      <c r="AU3172" t="s">
        <v>18630</v>
      </c>
      <c r="AV3172">
        <v>27</v>
      </c>
      <c r="AW3172" t="s">
        <v>266</v>
      </c>
      <c r="AX3172" t="s">
        <v>3053</v>
      </c>
    </row>
    <row r="3173" spans="1:50">
      <c r="A3173" s="1" t="s">
        <v>50</v>
      </c>
      <c r="B3173" t="s">
        <v>3175</v>
      </c>
      <c r="C3173" t="s">
        <v>164</v>
      </c>
      <c r="D3173" t="s">
        <v>6475</v>
      </c>
      <c r="E3173" t="s">
        <v>356</v>
      </c>
      <c r="F3173" t="s">
        <v>329</v>
      </c>
      <c r="G3173" t="s">
        <v>9273</v>
      </c>
      <c r="H3173" t="s">
        <v>9019</v>
      </c>
      <c r="I3173" t="s">
        <v>11617</v>
      </c>
      <c r="J3173" t="s">
        <v>11765</v>
      </c>
      <c r="K3173" t="s">
        <v>1645</v>
      </c>
      <c r="L3173">
        <v>11691</v>
      </c>
      <c r="M3173" t="s">
        <v>1670</v>
      </c>
      <c r="P3173" t="s">
        <v>12921</v>
      </c>
      <c r="Q3173" t="s">
        <v>1936</v>
      </c>
      <c r="R3173" t="s">
        <v>1958</v>
      </c>
      <c r="S3173" t="s">
        <v>1965</v>
      </c>
      <c r="T3173" t="s">
        <v>1671</v>
      </c>
      <c r="V3173" t="s">
        <v>1972</v>
      </c>
      <c r="W3173" t="s">
        <v>1984</v>
      </c>
      <c r="X3173" t="s">
        <v>356</v>
      </c>
      <c r="Y3173">
        <v>1534</v>
      </c>
      <c r="Z3173" t="s">
        <v>2007</v>
      </c>
      <c r="AA3173" t="s">
        <v>2014</v>
      </c>
      <c r="AB3173" t="s">
        <v>2029</v>
      </c>
      <c r="AC3173" t="s">
        <v>15515</v>
      </c>
      <c r="AD3173" t="s">
        <v>17650</v>
      </c>
      <c r="AE3173" t="s">
        <v>17936</v>
      </c>
      <c r="AF3173">
        <v>3</v>
      </c>
      <c r="AG3173" t="s">
        <v>2903</v>
      </c>
      <c r="AH3173" t="s">
        <v>2917</v>
      </c>
      <c r="AI3173">
        <v>3</v>
      </c>
      <c r="AJ3173">
        <v>1</v>
      </c>
      <c r="AK3173">
        <v>3</v>
      </c>
      <c r="AL3173" t="s">
        <v>13051</v>
      </c>
      <c r="AO3173" t="s">
        <v>2926</v>
      </c>
      <c r="AP3173" t="s">
        <v>13051</v>
      </c>
      <c r="AV3173">
        <v>1.2</v>
      </c>
      <c r="AW3173" t="s">
        <v>329</v>
      </c>
      <c r="AX3173" t="s">
        <v>85</v>
      </c>
    </row>
    <row r="3174" spans="1:50">
      <c r="A3174" s="1" t="s">
        <v>50</v>
      </c>
      <c r="B3174" t="s">
        <v>3151</v>
      </c>
      <c r="C3174" t="s">
        <v>164</v>
      </c>
      <c r="D3174" t="s">
        <v>6476</v>
      </c>
      <c r="E3174" t="s">
        <v>314</v>
      </c>
      <c r="F3174" t="s">
        <v>224</v>
      </c>
      <c r="G3174" t="s">
        <v>9274</v>
      </c>
      <c r="H3174" t="s">
        <v>8098</v>
      </c>
      <c r="I3174" t="s">
        <v>1144</v>
      </c>
      <c r="J3174" t="s">
        <v>11788</v>
      </c>
      <c r="K3174" t="s">
        <v>1644</v>
      </c>
      <c r="L3174">
        <v>11233</v>
      </c>
      <c r="M3174" t="s">
        <v>1670</v>
      </c>
      <c r="P3174" t="s">
        <v>12922</v>
      </c>
      <c r="Q3174" t="s">
        <v>1940</v>
      </c>
      <c r="R3174" t="s">
        <v>1958</v>
      </c>
      <c r="S3174" t="s">
        <v>1965</v>
      </c>
      <c r="T3174" t="s">
        <v>1671</v>
      </c>
      <c r="V3174" t="s">
        <v>1972</v>
      </c>
      <c r="X3174" t="s">
        <v>224</v>
      </c>
      <c r="Y3174">
        <v>1444.52</v>
      </c>
      <c r="Z3174" t="s">
        <v>2009</v>
      </c>
      <c r="AA3174" t="s">
        <v>2020</v>
      </c>
      <c r="AB3174" t="s">
        <v>2029</v>
      </c>
      <c r="AC3174" t="s">
        <v>15516</v>
      </c>
      <c r="AD3174" t="s">
        <v>17651</v>
      </c>
      <c r="AE3174" t="s">
        <v>17937</v>
      </c>
      <c r="AF3174">
        <v>764</v>
      </c>
      <c r="AG3174" t="s">
        <v>2902</v>
      </c>
      <c r="AH3174" t="s">
        <v>1754</v>
      </c>
      <c r="AI3174">
        <v>7</v>
      </c>
      <c r="AJ3174">
        <v>1</v>
      </c>
      <c r="AK3174">
        <v>3</v>
      </c>
      <c r="AL3174">
        <v>155.38</v>
      </c>
      <c r="AO3174" t="s">
        <v>2926</v>
      </c>
      <c r="AP3174">
        <v>39000</v>
      </c>
      <c r="AV3174">
        <v>4.6</v>
      </c>
      <c r="AW3174" t="s">
        <v>360</v>
      </c>
      <c r="AX3174" t="s">
        <v>3060</v>
      </c>
    </row>
    <row r="3175" spans="1:50">
      <c r="A3175" s="1" t="s">
        <v>50</v>
      </c>
      <c r="B3175" t="s">
        <v>119</v>
      </c>
      <c r="C3175" t="s">
        <v>163</v>
      </c>
      <c r="D3175" t="s">
        <v>6477</v>
      </c>
      <c r="E3175" t="s">
        <v>2004</v>
      </c>
      <c r="G3175" t="s">
        <v>9275</v>
      </c>
      <c r="H3175" t="s">
        <v>10824</v>
      </c>
      <c r="I3175" t="s">
        <v>11618</v>
      </c>
      <c r="J3175" t="s">
        <v>1509</v>
      </c>
      <c r="K3175" t="s">
        <v>1644</v>
      </c>
      <c r="L3175">
        <v>11207</v>
      </c>
      <c r="M3175" t="s">
        <v>1670</v>
      </c>
      <c r="P3175" t="s">
        <v>12923</v>
      </c>
      <c r="Q3175" t="s">
        <v>1939</v>
      </c>
      <c r="R3175" t="s">
        <v>1960</v>
      </c>
      <c r="V3175" t="s">
        <v>1972</v>
      </c>
      <c r="X3175" t="s">
        <v>2003</v>
      </c>
      <c r="Y3175">
        <v>1515</v>
      </c>
      <c r="Z3175" t="s">
        <v>2009</v>
      </c>
      <c r="AA3175" t="s">
        <v>2018</v>
      </c>
      <c r="AC3175" t="s">
        <v>15517</v>
      </c>
      <c r="AD3175" t="s">
        <v>17652</v>
      </c>
      <c r="AE3175" t="s">
        <v>17938</v>
      </c>
      <c r="AF3175" t="s">
        <v>13051</v>
      </c>
      <c r="AH3175" t="s">
        <v>2918</v>
      </c>
      <c r="AI3175">
        <v>-1</v>
      </c>
      <c r="AJ3175">
        <v>1</v>
      </c>
      <c r="AK3175">
        <v>2</v>
      </c>
      <c r="AL3175" t="s">
        <v>13051</v>
      </c>
      <c r="AO3175" t="s">
        <v>2926</v>
      </c>
      <c r="AP3175" t="s">
        <v>13051</v>
      </c>
      <c r="AV3175">
        <v>8.1</v>
      </c>
      <c r="AW3175" t="s">
        <v>292</v>
      </c>
      <c r="AX3175" t="s">
        <v>3069</v>
      </c>
    </row>
    <row r="3176" spans="1:50">
      <c r="A3176" s="1" t="s">
        <v>50</v>
      </c>
      <c r="B3176" t="s">
        <v>57</v>
      </c>
      <c r="C3176" t="s">
        <v>164</v>
      </c>
      <c r="D3176" t="s">
        <v>6478</v>
      </c>
      <c r="E3176" t="s">
        <v>6189</v>
      </c>
      <c r="F3176" t="s">
        <v>359</v>
      </c>
      <c r="G3176" t="s">
        <v>9276</v>
      </c>
      <c r="H3176" t="s">
        <v>810</v>
      </c>
      <c r="I3176" t="s">
        <v>1214</v>
      </c>
      <c r="J3176" t="s">
        <v>1600</v>
      </c>
      <c r="K3176" t="s">
        <v>1641</v>
      </c>
      <c r="L3176">
        <v>10452</v>
      </c>
      <c r="M3176" t="s">
        <v>1670</v>
      </c>
      <c r="Q3176" t="s">
        <v>1941</v>
      </c>
      <c r="R3176" t="s">
        <v>1958</v>
      </c>
      <c r="S3176" t="s">
        <v>1965</v>
      </c>
      <c r="T3176" t="s">
        <v>1670</v>
      </c>
      <c r="V3176" t="s">
        <v>1972</v>
      </c>
      <c r="W3176" t="s">
        <v>1984</v>
      </c>
      <c r="X3176" t="s">
        <v>216</v>
      </c>
      <c r="Y3176">
        <v>1515</v>
      </c>
      <c r="Z3176" t="s">
        <v>2006</v>
      </c>
      <c r="AA3176" t="s">
        <v>2015</v>
      </c>
      <c r="AB3176" t="s">
        <v>2029</v>
      </c>
      <c r="AC3176" t="s">
        <v>15518</v>
      </c>
      <c r="AD3176" t="s">
        <v>17653</v>
      </c>
      <c r="AE3176" t="s">
        <v>17939</v>
      </c>
      <c r="AF3176">
        <v>53</v>
      </c>
      <c r="AG3176" t="s">
        <v>2902</v>
      </c>
      <c r="AH3176" t="s">
        <v>2918</v>
      </c>
      <c r="AI3176">
        <v>2</v>
      </c>
      <c r="AJ3176">
        <v>1</v>
      </c>
      <c r="AK3176">
        <v>2</v>
      </c>
      <c r="AL3176">
        <v>37.25</v>
      </c>
      <c r="AO3176" t="s">
        <v>2926</v>
      </c>
      <c r="AP3176">
        <v>7740</v>
      </c>
      <c r="AV3176">
        <v>1.05</v>
      </c>
      <c r="AW3176" t="s">
        <v>216</v>
      </c>
      <c r="AX3176" t="s">
        <v>3046</v>
      </c>
    </row>
    <row r="3177" spans="1:50">
      <c r="A3177" s="1" t="s">
        <v>50</v>
      </c>
      <c r="B3177" t="s">
        <v>85</v>
      </c>
      <c r="C3177" t="s">
        <v>163</v>
      </c>
      <c r="D3177" t="s">
        <v>6479</v>
      </c>
      <c r="E3177" t="s">
        <v>226</v>
      </c>
      <c r="G3177" t="s">
        <v>6946</v>
      </c>
      <c r="H3177" t="s">
        <v>10825</v>
      </c>
      <c r="I3177" t="s">
        <v>11619</v>
      </c>
      <c r="J3177" t="s">
        <v>1506</v>
      </c>
      <c r="K3177" t="s">
        <v>1644</v>
      </c>
      <c r="L3177">
        <v>11233</v>
      </c>
      <c r="M3177" t="s">
        <v>1670</v>
      </c>
      <c r="P3177" t="s">
        <v>12924</v>
      </c>
      <c r="Q3177" t="s">
        <v>1947</v>
      </c>
      <c r="R3177" t="s">
        <v>1959</v>
      </c>
      <c r="T3177" t="s">
        <v>1671</v>
      </c>
      <c r="V3177" t="s">
        <v>1972</v>
      </c>
      <c r="W3177" t="s">
        <v>1984</v>
      </c>
      <c r="X3177" t="s">
        <v>265</v>
      </c>
      <c r="Y3177" t="s">
        <v>13051</v>
      </c>
      <c r="Z3177" t="s">
        <v>2009</v>
      </c>
      <c r="AA3177" t="s">
        <v>2014</v>
      </c>
      <c r="AC3177" t="s">
        <v>15519</v>
      </c>
      <c r="AD3177" t="s">
        <v>17654</v>
      </c>
      <c r="AE3177" t="s">
        <v>15077</v>
      </c>
      <c r="AF3177">
        <v>17</v>
      </c>
      <c r="AG3177" t="s">
        <v>2902</v>
      </c>
      <c r="AH3177" t="s">
        <v>2918</v>
      </c>
      <c r="AI3177">
        <v>2</v>
      </c>
      <c r="AJ3177">
        <v>3</v>
      </c>
      <c r="AK3177">
        <v>3</v>
      </c>
      <c r="AL3177" t="s">
        <v>13051</v>
      </c>
      <c r="AO3177" t="s">
        <v>2926</v>
      </c>
      <c r="AP3177" t="s">
        <v>13051</v>
      </c>
      <c r="AV3177">
        <v>1</v>
      </c>
      <c r="AW3177" t="s">
        <v>226</v>
      </c>
      <c r="AX3177" t="s">
        <v>85</v>
      </c>
    </row>
    <row r="3178" spans="1:50">
      <c r="A3178" s="1" t="s">
        <v>51</v>
      </c>
      <c r="B3178" t="s">
        <v>119</v>
      </c>
      <c r="C3178" t="s">
        <v>163</v>
      </c>
      <c r="D3178" t="s">
        <v>6480</v>
      </c>
      <c r="E3178" t="s">
        <v>321</v>
      </c>
      <c r="G3178" t="s">
        <v>7159</v>
      </c>
      <c r="H3178" t="s">
        <v>10826</v>
      </c>
      <c r="I3178" t="s">
        <v>11620</v>
      </c>
      <c r="J3178">
        <v>2</v>
      </c>
      <c r="K3178" t="s">
        <v>1644</v>
      </c>
      <c r="L3178">
        <v>11208</v>
      </c>
      <c r="M3178" t="s">
        <v>1670</v>
      </c>
      <c r="Q3178" t="s">
        <v>1936</v>
      </c>
      <c r="R3178" t="s">
        <v>1960</v>
      </c>
      <c r="T3178" t="s">
        <v>1671</v>
      </c>
      <c r="V3178" t="s">
        <v>1972</v>
      </c>
      <c r="X3178" t="s">
        <v>321</v>
      </c>
      <c r="Y3178">
        <v>1956</v>
      </c>
      <c r="Z3178" t="s">
        <v>2009</v>
      </c>
      <c r="AA3178" t="s">
        <v>2012</v>
      </c>
      <c r="AC3178" t="s">
        <v>15520</v>
      </c>
      <c r="AD3178" t="s">
        <v>17655</v>
      </c>
      <c r="AE3178" t="s">
        <v>17940</v>
      </c>
      <c r="AF3178">
        <v>2</v>
      </c>
      <c r="AG3178" t="s">
        <v>2903</v>
      </c>
      <c r="AH3178" t="s">
        <v>2917</v>
      </c>
      <c r="AI3178">
        <v>-2</v>
      </c>
      <c r="AJ3178">
        <v>1</v>
      </c>
      <c r="AK3178">
        <v>3</v>
      </c>
      <c r="AL3178">
        <v>23.31</v>
      </c>
      <c r="AM3178" t="s">
        <v>2923</v>
      </c>
      <c r="AN3178" t="s">
        <v>2924</v>
      </c>
      <c r="AO3178" t="s">
        <v>2927</v>
      </c>
      <c r="AP3178">
        <v>5850</v>
      </c>
      <c r="AV3178">
        <v>14.55</v>
      </c>
      <c r="AW3178" t="s">
        <v>192</v>
      </c>
      <c r="AX3178" t="s">
        <v>3079</v>
      </c>
    </row>
    <row r="3179" spans="1:50">
      <c r="A3179" s="1" t="s">
        <v>50</v>
      </c>
      <c r="B3179" t="s">
        <v>107</v>
      </c>
      <c r="C3179" t="s">
        <v>163</v>
      </c>
      <c r="D3179" t="s">
        <v>6481</v>
      </c>
      <c r="E3179" t="s">
        <v>301</v>
      </c>
      <c r="G3179" t="s">
        <v>9277</v>
      </c>
      <c r="H3179" t="s">
        <v>877</v>
      </c>
      <c r="I3179" t="s">
        <v>11621</v>
      </c>
      <c r="J3179">
        <v>1</v>
      </c>
      <c r="K3179" t="s">
        <v>1644</v>
      </c>
      <c r="L3179">
        <v>11208</v>
      </c>
      <c r="M3179" t="s">
        <v>1670</v>
      </c>
      <c r="P3179" t="s">
        <v>12925</v>
      </c>
      <c r="Q3179" t="s">
        <v>1940</v>
      </c>
      <c r="R3179" t="s">
        <v>1960</v>
      </c>
      <c r="T3179" t="s">
        <v>1671</v>
      </c>
      <c r="V3179" t="s">
        <v>1972</v>
      </c>
      <c r="X3179" t="s">
        <v>249</v>
      </c>
      <c r="Y3179">
        <v>1956</v>
      </c>
      <c r="Z3179" t="s">
        <v>2009</v>
      </c>
      <c r="AA3179" t="s">
        <v>2020</v>
      </c>
      <c r="AC3179" t="s">
        <v>15521</v>
      </c>
      <c r="AD3179" t="s">
        <v>17656</v>
      </c>
      <c r="AE3179" t="s">
        <v>17941</v>
      </c>
      <c r="AF3179">
        <v>4</v>
      </c>
      <c r="AG3179" t="s">
        <v>2903</v>
      </c>
      <c r="AH3179" t="s">
        <v>2916</v>
      </c>
      <c r="AI3179">
        <v>3</v>
      </c>
      <c r="AJ3179">
        <v>2</v>
      </c>
      <c r="AK3179">
        <v>3</v>
      </c>
      <c r="AL3179">
        <v>72.39</v>
      </c>
      <c r="AO3179" t="s">
        <v>2926</v>
      </c>
      <c r="AP3179">
        <v>21840</v>
      </c>
      <c r="AV3179">
        <v>19.3</v>
      </c>
      <c r="AW3179" t="s">
        <v>379</v>
      </c>
      <c r="AX3179" t="s">
        <v>3059</v>
      </c>
    </row>
    <row r="3180" spans="1:50">
      <c r="A3180" s="1" t="s">
        <v>50</v>
      </c>
      <c r="B3180" t="s">
        <v>107</v>
      </c>
      <c r="C3180" t="s">
        <v>163</v>
      </c>
      <c r="D3180" t="s">
        <v>6482</v>
      </c>
      <c r="E3180" t="s">
        <v>407</v>
      </c>
      <c r="G3180" t="s">
        <v>9277</v>
      </c>
      <c r="H3180" t="s">
        <v>877</v>
      </c>
      <c r="I3180" t="s">
        <v>11621</v>
      </c>
      <c r="J3180">
        <v>1</v>
      </c>
      <c r="K3180" t="s">
        <v>1644</v>
      </c>
      <c r="L3180">
        <v>11208</v>
      </c>
      <c r="M3180" t="s">
        <v>1670</v>
      </c>
      <c r="P3180" t="s">
        <v>12926</v>
      </c>
      <c r="Q3180" t="s">
        <v>1936</v>
      </c>
      <c r="R3180" t="s">
        <v>1960</v>
      </c>
      <c r="T3180" t="s">
        <v>1671</v>
      </c>
      <c r="V3180" t="s">
        <v>1972</v>
      </c>
      <c r="W3180" t="s">
        <v>1984</v>
      </c>
      <c r="X3180" t="s">
        <v>1990</v>
      </c>
      <c r="Y3180">
        <v>1956</v>
      </c>
      <c r="Z3180" t="s">
        <v>2009</v>
      </c>
      <c r="AA3180" t="s">
        <v>2011</v>
      </c>
      <c r="AB3180" t="s">
        <v>2032</v>
      </c>
      <c r="AC3180" t="s">
        <v>15521</v>
      </c>
      <c r="AD3180" t="s">
        <v>17656</v>
      </c>
      <c r="AE3180" t="s">
        <v>17941</v>
      </c>
      <c r="AF3180">
        <v>4</v>
      </c>
      <c r="AG3180" t="s">
        <v>2903</v>
      </c>
      <c r="AH3180" t="s">
        <v>2916</v>
      </c>
      <c r="AI3180">
        <v>3</v>
      </c>
      <c r="AJ3180">
        <v>2</v>
      </c>
      <c r="AK3180">
        <v>3</v>
      </c>
      <c r="AL3180">
        <v>74.23999999999999</v>
      </c>
      <c r="AO3180" t="s">
        <v>2926</v>
      </c>
      <c r="AP3180">
        <v>21840</v>
      </c>
      <c r="AQ3180" t="s">
        <v>18436</v>
      </c>
      <c r="AV3180">
        <v>13.5</v>
      </c>
      <c r="AW3180" t="s">
        <v>286</v>
      </c>
      <c r="AX3180" t="s">
        <v>3060</v>
      </c>
    </row>
    <row r="3181" spans="1:50">
      <c r="A3181" s="1" t="s">
        <v>50</v>
      </c>
      <c r="B3181" t="s">
        <v>104</v>
      </c>
      <c r="C3181" t="s">
        <v>163</v>
      </c>
      <c r="D3181" t="s">
        <v>6483</v>
      </c>
      <c r="E3181" t="s">
        <v>191</v>
      </c>
      <c r="G3181" t="s">
        <v>7583</v>
      </c>
      <c r="H3181" t="s">
        <v>8332</v>
      </c>
      <c r="I3181" t="s">
        <v>11622</v>
      </c>
      <c r="J3181" t="s">
        <v>11789</v>
      </c>
      <c r="K3181" t="s">
        <v>1646</v>
      </c>
      <c r="L3181">
        <v>10303</v>
      </c>
      <c r="M3181" t="s">
        <v>1670</v>
      </c>
      <c r="P3181" t="s">
        <v>1754</v>
      </c>
      <c r="Q3181" t="s">
        <v>1943</v>
      </c>
      <c r="R3181" t="s">
        <v>1959</v>
      </c>
      <c r="T3181" t="s">
        <v>1671</v>
      </c>
      <c r="V3181" t="s">
        <v>1980</v>
      </c>
      <c r="W3181" t="s">
        <v>1984</v>
      </c>
      <c r="X3181" t="s">
        <v>186</v>
      </c>
      <c r="Y3181">
        <v>2200</v>
      </c>
      <c r="Z3181" t="s">
        <v>2010</v>
      </c>
      <c r="AA3181" t="s">
        <v>2019</v>
      </c>
      <c r="AC3181" t="s">
        <v>15522</v>
      </c>
      <c r="AD3181" t="s">
        <v>17657</v>
      </c>
      <c r="AE3181" t="s">
        <v>17942</v>
      </c>
      <c r="AF3181">
        <v>2</v>
      </c>
      <c r="AG3181" t="s">
        <v>2902</v>
      </c>
      <c r="AH3181" t="s">
        <v>2915</v>
      </c>
      <c r="AI3181">
        <v>1</v>
      </c>
      <c r="AJ3181">
        <v>1</v>
      </c>
      <c r="AK3181">
        <v>3</v>
      </c>
      <c r="AL3181">
        <v>20.97</v>
      </c>
      <c r="AO3181" t="s">
        <v>2926</v>
      </c>
      <c r="AP3181">
        <v>5400</v>
      </c>
      <c r="AV3181">
        <v>1.3</v>
      </c>
      <c r="AW3181" t="s">
        <v>3030</v>
      </c>
      <c r="AX3181" t="s">
        <v>3050</v>
      </c>
    </row>
    <row r="3182" spans="1:50">
      <c r="A3182" s="1" t="s">
        <v>50</v>
      </c>
      <c r="B3182" t="s">
        <v>66</v>
      </c>
      <c r="C3182" t="s">
        <v>163</v>
      </c>
      <c r="D3182" t="s">
        <v>6484</v>
      </c>
      <c r="E3182" t="s">
        <v>328</v>
      </c>
      <c r="G3182" t="s">
        <v>9278</v>
      </c>
      <c r="H3182" t="s">
        <v>10827</v>
      </c>
      <c r="I3182" t="s">
        <v>9828</v>
      </c>
      <c r="J3182" t="s">
        <v>1543</v>
      </c>
      <c r="K3182" t="s">
        <v>1644</v>
      </c>
      <c r="L3182">
        <v>11208</v>
      </c>
      <c r="M3182" t="s">
        <v>1670</v>
      </c>
      <c r="P3182" t="s">
        <v>12927</v>
      </c>
      <c r="Q3182" t="s">
        <v>1940</v>
      </c>
      <c r="R3182" t="s">
        <v>1963</v>
      </c>
      <c r="T3182" t="s">
        <v>1671</v>
      </c>
      <c r="V3182" t="s">
        <v>1972</v>
      </c>
      <c r="X3182" t="s">
        <v>328</v>
      </c>
      <c r="Y3182">
        <v>1350</v>
      </c>
      <c r="Z3182" t="s">
        <v>2009</v>
      </c>
      <c r="AA3182" t="s">
        <v>2014</v>
      </c>
      <c r="AC3182" t="s">
        <v>15523</v>
      </c>
      <c r="AD3182" t="s">
        <v>17658</v>
      </c>
      <c r="AE3182" t="s">
        <v>17943</v>
      </c>
      <c r="AF3182">
        <v>4</v>
      </c>
      <c r="AG3182" t="s">
        <v>2903</v>
      </c>
      <c r="AH3182" t="s">
        <v>1754</v>
      </c>
      <c r="AI3182">
        <v>6</v>
      </c>
      <c r="AJ3182">
        <v>3</v>
      </c>
      <c r="AK3182">
        <v>2</v>
      </c>
      <c r="AL3182">
        <v>135.62</v>
      </c>
      <c r="AO3182" t="s">
        <v>2926</v>
      </c>
      <c r="AP3182">
        <v>40916</v>
      </c>
      <c r="AV3182">
        <v>2.6</v>
      </c>
      <c r="AW3182" t="s">
        <v>222</v>
      </c>
      <c r="AX3182" t="s">
        <v>18677</v>
      </c>
    </row>
    <row r="3183" spans="1:50">
      <c r="A3183" s="1" t="s">
        <v>51</v>
      </c>
      <c r="B3183" t="s">
        <v>99</v>
      </c>
      <c r="C3183" t="s">
        <v>164</v>
      </c>
      <c r="D3183" t="s">
        <v>6485</v>
      </c>
      <c r="E3183" t="s">
        <v>166</v>
      </c>
      <c r="F3183" t="s">
        <v>382</v>
      </c>
      <c r="G3183" t="s">
        <v>9279</v>
      </c>
      <c r="H3183" t="s">
        <v>10828</v>
      </c>
      <c r="I3183" t="s">
        <v>11623</v>
      </c>
      <c r="J3183">
        <v>5</v>
      </c>
      <c r="K3183" t="s">
        <v>1654</v>
      </c>
      <c r="L3183">
        <v>11102</v>
      </c>
      <c r="M3183" t="s">
        <v>1670</v>
      </c>
      <c r="P3183" t="s">
        <v>12928</v>
      </c>
      <c r="Q3183" t="s">
        <v>1936</v>
      </c>
      <c r="R3183" t="s">
        <v>1960</v>
      </c>
      <c r="S3183" t="s">
        <v>1969</v>
      </c>
      <c r="T3183" t="s">
        <v>1671</v>
      </c>
      <c r="V3183" t="s">
        <v>1972</v>
      </c>
      <c r="W3183" t="s">
        <v>1984</v>
      </c>
      <c r="X3183" t="s">
        <v>166</v>
      </c>
      <c r="Y3183">
        <v>1518.75</v>
      </c>
      <c r="Z3183" t="s">
        <v>2007</v>
      </c>
      <c r="AA3183" t="s">
        <v>2012</v>
      </c>
      <c r="AB3183" t="s">
        <v>2032</v>
      </c>
      <c r="AC3183" t="s">
        <v>15524</v>
      </c>
      <c r="AD3183" t="s">
        <v>17659</v>
      </c>
      <c r="AE3183" t="s">
        <v>17944</v>
      </c>
      <c r="AF3183">
        <v>8</v>
      </c>
      <c r="AG3183" t="s">
        <v>2902</v>
      </c>
      <c r="AH3183" t="s">
        <v>1754</v>
      </c>
      <c r="AI3183">
        <v>3</v>
      </c>
      <c r="AJ3183">
        <v>1</v>
      </c>
      <c r="AK3183">
        <v>2</v>
      </c>
      <c r="AL3183">
        <v>45.56</v>
      </c>
      <c r="AM3183" t="s">
        <v>2923</v>
      </c>
      <c r="AN3183" t="s">
        <v>2924</v>
      </c>
      <c r="AO3183" t="s">
        <v>2931</v>
      </c>
      <c r="AP3183">
        <v>9468</v>
      </c>
      <c r="AR3183" t="s">
        <v>2977</v>
      </c>
      <c r="AS3183" t="s">
        <v>2983</v>
      </c>
      <c r="AT3183" t="s">
        <v>2992</v>
      </c>
      <c r="AU3183" t="s">
        <v>18578</v>
      </c>
      <c r="AV3183">
        <v>20.63</v>
      </c>
      <c r="AW3183" t="s">
        <v>3030</v>
      </c>
      <c r="AX3183" t="s">
        <v>53</v>
      </c>
    </row>
    <row r="3184" spans="1:50">
      <c r="A3184" s="1" t="s">
        <v>50</v>
      </c>
      <c r="B3184" t="s">
        <v>99</v>
      </c>
      <c r="C3184" t="s">
        <v>164</v>
      </c>
      <c r="D3184" t="s">
        <v>6486</v>
      </c>
      <c r="E3184" t="s">
        <v>377</v>
      </c>
      <c r="F3184" t="s">
        <v>231</v>
      </c>
      <c r="G3184" t="s">
        <v>9279</v>
      </c>
      <c r="H3184" t="s">
        <v>10828</v>
      </c>
      <c r="I3184" t="s">
        <v>11623</v>
      </c>
      <c r="J3184">
        <v>5</v>
      </c>
      <c r="K3184" t="s">
        <v>1654</v>
      </c>
      <c r="L3184">
        <v>11102</v>
      </c>
      <c r="M3184" t="s">
        <v>1670</v>
      </c>
      <c r="P3184" t="s">
        <v>12929</v>
      </c>
      <c r="Q3184" t="s">
        <v>1936</v>
      </c>
      <c r="R3184" t="s">
        <v>1960</v>
      </c>
      <c r="S3184" t="s">
        <v>1969</v>
      </c>
      <c r="T3184" t="s">
        <v>1671</v>
      </c>
      <c r="V3184" t="s">
        <v>1972</v>
      </c>
      <c r="W3184" t="s">
        <v>1984</v>
      </c>
      <c r="X3184" t="s">
        <v>377</v>
      </c>
      <c r="Y3184">
        <v>1518.75</v>
      </c>
      <c r="Z3184" t="s">
        <v>2007</v>
      </c>
      <c r="AA3184" t="s">
        <v>2020</v>
      </c>
      <c r="AB3184" t="s">
        <v>2032</v>
      </c>
      <c r="AC3184" t="s">
        <v>15524</v>
      </c>
      <c r="AD3184" t="s">
        <v>17659</v>
      </c>
      <c r="AE3184" t="s">
        <v>17944</v>
      </c>
      <c r="AF3184">
        <v>8</v>
      </c>
      <c r="AG3184" t="s">
        <v>2902</v>
      </c>
      <c r="AH3184" t="s">
        <v>1754</v>
      </c>
      <c r="AI3184">
        <v>3</v>
      </c>
      <c r="AJ3184">
        <v>1</v>
      </c>
      <c r="AK3184">
        <v>2</v>
      </c>
      <c r="AL3184">
        <v>45.56</v>
      </c>
      <c r="AO3184" t="s">
        <v>2931</v>
      </c>
      <c r="AP3184">
        <v>9468</v>
      </c>
      <c r="AS3184" t="s">
        <v>2983</v>
      </c>
      <c r="AT3184" t="s">
        <v>2992</v>
      </c>
      <c r="AU3184" t="s">
        <v>18631</v>
      </c>
      <c r="AV3184">
        <v>7.05</v>
      </c>
      <c r="AW3184" t="s">
        <v>199</v>
      </c>
      <c r="AX3184" t="s">
        <v>18688</v>
      </c>
    </row>
    <row r="3185" spans="1:50">
      <c r="A3185" s="1" t="s">
        <v>50</v>
      </c>
      <c r="B3185" t="s">
        <v>114</v>
      </c>
      <c r="C3185" t="s">
        <v>164</v>
      </c>
      <c r="D3185" t="s">
        <v>6487</v>
      </c>
      <c r="E3185" t="s">
        <v>185</v>
      </c>
      <c r="F3185" t="s">
        <v>304</v>
      </c>
      <c r="G3185" t="s">
        <v>7269</v>
      </c>
      <c r="H3185" t="s">
        <v>890</v>
      </c>
      <c r="I3185" t="s">
        <v>11624</v>
      </c>
      <c r="J3185" t="s">
        <v>1488</v>
      </c>
      <c r="K3185" t="s">
        <v>1641</v>
      </c>
      <c r="L3185">
        <v>10455</v>
      </c>
      <c r="M3185" t="s">
        <v>1670</v>
      </c>
      <c r="P3185" t="s">
        <v>12930</v>
      </c>
      <c r="Q3185" t="s">
        <v>1936</v>
      </c>
      <c r="R3185" t="s">
        <v>1960</v>
      </c>
      <c r="S3185" t="s">
        <v>1969</v>
      </c>
      <c r="T3185" t="s">
        <v>1671</v>
      </c>
      <c r="V3185" t="s">
        <v>1972</v>
      </c>
      <c r="W3185" t="s">
        <v>1986</v>
      </c>
      <c r="X3185" t="s">
        <v>185</v>
      </c>
      <c r="Y3185">
        <v>1019</v>
      </c>
      <c r="Z3185" t="s">
        <v>2006</v>
      </c>
      <c r="AA3185" t="s">
        <v>2023</v>
      </c>
      <c r="AB3185" t="s">
        <v>2032</v>
      </c>
      <c r="AC3185" t="s">
        <v>15525</v>
      </c>
      <c r="AD3185" t="s">
        <v>17660</v>
      </c>
      <c r="AE3185" t="s">
        <v>17945</v>
      </c>
      <c r="AF3185">
        <v>110</v>
      </c>
      <c r="AG3185" t="s">
        <v>2902</v>
      </c>
      <c r="AH3185" t="s">
        <v>2915</v>
      </c>
      <c r="AI3185">
        <v>1</v>
      </c>
      <c r="AJ3185">
        <v>1</v>
      </c>
      <c r="AK3185">
        <v>2</v>
      </c>
      <c r="AL3185">
        <v>187.68</v>
      </c>
      <c r="AO3185" t="s">
        <v>2926</v>
      </c>
      <c r="AP3185">
        <v>39000</v>
      </c>
      <c r="AQ3185" t="s">
        <v>18250</v>
      </c>
      <c r="AR3185" t="s">
        <v>2978</v>
      </c>
      <c r="AS3185" t="s">
        <v>2982</v>
      </c>
      <c r="AT3185" t="s">
        <v>2992</v>
      </c>
      <c r="AU3185" t="s">
        <v>18494</v>
      </c>
      <c r="AV3185">
        <v>17.4</v>
      </c>
      <c r="AW3185" t="s">
        <v>292</v>
      </c>
      <c r="AX3185" t="s">
        <v>3082</v>
      </c>
    </row>
    <row r="3186" spans="1:50">
      <c r="A3186" s="1" t="s">
        <v>50</v>
      </c>
      <c r="B3186" t="s">
        <v>59</v>
      </c>
      <c r="C3186" t="s">
        <v>163</v>
      </c>
      <c r="D3186" t="s">
        <v>6488</v>
      </c>
      <c r="E3186" t="s">
        <v>250</v>
      </c>
      <c r="G3186" t="s">
        <v>9280</v>
      </c>
      <c r="H3186" t="s">
        <v>10829</v>
      </c>
      <c r="I3186" t="s">
        <v>11625</v>
      </c>
      <c r="J3186" t="s">
        <v>1569</v>
      </c>
      <c r="K3186" t="s">
        <v>1641</v>
      </c>
      <c r="L3186">
        <v>10452</v>
      </c>
      <c r="M3186" t="s">
        <v>1670</v>
      </c>
      <c r="P3186" t="s">
        <v>12931</v>
      </c>
      <c r="Q3186" t="s">
        <v>1936</v>
      </c>
      <c r="R3186" t="s">
        <v>1958</v>
      </c>
      <c r="T3186" t="s">
        <v>1671</v>
      </c>
      <c r="V3186" t="s">
        <v>1972</v>
      </c>
      <c r="X3186" t="s">
        <v>2005</v>
      </c>
      <c r="Y3186">
        <v>1342.11</v>
      </c>
      <c r="Z3186" t="s">
        <v>2006</v>
      </c>
      <c r="AA3186" t="s">
        <v>13055</v>
      </c>
      <c r="AC3186" t="s">
        <v>15526</v>
      </c>
      <c r="AD3186" t="s">
        <v>17661</v>
      </c>
      <c r="AE3186" t="s">
        <v>17946</v>
      </c>
      <c r="AF3186">
        <v>6</v>
      </c>
      <c r="AG3186" t="s">
        <v>2902</v>
      </c>
      <c r="AH3186" t="s">
        <v>1754</v>
      </c>
      <c r="AI3186">
        <v>22</v>
      </c>
      <c r="AJ3186">
        <v>1</v>
      </c>
      <c r="AK3186">
        <v>1</v>
      </c>
      <c r="AL3186">
        <v>16.77</v>
      </c>
      <c r="AO3186" t="s">
        <v>2926</v>
      </c>
      <c r="AP3186">
        <v>2760</v>
      </c>
      <c r="AV3186">
        <v>3.75</v>
      </c>
      <c r="AW3186" t="s">
        <v>245</v>
      </c>
      <c r="AX3186" t="s">
        <v>3071</v>
      </c>
    </row>
    <row r="3187" spans="1:50">
      <c r="A3187" s="1" t="s">
        <v>50</v>
      </c>
      <c r="B3187" t="s">
        <v>126</v>
      </c>
      <c r="C3187" t="s">
        <v>163</v>
      </c>
      <c r="D3187" t="s">
        <v>6489</v>
      </c>
      <c r="E3187" t="s">
        <v>387</v>
      </c>
      <c r="G3187" t="s">
        <v>579</v>
      </c>
      <c r="H3187" t="s">
        <v>7995</v>
      </c>
      <c r="I3187" t="s">
        <v>11626</v>
      </c>
      <c r="J3187" t="s">
        <v>1575</v>
      </c>
      <c r="K3187" t="s">
        <v>1641</v>
      </c>
      <c r="L3187">
        <v>10453</v>
      </c>
      <c r="M3187" t="s">
        <v>1670</v>
      </c>
      <c r="P3187" t="s">
        <v>12932</v>
      </c>
      <c r="Q3187" t="s">
        <v>1936</v>
      </c>
      <c r="R3187" t="s">
        <v>1960</v>
      </c>
      <c r="V3187" t="s">
        <v>1972</v>
      </c>
      <c r="X3187" t="s">
        <v>218</v>
      </c>
      <c r="Y3187">
        <v>612.61</v>
      </c>
      <c r="Z3187" t="s">
        <v>2006</v>
      </c>
      <c r="AA3187" t="s">
        <v>2026</v>
      </c>
      <c r="AC3187" t="s">
        <v>15527</v>
      </c>
      <c r="AD3187" t="s">
        <v>17662</v>
      </c>
      <c r="AE3187" t="s">
        <v>17947</v>
      </c>
      <c r="AF3187">
        <v>72</v>
      </c>
      <c r="AG3187" t="s">
        <v>2908</v>
      </c>
      <c r="AH3187" t="s">
        <v>1754</v>
      </c>
      <c r="AI3187">
        <v>36</v>
      </c>
      <c r="AJ3187">
        <v>1</v>
      </c>
      <c r="AK3187">
        <v>1</v>
      </c>
      <c r="AL3187">
        <v>89.16</v>
      </c>
      <c r="AO3187" t="s">
        <v>2926</v>
      </c>
      <c r="AP3187">
        <v>14676</v>
      </c>
      <c r="AQ3187" t="s">
        <v>18340</v>
      </c>
      <c r="AV3187">
        <v>7.9</v>
      </c>
      <c r="AW3187" t="s">
        <v>247</v>
      </c>
      <c r="AX3187" t="s">
        <v>3058</v>
      </c>
    </row>
    <row r="3188" spans="1:50">
      <c r="A3188" s="1" t="s">
        <v>50</v>
      </c>
      <c r="B3188" t="s">
        <v>3187</v>
      </c>
      <c r="C3188" t="s">
        <v>164</v>
      </c>
      <c r="D3188" t="s">
        <v>6490</v>
      </c>
      <c r="E3188" t="s">
        <v>280</v>
      </c>
      <c r="F3188" t="s">
        <v>180</v>
      </c>
      <c r="G3188" t="s">
        <v>9281</v>
      </c>
      <c r="H3188" t="s">
        <v>8705</v>
      </c>
      <c r="I3188" t="s">
        <v>11627</v>
      </c>
      <c r="J3188" t="s">
        <v>1484</v>
      </c>
      <c r="K3188" t="s">
        <v>1645</v>
      </c>
      <c r="L3188">
        <v>11691</v>
      </c>
      <c r="M3188" t="s">
        <v>1670</v>
      </c>
      <c r="P3188" t="s">
        <v>12933</v>
      </c>
      <c r="Q3188" t="s">
        <v>1940</v>
      </c>
      <c r="R3188" t="s">
        <v>1958</v>
      </c>
      <c r="S3188" t="s">
        <v>1965</v>
      </c>
      <c r="T3188" t="s">
        <v>1671</v>
      </c>
      <c r="V3188" t="s">
        <v>1972</v>
      </c>
      <c r="W3188" t="s">
        <v>1984</v>
      </c>
      <c r="X3188" t="s">
        <v>1989</v>
      </c>
      <c r="Y3188">
        <v>1956</v>
      </c>
      <c r="Z3188" t="s">
        <v>2007</v>
      </c>
      <c r="AA3188" t="s">
        <v>2014</v>
      </c>
      <c r="AB3188" t="s">
        <v>2029</v>
      </c>
      <c r="AC3188" t="s">
        <v>15528</v>
      </c>
      <c r="AD3188" t="s">
        <v>17663</v>
      </c>
      <c r="AE3188" t="s">
        <v>17948</v>
      </c>
      <c r="AF3188">
        <v>4</v>
      </c>
      <c r="AG3188" t="s">
        <v>2903</v>
      </c>
      <c r="AH3188" t="s">
        <v>1754</v>
      </c>
      <c r="AI3188">
        <v>2</v>
      </c>
      <c r="AJ3188">
        <v>3</v>
      </c>
      <c r="AK3188">
        <v>2</v>
      </c>
      <c r="AL3188">
        <v>30.59</v>
      </c>
      <c r="AO3188" t="s">
        <v>2926</v>
      </c>
      <c r="AP3188">
        <v>9000</v>
      </c>
      <c r="AV3188">
        <v>2.05</v>
      </c>
      <c r="AW3188" t="s">
        <v>352</v>
      </c>
      <c r="AX3188" t="s">
        <v>3044</v>
      </c>
    </row>
    <row r="3189" spans="1:50">
      <c r="A3189" s="1" t="s">
        <v>50</v>
      </c>
      <c r="B3189" t="s">
        <v>103</v>
      </c>
      <c r="C3189" t="s">
        <v>164</v>
      </c>
      <c r="D3189" t="s">
        <v>6491</v>
      </c>
      <c r="E3189" t="s">
        <v>340</v>
      </c>
      <c r="F3189" t="s">
        <v>306</v>
      </c>
      <c r="G3189" t="s">
        <v>9282</v>
      </c>
      <c r="H3189" t="s">
        <v>815</v>
      </c>
      <c r="I3189" t="s">
        <v>11628</v>
      </c>
      <c r="J3189">
        <v>1</v>
      </c>
      <c r="K3189" t="s">
        <v>1644</v>
      </c>
      <c r="L3189">
        <v>11207</v>
      </c>
      <c r="M3189" t="s">
        <v>1670</v>
      </c>
      <c r="P3189" t="s">
        <v>12934</v>
      </c>
      <c r="Q3189" t="s">
        <v>1940</v>
      </c>
      <c r="R3189" t="s">
        <v>1958</v>
      </c>
      <c r="S3189" t="s">
        <v>1965</v>
      </c>
      <c r="V3189" t="s">
        <v>1972</v>
      </c>
      <c r="X3189" t="s">
        <v>340</v>
      </c>
      <c r="Y3189">
        <v>750</v>
      </c>
      <c r="Z3189" t="s">
        <v>2009</v>
      </c>
      <c r="AA3189" t="s">
        <v>2014</v>
      </c>
      <c r="AB3189" t="s">
        <v>2029</v>
      </c>
      <c r="AC3189" t="s">
        <v>15529</v>
      </c>
      <c r="AD3189" t="s">
        <v>17664</v>
      </c>
      <c r="AE3189" t="s">
        <v>17949</v>
      </c>
      <c r="AF3189">
        <v>2</v>
      </c>
      <c r="AG3189" t="s">
        <v>2903</v>
      </c>
      <c r="AH3189" t="s">
        <v>2017</v>
      </c>
      <c r="AI3189">
        <v>2</v>
      </c>
      <c r="AJ3189">
        <v>1</v>
      </c>
      <c r="AK3189">
        <v>1</v>
      </c>
      <c r="AL3189">
        <v>191.06</v>
      </c>
      <c r="AO3189" t="s">
        <v>2926</v>
      </c>
      <c r="AP3189">
        <v>31449</v>
      </c>
      <c r="AV3189">
        <v>1.25</v>
      </c>
      <c r="AW3189" t="s">
        <v>335</v>
      </c>
      <c r="AX3189" t="s">
        <v>3063</v>
      </c>
    </row>
    <row r="3190" spans="1:50">
      <c r="A3190" s="1" t="s">
        <v>50</v>
      </c>
      <c r="B3190" t="s">
        <v>99</v>
      </c>
      <c r="C3190" t="s">
        <v>164</v>
      </c>
      <c r="D3190" t="s">
        <v>6492</v>
      </c>
      <c r="E3190" t="s">
        <v>257</v>
      </c>
      <c r="F3190" t="s">
        <v>407</v>
      </c>
      <c r="G3190" t="s">
        <v>9283</v>
      </c>
      <c r="H3190" t="s">
        <v>10830</v>
      </c>
      <c r="I3190" t="s">
        <v>11507</v>
      </c>
      <c r="J3190" t="s">
        <v>1570</v>
      </c>
      <c r="K3190" t="s">
        <v>1645</v>
      </c>
      <c r="L3190">
        <v>11691</v>
      </c>
      <c r="M3190" t="s">
        <v>1670</v>
      </c>
      <c r="P3190" t="s">
        <v>12935</v>
      </c>
      <c r="Q3190" t="s">
        <v>1936</v>
      </c>
      <c r="R3190" t="s">
        <v>1958</v>
      </c>
      <c r="S3190" t="s">
        <v>1965</v>
      </c>
      <c r="T3190" t="s">
        <v>1671</v>
      </c>
      <c r="V3190" t="s">
        <v>1972</v>
      </c>
      <c r="W3190" t="s">
        <v>1983</v>
      </c>
      <c r="X3190" t="s">
        <v>257</v>
      </c>
      <c r="Y3190">
        <v>1515</v>
      </c>
      <c r="Z3190" t="s">
        <v>2007</v>
      </c>
      <c r="AA3190" t="s">
        <v>2014</v>
      </c>
      <c r="AB3190" t="s">
        <v>2029</v>
      </c>
      <c r="AC3190" t="s">
        <v>15530</v>
      </c>
      <c r="AD3190" t="s">
        <v>17665</v>
      </c>
      <c r="AF3190">
        <v>30</v>
      </c>
      <c r="AG3190" t="s">
        <v>2902</v>
      </c>
      <c r="AH3190" t="s">
        <v>2917</v>
      </c>
      <c r="AI3190">
        <v>1</v>
      </c>
      <c r="AJ3190">
        <v>1</v>
      </c>
      <c r="AK3190">
        <v>3</v>
      </c>
      <c r="AL3190" t="s">
        <v>13051</v>
      </c>
      <c r="AO3190" t="s">
        <v>2926</v>
      </c>
      <c r="AP3190" t="s">
        <v>13051</v>
      </c>
      <c r="AV3190">
        <v>3.3</v>
      </c>
      <c r="AW3190" t="s">
        <v>407</v>
      </c>
      <c r="AX3190" t="s">
        <v>85</v>
      </c>
    </row>
    <row r="3191" spans="1:50">
      <c r="A3191" s="1" t="s">
        <v>50</v>
      </c>
      <c r="B3191" t="s">
        <v>80</v>
      </c>
      <c r="C3191" t="s">
        <v>164</v>
      </c>
      <c r="D3191" t="s">
        <v>6493</v>
      </c>
      <c r="E3191" t="s">
        <v>363</v>
      </c>
      <c r="F3191" t="s">
        <v>218</v>
      </c>
      <c r="G3191" t="s">
        <v>6802</v>
      </c>
      <c r="H3191" t="s">
        <v>10831</v>
      </c>
      <c r="I3191" t="s">
        <v>11629</v>
      </c>
      <c r="J3191" t="s">
        <v>1487</v>
      </c>
      <c r="K3191" t="s">
        <v>1641</v>
      </c>
      <c r="L3191">
        <v>10462</v>
      </c>
      <c r="M3191" t="s">
        <v>1670</v>
      </c>
      <c r="P3191" t="s">
        <v>12936</v>
      </c>
      <c r="Q3191" t="s">
        <v>1936</v>
      </c>
      <c r="R3191" t="s">
        <v>1960</v>
      </c>
      <c r="S3191" t="s">
        <v>1969</v>
      </c>
      <c r="T3191" t="s">
        <v>1671</v>
      </c>
      <c r="V3191" t="s">
        <v>1972</v>
      </c>
      <c r="W3191" t="s">
        <v>1986</v>
      </c>
      <c r="X3191" t="s">
        <v>363</v>
      </c>
      <c r="Y3191">
        <v>1676.46</v>
      </c>
      <c r="Z3191" t="s">
        <v>2006</v>
      </c>
      <c r="AB3191" t="s">
        <v>2032</v>
      </c>
      <c r="AC3191" t="s">
        <v>15531</v>
      </c>
      <c r="AD3191" t="s">
        <v>17666</v>
      </c>
      <c r="AE3191" t="s">
        <v>17950</v>
      </c>
      <c r="AF3191">
        <v>50</v>
      </c>
      <c r="AI3191">
        <v>15</v>
      </c>
      <c r="AJ3191">
        <v>2</v>
      </c>
      <c r="AK3191">
        <v>4</v>
      </c>
      <c r="AL3191" t="s">
        <v>13051</v>
      </c>
      <c r="AO3191" t="s">
        <v>18049</v>
      </c>
      <c r="AP3191" t="s">
        <v>13051</v>
      </c>
      <c r="AQ3191" t="s">
        <v>18250</v>
      </c>
      <c r="AV3191">
        <v>34.75</v>
      </c>
      <c r="AW3191" t="s">
        <v>358</v>
      </c>
      <c r="AX3191" t="s">
        <v>3082</v>
      </c>
    </row>
    <row r="3192" spans="1:50">
      <c r="A3192" s="1" t="s">
        <v>50</v>
      </c>
      <c r="B3192" t="s">
        <v>99</v>
      </c>
      <c r="C3192" t="s">
        <v>164</v>
      </c>
      <c r="D3192" t="s">
        <v>6494</v>
      </c>
      <c r="E3192" t="s">
        <v>323</v>
      </c>
      <c r="F3192" t="s">
        <v>318</v>
      </c>
      <c r="G3192" t="s">
        <v>9284</v>
      </c>
      <c r="H3192" t="s">
        <v>10832</v>
      </c>
      <c r="I3192" t="s">
        <v>11630</v>
      </c>
      <c r="J3192">
        <v>2</v>
      </c>
      <c r="K3192" t="s">
        <v>1645</v>
      </c>
      <c r="L3192">
        <v>11691</v>
      </c>
      <c r="M3192" t="s">
        <v>1670</v>
      </c>
      <c r="P3192" t="s">
        <v>12937</v>
      </c>
      <c r="Q3192" t="s">
        <v>1936</v>
      </c>
      <c r="R3192" t="s">
        <v>1960</v>
      </c>
      <c r="S3192" t="s">
        <v>1969</v>
      </c>
      <c r="T3192" t="s">
        <v>1671</v>
      </c>
      <c r="V3192" t="s">
        <v>1972</v>
      </c>
      <c r="W3192" t="s">
        <v>1983</v>
      </c>
      <c r="X3192" t="s">
        <v>323</v>
      </c>
      <c r="Y3192">
        <v>1428</v>
      </c>
      <c r="Z3192" t="s">
        <v>2007</v>
      </c>
      <c r="AA3192" t="s">
        <v>2014</v>
      </c>
      <c r="AB3192" t="s">
        <v>2032</v>
      </c>
      <c r="AC3192" t="s">
        <v>15532</v>
      </c>
      <c r="AD3192" t="s">
        <v>17667</v>
      </c>
      <c r="AE3192" t="s">
        <v>17951</v>
      </c>
      <c r="AF3192">
        <v>2</v>
      </c>
      <c r="AG3192" t="s">
        <v>2907</v>
      </c>
      <c r="AH3192" t="s">
        <v>2915</v>
      </c>
      <c r="AI3192">
        <v>6</v>
      </c>
      <c r="AJ3192">
        <v>1</v>
      </c>
      <c r="AK3192">
        <v>2</v>
      </c>
      <c r="AL3192">
        <v>24.27</v>
      </c>
      <c r="AO3192" t="s">
        <v>2926</v>
      </c>
      <c r="AP3192">
        <v>5044</v>
      </c>
      <c r="AR3192" t="s">
        <v>2976</v>
      </c>
      <c r="AS3192" t="s">
        <v>18491</v>
      </c>
      <c r="AT3192" t="s">
        <v>2992</v>
      </c>
      <c r="AU3192" t="s">
        <v>18632</v>
      </c>
      <c r="AV3192">
        <v>6.85</v>
      </c>
      <c r="AW3192" t="s">
        <v>318</v>
      </c>
      <c r="AX3192" t="s">
        <v>3044</v>
      </c>
    </row>
    <row r="3193" spans="1:50">
      <c r="A3193" s="1" t="s">
        <v>50</v>
      </c>
      <c r="B3193" t="s">
        <v>73</v>
      </c>
      <c r="C3193" t="s">
        <v>164</v>
      </c>
      <c r="D3193" t="s">
        <v>6495</v>
      </c>
      <c r="E3193" t="s">
        <v>211</v>
      </c>
      <c r="F3193" t="s">
        <v>211</v>
      </c>
      <c r="G3193" t="s">
        <v>470</v>
      </c>
      <c r="H3193" t="s">
        <v>10833</v>
      </c>
      <c r="I3193" t="s">
        <v>11631</v>
      </c>
      <c r="J3193" t="s">
        <v>11790</v>
      </c>
      <c r="K3193" t="s">
        <v>1647</v>
      </c>
      <c r="L3193">
        <v>11436</v>
      </c>
      <c r="M3193" t="s">
        <v>1670</v>
      </c>
      <c r="P3193" t="s">
        <v>12938</v>
      </c>
      <c r="Q3193" t="s">
        <v>1940</v>
      </c>
      <c r="R3193" t="s">
        <v>1958</v>
      </c>
      <c r="S3193" t="s">
        <v>1965</v>
      </c>
      <c r="T3193" t="s">
        <v>1671</v>
      </c>
      <c r="V3193" t="s">
        <v>1972</v>
      </c>
      <c r="W3193" t="s">
        <v>1984</v>
      </c>
      <c r="X3193" t="s">
        <v>211</v>
      </c>
      <c r="Y3193">
        <v>2400</v>
      </c>
      <c r="Z3193" t="s">
        <v>2007</v>
      </c>
      <c r="AA3193" t="s">
        <v>2014</v>
      </c>
      <c r="AB3193" t="s">
        <v>2029</v>
      </c>
      <c r="AC3193" t="s">
        <v>15533</v>
      </c>
      <c r="AD3193" t="s">
        <v>17668</v>
      </c>
      <c r="AE3193" t="s">
        <v>17952</v>
      </c>
      <c r="AF3193">
        <v>1</v>
      </c>
      <c r="AG3193" t="s">
        <v>2903</v>
      </c>
      <c r="AH3193" t="s">
        <v>1754</v>
      </c>
      <c r="AI3193">
        <v>3</v>
      </c>
      <c r="AJ3193">
        <v>3</v>
      </c>
      <c r="AK3193">
        <v>1</v>
      </c>
      <c r="AL3193">
        <v>79.68000000000001</v>
      </c>
      <c r="AO3193" t="s">
        <v>2926</v>
      </c>
      <c r="AP3193">
        <v>20000</v>
      </c>
      <c r="AV3193">
        <v>1.05</v>
      </c>
      <c r="AW3193" t="s">
        <v>211</v>
      </c>
      <c r="AX3193" t="s">
        <v>89</v>
      </c>
    </row>
    <row r="3194" spans="1:50">
      <c r="A3194" s="1" t="s">
        <v>50</v>
      </c>
      <c r="B3194" t="s">
        <v>53</v>
      </c>
      <c r="C3194" t="s">
        <v>164</v>
      </c>
      <c r="D3194" t="s">
        <v>6496</v>
      </c>
      <c r="E3194" t="s">
        <v>352</v>
      </c>
      <c r="F3194" t="s">
        <v>224</v>
      </c>
      <c r="G3194" t="s">
        <v>9285</v>
      </c>
      <c r="H3194" t="s">
        <v>7695</v>
      </c>
      <c r="I3194" t="s">
        <v>11632</v>
      </c>
      <c r="J3194" t="s">
        <v>11381</v>
      </c>
      <c r="K3194" t="s">
        <v>1645</v>
      </c>
      <c r="L3194">
        <v>11691</v>
      </c>
      <c r="M3194" t="s">
        <v>1670</v>
      </c>
      <c r="P3194" t="s">
        <v>12939</v>
      </c>
      <c r="Q3194" t="s">
        <v>1936</v>
      </c>
      <c r="R3194" t="s">
        <v>1960</v>
      </c>
      <c r="S3194" t="s">
        <v>1969</v>
      </c>
      <c r="T3194" t="s">
        <v>1671</v>
      </c>
      <c r="V3194" t="s">
        <v>1972</v>
      </c>
      <c r="W3194" t="s">
        <v>1985</v>
      </c>
      <c r="X3194" t="s">
        <v>352</v>
      </c>
      <c r="Y3194">
        <v>2221</v>
      </c>
      <c r="Z3194" t="s">
        <v>2007</v>
      </c>
      <c r="AA3194" t="s">
        <v>2014</v>
      </c>
      <c r="AB3194" t="s">
        <v>2032</v>
      </c>
      <c r="AC3194" t="s">
        <v>15534</v>
      </c>
      <c r="AD3194" t="s">
        <v>17669</v>
      </c>
      <c r="AE3194" t="s">
        <v>17953</v>
      </c>
      <c r="AF3194">
        <v>1</v>
      </c>
      <c r="AG3194" t="s">
        <v>2903</v>
      </c>
      <c r="AH3194" t="s">
        <v>18016</v>
      </c>
      <c r="AI3194">
        <v>3</v>
      </c>
      <c r="AJ3194">
        <v>2</v>
      </c>
      <c r="AK3194">
        <v>2</v>
      </c>
      <c r="AL3194">
        <v>31.08</v>
      </c>
      <c r="AO3194" t="s">
        <v>2926</v>
      </c>
      <c r="AP3194">
        <v>7800</v>
      </c>
      <c r="AR3194" t="s">
        <v>2978</v>
      </c>
      <c r="AS3194" t="s">
        <v>2982</v>
      </c>
      <c r="AT3194" t="s">
        <v>2992</v>
      </c>
      <c r="AU3194" t="s">
        <v>18626</v>
      </c>
      <c r="AV3194">
        <v>35.8</v>
      </c>
      <c r="AW3194" t="s">
        <v>383</v>
      </c>
      <c r="AX3194" t="s">
        <v>85</v>
      </c>
    </row>
    <row r="3195" spans="1:50">
      <c r="A3195" s="1" t="s">
        <v>50</v>
      </c>
      <c r="B3195" t="s">
        <v>99</v>
      </c>
      <c r="C3195" t="s">
        <v>164</v>
      </c>
      <c r="D3195" t="s">
        <v>6497</v>
      </c>
      <c r="E3195" t="s">
        <v>335</v>
      </c>
      <c r="F3195" t="s">
        <v>6186</v>
      </c>
      <c r="G3195" t="s">
        <v>7135</v>
      </c>
      <c r="H3195" t="s">
        <v>8844</v>
      </c>
      <c r="I3195" t="s">
        <v>9896</v>
      </c>
      <c r="K3195" t="s">
        <v>1645</v>
      </c>
      <c r="L3195">
        <v>11691</v>
      </c>
      <c r="M3195" t="s">
        <v>1670</v>
      </c>
      <c r="P3195" t="s">
        <v>12940</v>
      </c>
      <c r="Q3195" t="s">
        <v>1936</v>
      </c>
      <c r="R3195" t="s">
        <v>1960</v>
      </c>
      <c r="S3195" t="s">
        <v>1969</v>
      </c>
      <c r="T3195" t="s">
        <v>1670</v>
      </c>
      <c r="V3195" t="s">
        <v>1972</v>
      </c>
      <c r="W3195" t="s">
        <v>1983</v>
      </c>
      <c r="X3195" t="s">
        <v>252</v>
      </c>
      <c r="Y3195">
        <v>1075</v>
      </c>
      <c r="Z3195" t="s">
        <v>2007</v>
      </c>
      <c r="AA3195" t="s">
        <v>2014</v>
      </c>
      <c r="AB3195" t="s">
        <v>2032</v>
      </c>
      <c r="AC3195" t="s">
        <v>15535</v>
      </c>
      <c r="AD3195" t="s">
        <v>17670</v>
      </c>
      <c r="AE3195" t="s">
        <v>17954</v>
      </c>
      <c r="AF3195">
        <v>602</v>
      </c>
      <c r="AG3195" t="s">
        <v>2904</v>
      </c>
      <c r="AH3195" t="s">
        <v>2017</v>
      </c>
      <c r="AI3195">
        <v>10</v>
      </c>
      <c r="AJ3195">
        <v>2</v>
      </c>
      <c r="AK3195">
        <v>3</v>
      </c>
      <c r="AL3195">
        <v>108.77</v>
      </c>
      <c r="AO3195" t="s">
        <v>2926</v>
      </c>
      <c r="AP3195">
        <v>32000</v>
      </c>
      <c r="AR3195" t="s">
        <v>2976</v>
      </c>
      <c r="AS3195" t="s">
        <v>2983</v>
      </c>
      <c r="AT3195" t="s">
        <v>2992</v>
      </c>
      <c r="AU3195" t="s">
        <v>18504</v>
      </c>
      <c r="AV3195">
        <v>4.15</v>
      </c>
      <c r="AW3195" t="s">
        <v>296</v>
      </c>
      <c r="AX3195" t="s">
        <v>3200</v>
      </c>
    </row>
    <row r="3196" spans="1:50">
      <c r="A3196" s="1" t="s">
        <v>50</v>
      </c>
      <c r="B3196" t="s">
        <v>153</v>
      </c>
      <c r="C3196" t="s">
        <v>164</v>
      </c>
      <c r="D3196" t="s">
        <v>6498</v>
      </c>
      <c r="E3196" t="s">
        <v>321</v>
      </c>
      <c r="F3196" t="s">
        <v>364</v>
      </c>
      <c r="G3196" t="s">
        <v>7545</v>
      </c>
      <c r="H3196" t="s">
        <v>808</v>
      </c>
      <c r="I3196" t="s">
        <v>11633</v>
      </c>
      <c r="J3196" t="s">
        <v>1488</v>
      </c>
      <c r="K3196" t="s">
        <v>1641</v>
      </c>
      <c r="L3196">
        <v>10452</v>
      </c>
      <c r="M3196" t="s">
        <v>1670</v>
      </c>
      <c r="P3196" t="s">
        <v>12941</v>
      </c>
      <c r="Q3196" t="s">
        <v>1936</v>
      </c>
      <c r="R3196" t="s">
        <v>1960</v>
      </c>
      <c r="S3196" t="s">
        <v>1969</v>
      </c>
      <c r="T3196" t="s">
        <v>1671</v>
      </c>
      <c r="V3196" t="s">
        <v>1972</v>
      </c>
      <c r="W3196" t="s">
        <v>1983</v>
      </c>
      <c r="X3196" t="s">
        <v>362</v>
      </c>
      <c r="Y3196">
        <v>1175</v>
      </c>
      <c r="Z3196" t="s">
        <v>2006</v>
      </c>
      <c r="AA3196" t="s">
        <v>2015</v>
      </c>
      <c r="AB3196" t="s">
        <v>2032</v>
      </c>
      <c r="AC3196" t="s">
        <v>15536</v>
      </c>
      <c r="AD3196" t="s">
        <v>17671</v>
      </c>
      <c r="AE3196" t="s">
        <v>17955</v>
      </c>
      <c r="AF3196">
        <v>60</v>
      </c>
      <c r="AG3196" t="s">
        <v>2902</v>
      </c>
      <c r="AH3196" t="s">
        <v>1754</v>
      </c>
      <c r="AI3196">
        <v>5</v>
      </c>
      <c r="AJ3196">
        <v>1</v>
      </c>
      <c r="AK3196">
        <v>1</v>
      </c>
      <c r="AL3196">
        <v>63.16</v>
      </c>
      <c r="AO3196" t="s">
        <v>2927</v>
      </c>
      <c r="AP3196">
        <v>10396</v>
      </c>
      <c r="AR3196" t="s">
        <v>2978</v>
      </c>
      <c r="AV3196">
        <v>31.4</v>
      </c>
      <c r="AW3196" t="s">
        <v>299</v>
      </c>
      <c r="AX3196" t="s">
        <v>3054</v>
      </c>
    </row>
    <row r="3197" spans="1:50">
      <c r="A3197" s="1" t="s">
        <v>50</v>
      </c>
      <c r="B3197" t="s">
        <v>59</v>
      </c>
      <c r="C3197" t="s">
        <v>163</v>
      </c>
      <c r="D3197" t="s">
        <v>6499</v>
      </c>
      <c r="E3197" t="s">
        <v>348</v>
      </c>
      <c r="G3197" t="s">
        <v>9286</v>
      </c>
      <c r="H3197" t="s">
        <v>8574</v>
      </c>
      <c r="I3197" t="s">
        <v>11634</v>
      </c>
      <c r="J3197" t="s">
        <v>1477</v>
      </c>
      <c r="K3197" t="s">
        <v>1641</v>
      </c>
      <c r="L3197">
        <v>10459</v>
      </c>
      <c r="M3197" t="s">
        <v>1670</v>
      </c>
      <c r="P3197" t="s">
        <v>12942</v>
      </c>
      <c r="Q3197" t="s">
        <v>1936</v>
      </c>
      <c r="R3197" t="s">
        <v>1960</v>
      </c>
      <c r="T3197" t="s">
        <v>1671</v>
      </c>
      <c r="V3197" t="s">
        <v>1972</v>
      </c>
      <c r="W3197" t="s">
        <v>1983</v>
      </c>
      <c r="X3197" t="s">
        <v>348</v>
      </c>
      <c r="Y3197">
        <v>1023.44</v>
      </c>
      <c r="Z3197" t="s">
        <v>2006</v>
      </c>
      <c r="AA3197" t="s">
        <v>2011</v>
      </c>
      <c r="AC3197" t="s">
        <v>15537</v>
      </c>
      <c r="AD3197" t="s">
        <v>17672</v>
      </c>
      <c r="AE3197" t="s">
        <v>17956</v>
      </c>
      <c r="AF3197">
        <v>11</v>
      </c>
      <c r="AG3197" t="s">
        <v>2902</v>
      </c>
      <c r="AH3197" t="s">
        <v>2915</v>
      </c>
      <c r="AI3197">
        <v>9</v>
      </c>
      <c r="AJ3197">
        <v>1</v>
      </c>
      <c r="AK3197">
        <v>1</v>
      </c>
      <c r="AL3197">
        <v>54.68</v>
      </c>
      <c r="AO3197" t="s">
        <v>2927</v>
      </c>
      <c r="AP3197">
        <v>9000</v>
      </c>
      <c r="AV3197">
        <v>12.1</v>
      </c>
      <c r="AW3197" t="s">
        <v>176</v>
      </c>
      <c r="AX3197" t="s">
        <v>18655</v>
      </c>
    </row>
    <row r="3198" spans="1:50">
      <c r="A3198" s="1" t="s">
        <v>50</v>
      </c>
      <c r="B3198" t="s">
        <v>59</v>
      </c>
      <c r="C3198" t="s">
        <v>163</v>
      </c>
      <c r="D3198" t="s">
        <v>6500</v>
      </c>
      <c r="E3198" t="s">
        <v>235</v>
      </c>
      <c r="G3198" t="s">
        <v>9286</v>
      </c>
      <c r="H3198" t="s">
        <v>8574</v>
      </c>
      <c r="I3198" t="s">
        <v>11634</v>
      </c>
      <c r="J3198" t="s">
        <v>1477</v>
      </c>
      <c r="K3198" t="s">
        <v>1641</v>
      </c>
      <c r="L3198">
        <v>10459</v>
      </c>
      <c r="M3198" t="s">
        <v>1670</v>
      </c>
      <c r="R3198" t="s">
        <v>1960</v>
      </c>
      <c r="T3198" t="s">
        <v>1671</v>
      </c>
      <c r="V3198" t="s">
        <v>1972</v>
      </c>
      <c r="X3198" t="s">
        <v>1991</v>
      </c>
      <c r="Y3198">
        <v>1023.44</v>
      </c>
      <c r="Z3198" t="s">
        <v>2006</v>
      </c>
      <c r="AA3198" t="s">
        <v>2020</v>
      </c>
      <c r="AC3198" t="s">
        <v>15537</v>
      </c>
      <c r="AD3198" t="s">
        <v>17673</v>
      </c>
      <c r="AE3198" t="s">
        <v>17956</v>
      </c>
      <c r="AF3198">
        <v>11</v>
      </c>
      <c r="AG3198" t="s">
        <v>2902</v>
      </c>
      <c r="AH3198" t="s">
        <v>2915</v>
      </c>
      <c r="AI3198">
        <v>9</v>
      </c>
      <c r="AJ3198">
        <v>1</v>
      </c>
      <c r="AK3198">
        <v>1</v>
      </c>
      <c r="AL3198">
        <v>60.32</v>
      </c>
      <c r="AO3198" t="s">
        <v>2927</v>
      </c>
      <c r="AP3198">
        <v>10200</v>
      </c>
      <c r="AV3198">
        <v>6</v>
      </c>
      <c r="AW3198" t="s">
        <v>188</v>
      </c>
      <c r="AX3198" t="s">
        <v>3047</v>
      </c>
    </row>
    <row r="3199" spans="1:50">
      <c r="A3199" s="1" t="s">
        <v>50</v>
      </c>
      <c r="B3199" t="s">
        <v>3188</v>
      </c>
      <c r="C3199" t="s">
        <v>163</v>
      </c>
      <c r="D3199" t="s">
        <v>6501</v>
      </c>
      <c r="E3199" t="s">
        <v>165</v>
      </c>
      <c r="G3199" t="s">
        <v>7144</v>
      </c>
      <c r="H3199" t="s">
        <v>816</v>
      </c>
      <c r="I3199" t="s">
        <v>11635</v>
      </c>
      <c r="J3199" t="s">
        <v>1542</v>
      </c>
      <c r="K3199" t="s">
        <v>1644</v>
      </c>
      <c r="L3199">
        <v>11208</v>
      </c>
      <c r="M3199" t="s">
        <v>1670</v>
      </c>
      <c r="P3199" t="s">
        <v>12943</v>
      </c>
      <c r="Q3199" t="s">
        <v>1936</v>
      </c>
      <c r="R3199" t="s">
        <v>1958</v>
      </c>
      <c r="V3199" t="s">
        <v>1972</v>
      </c>
      <c r="X3199" t="s">
        <v>266</v>
      </c>
      <c r="Y3199">
        <v>2200</v>
      </c>
      <c r="Z3199" t="s">
        <v>2009</v>
      </c>
      <c r="AC3199" t="s">
        <v>15538</v>
      </c>
      <c r="AD3199" t="s">
        <v>17674</v>
      </c>
      <c r="AE3199" t="s">
        <v>17957</v>
      </c>
      <c r="AF3199">
        <v>2</v>
      </c>
      <c r="AG3199" t="s">
        <v>2903</v>
      </c>
      <c r="AI3199">
        <v>1</v>
      </c>
      <c r="AJ3199">
        <v>1</v>
      </c>
      <c r="AK3199">
        <v>4</v>
      </c>
      <c r="AL3199">
        <v>26.89</v>
      </c>
      <c r="AO3199" t="s">
        <v>2927</v>
      </c>
      <c r="AP3199">
        <v>8112</v>
      </c>
      <c r="AV3199">
        <v>5.7</v>
      </c>
      <c r="AW3199" t="s">
        <v>384</v>
      </c>
      <c r="AX3199" t="s">
        <v>3069</v>
      </c>
    </row>
    <row r="3200" spans="1:50">
      <c r="A3200" s="1" t="s">
        <v>50</v>
      </c>
      <c r="B3200" t="s">
        <v>105</v>
      </c>
      <c r="C3200" t="s">
        <v>164</v>
      </c>
      <c r="D3200" t="s">
        <v>6502</v>
      </c>
      <c r="E3200" t="s">
        <v>261</v>
      </c>
      <c r="F3200" t="s">
        <v>176</v>
      </c>
      <c r="G3200" t="s">
        <v>9287</v>
      </c>
      <c r="H3200" t="s">
        <v>870</v>
      </c>
      <c r="I3200" t="s">
        <v>11636</v>
      </c>
      <c r="J3200" t="s">
        <v>11418</v>
      </c>
      <c r="K3200" t="s">
        <v>1641</v>
      </c>
      <c r="L3200">
        <v>10463</v>
      </c>
      <c r="M3200" t="s">
        <v>1670</v>
      </c>
      <c r="P3200" t="s">
        <v>12944</v>
      </c>
      <c r="Q3200" t="s">
        <v>1936</v>
      </c>
      <c r="R3200" t="s">
        <v>1962</v>
      </c>
      <c r="S3200" t="s">
        <v>1965</v>
      </c>
      <c r="T3200" t="s">
        <v>1671</v>
      </c>
      <c r="V3200" t="s">
        <v>1972</v>
      </c>
      <c r="W3200" t="s">
        <v>1983</v>
      </c>
      <c r="X3200" t="s">
        <v>1993</v>
      </c>
      <c r="Y3200">
        <v>2100</v>
      </c>
      <c r="Z3200" t="s">
        <v>2006</v>
      </c>
      <c r="AA3200" t="s">
        <v>2019</v>
      </c>
      <c r="AB3200" t="s">
        <v>2029</v>
      </c>
      <c r="AC3200" t="s">
        <v>15539</v>
      </c>
      <c r="AD3200" t="s">
        <v>17675</v>
      </c>
      <c r="AE3200" t="s">
        <v>17958</v>
      </c>
      <c r="AF3200">
        <v>12</v>
      </c>
      <c r="AG3200" t="s">
        <v>2902</v>
      </c>
      <c r="AH3200" t="s">
        <v>1754</v>
      </c>
      <c r="AI3200">
        <v>2</v>
      </c>
      <c r="AJ3200">
        <v>3</v>
      </c>
      <c r="AK3200">
        <v>2</v>
      </c>
      <c r="AL3200">
        <v>135.85</v>
      </c>
      <c r="AO3200" t="s">
        <v>2927</v>
      </c>
      <c r="AP3200">
        <v>39967.84</v>
      </c>
      <c r="AV3200">
        <v>17.8</v>
      </c>
      <c r="AW3200" t="s">
        <v>176</v>
      </c>
      <c r="AX3200" t="s">
        <v>3082</v>
      </c>
    </row>
    <row r="3201" spans="1:50">
      <c r="A3201" s="1" t="s">
        <v>50</v>
      </c>
      <c r="B3201" t="s">
        <v>108</v>
      </c>
      <c r="C3201" t="s">
        <v>163</v>
      </c>
      <c r="D3201" t="s">
        <v>6503</v>
      </c>
      <c r="E3201" t="s">
        <v>339</v>
      </c>
      <c r="G3201" t="s">
        <v>9288</v>
      </c>
      <c r="H3201" t="s">
        <v>8217</v>
      </c>
      <c r="I3201" t="s">
        <v>11637</v>
      </c>
      <c r="J3201" t="s">
        <v>1603</v>
      </c>
      <c r="K3201" t="s">
        <v>1654</v>
      </c>
      <c r="L3201">
        <v>11106</v>
      </c>
      <c r="M3201" t="s">
        <v>1670</v>
      </c>
      <c r="P3201" t="s">
        <v>12945</v>
      </c>
      <c r="Q3201" t="s">
        <v>1936</v>
      </c>
      <c r="R3201" t="s">
        <v>1962</v>
      </c>
      <c r="T3201" t="s">
        <v>1670</v>
      </c>
      <c r="V3201" t="s">
        <v>1972</v>
      </c>
      <c r="X3201" t="s">
        <v>339</v>
      </c>
      <c r="Y3201">
        <v>871</v>
      </c>
      <c r="Z3201" t="s">
        <v>2007</v>
      </c>
      <c r="AC3201" t="s">
        <v>15540</v>
      </c>
      <c r="AD3201" t="s">
        <v>17676</v>
      </c>
      <c r="AF3201">
        <v>19</v>
      </c>
      <c r="AI3201">
        <v>5</v>
      </c>
      <c r="AJ3201">
        <v>1</v>
      </c>
      <c r="AK3201">
        <v>3</v>
      </c>
      <c r="AL3201" t="s">
        <v>13051</v>
      </c>
      <c r="AO3201" t="s">
        <v>2926</v>
      </c>
      <c r="AP3201" t="s">
        <v>13051</v>
      </c>
      <c r="AV3201">
        <v>0.95</v>
      </c>
      <c r="AW3201" t="s">
        <v>337</v>
      </c>
      <c r="AX3201" t="s">
        <v>3073</v>
      </c>
    </row>
    <row r="3202" spans="1:50">
      <c r="A3202" s="1" t="s">
        <v>50</v>
      </c>
      <c r="B3202" t="s">
        <v>52</v>
      </c>
      <c r="C3202" t="s">
        <v>164</v>
      </c>
      <c r="D3202" t="s">
        <v>6504</v>
      </c>
      <c r="E3202" t="s">
        <v>315</v>
      </c>
      <c r="F3202" t="s">
        <v>350</v>
      </c>
      <c r="G3202" t="s">
        <v>442</v>
      </c>
      <c r="H3202" t="s">
        <v>777</v>
      </c>
      <c r="I3202" t="s">
        <v>11638</v>
      </c>
      <c r="J3202">
        <v>10454</v>
      </c>
      <c r="K3202" t="s">
        <v>1641</v>
      </c>
      <c r="L3202">
        <v>10454</v>
      </c>
      <c r="M3202" t="s">
        <v>1670</v>
      </c>
      <c r="P3202" t="s">
        <v>12946</v>
      </c>
      <c r="Q3202" t="s">
        <v>1936</v>
      </c>
      <c r="R3202" t="s">
        <v>1962</v>
      </c>
      <c r="S3202" t="s">
        <v>1968</v>
      </c>
      <c r="T3202" t="s">
        <v>1671</v>
      </c>
      <c r="V3202" t="s">
        <v>1972</v>
      </c>
      <c r="W3202" t="s">
        <v>1984</v>
      </c>
      <c r="X3202" t="s">
        <v>315</v>
      </c>
      <c r="Y3202">
        <v>462</v>
      </c>
      <c r="Z3202" t="s">
        <v>2006</v>
      </c>
      <c r="AA3202" t="s">
        <v>2015</v>
      </c>
      <c r="AB3202" t="s">
        <v>2030</v>
      </c>
      <c r="AC3202" t="s">
        <v>15541</v>
      </c>
      <c r="AD3202" t="s">
        <v>17677</v>
      </c>
      <c r="AE3202" t="s">
        <v>17959</v>
      </c>
      <c r="AF3202">
        <v>47</v>
      </c>
      <c r="AG3202" t="s">
        <v>2902</v>
      </c>
      <c r="AH3202" t="s">
        <v>2017</v>
      </c>
      <c r="AI3202">
        <v>20</v>
      </c>
      <c r="AJ3202">
        <v>1</v>
      </c>
      <c r="AK3202">
        <v>2</v>
      </c>
      <c r="AL3202">
        <v>69.3</v>
      </c>
      <c r="AO3202" t="s">
        <v>2926</v>
      </c>
      <c r="AP3202">
        <v>14400</v>
      </c>
      <c r="AV3202">
        <v>0.9</v>
      </c>
      <c r="AW3202" t="s">
        <v>341</v>
      </c>
      <c r="AX3202" t="s">
        <v>3046</v>
      </c>
    </row>
    <row r="3203" spans="1:50">
      <c r="A3203" s="1" t="s">
        <v>50</v>
      </c>
      <c r="B3203" t="s">
        <v>63</v>
      </c>
      <c r="C3203" t="s">
        <v>163</v>
      </c>
      <c r="D3203" t="s">
        <v>6505</v>
      </c>
      <c r="E3203" t="s">
        <v>379</v>
      </c>
      <c r="G3203" t="s">
        <v>7163</v>
      </c>
      <c r="H3203" t="s">
        <v>10834</v>
      </c>
      <c r="I3203" t="s">
        <v>11639</v>
      </c>
      <c r="J3203" t="s">
        <v>1517</v>
      </c>
      <c r="K3203" t="s">
        <v>1641</v>
      </c>
      <c r="L3203">
        <v>10451</v>
      </c>
      <c r="M3203" t="s">
        <v>1670</v>
      </c>
      <c r="P3203" t="s">
        <v>12947</v>
      </c>
      <c r="Q3203" t="s">
        <v>1936</v>
      </c>
      <c r="R3203" t="s">
        <v>1960</v>
      </c>
      <c r="T3203" t="s">
        <v>1671</v>
      </c>
      <c r="V3203" t="s">
        <v>1972</v>
      </c>
      <c r="W3203" t="s">
        <v>1984</v>
      </c>
      <c r="X3203" t="s">
        <v>1991</v>
      </c>
      <c r="Y3203">
        <v>1640</v>
      </c>
      <c r="Z3203" t="s">
        <v>2006</v>
      </c>
      <c r="AA3203" t="s">
        <v>2020</v>
      </c>
      <c r="AC3203" t="s">
        <v>15542</v>
      </c>
      <c r="AD3203" t="s">
        <v>17678</v>
      </c>
      <c r="AE3203" t="s">
        <v>17960</v>
      </c>
      <c r="AF3203">
        <v>77</v>
      </c>
      <c r="AG3203" t="s">
        <v>2907</v>
      </c>
      <c r="AH3203" t="s">
        <v>2921</v>
      </c>
      <c r="AI3203">
        <v>2</v>
      </c>
      <c r="AJ3203">
        <v>3</v>
      </c>
      <c r="AK3203">
        <v>1</v>
      </c>
      <c r="AL3203">
        <v>80.43000000000001</v>
      </c>
      <c r="AO3203" t="s">
        <v>2926</v>
      </c>
      <c r="AP3203">
        <v>20712</v>
      </c>
      <c r="AQ3203" t="s">
        <v>18435</v>
      </c>
      <c r="AV3203">
        <v>2.3</v>
      </c>
      <c r="AW3203" t="s">
        <v>337</v>
      </c>
      <c r="AX3203" t="s">
        <v>3046</v>
      </c>
    </row>
    <row r="3204" spans="1:50">
      <c r="A3204" s="1" t="s">
        <v>50</v>
      </c>
      <c r="B3204" t="s">
        <v>123</v>
      </c>
      <c r="C3204" t="s">
        <v>163</v>
      </c>
      <c r="D3204" t="s">
        <v>6506</v>
      </c>
      <c r="E3204" t="s">
        <v>336</v>
      </c>
      <c r="G3204" t="s">
        <v>7146</v>
      </c>
      <c r="H3204" t="s">
        <v>10835</v>
      </c>
      <c r="I3204" t="s">
        <v>11640</v>
      </c>
      <c r="J3204" t="s">
        <v>1584</v>
      </c>
      <c r="K3204" t="s">
        <v>1641</v>
      </c>
      <c r="L3204">
        <v>10453</v>
      </c>
      <c r="M3204" t="s">
        <v>1670</v>
      </c>
      <c r="P3204" t="s">
        <v>12948</v>
      </c>
      <c r="Q3204" t="s">
        <v>1936</v>
      </c>
      <c r="R3204" t="s">
        <v>1960</v>
      </c>
      <c r="T3204" t="s">
        <v>1671</v>
      </c>
      <c r="V3204" t="s">
        <v>1972</v>
      </c>
      <c r="W3204" t="s">
        <v>1983</v>
      </c>
      <c r="X3204" t="s">
        <v>1991</v>
      </c>
      <c r="Y3204">
        <v>868</v>
      </c>
      <c r="Z3204" t="s">
        <v>2006</v>
      </c>
      <c r="AA3204" t="s">
        <v>2020</v>
      </c>
      <c r="AC3204" t="s">
        <v>15543</v>
      </c>
      <c r="AD3204" t="s">
        <v>17679</v>
      </c>
      <c r="AE3204" t="s">
        <v>17961</v>
      </c>
      <c r="AF3204">
        <v>87</v>
      </c>
      <c r="AG3204" t="s">
        <v>2913</v>
      </c>
      <c r="AH3204" t="s">
        <v>1754</v>
      </c>
      <c r="AI3204">
        <v>15</v>
      </c>
      <c r="AJ3204">
        <v>2</v>
      </c>
      <c r="AK3204">
        <v>1</v>
      </c>
      <c r="AL3204">
        <v>162.06</v>
      </c>
      <c r="AO3204" t="s">
        <v>2926</v>
      </c>
      <c r="AP3204">
        <v>34568</v>
      </c>
      <c r="AV3204">
        <v>34.4</v>
      </c>
      <c r="AW3204" t="s">
        <v>3034</v>
      </c>
      <c r="AX3204" t="s">
        <v>3054</v>
      </c>
    </row>
    <row r="3205" spans="1:50">
      <c r="A3205" s="1" t="s">
        <v>50</v>
      </c>
      <c r="B3205" t="s">
        <v>131</v>
      </c>
      <c r="C3205" t="s">
        <v>164</v>
      </c>
      <c r="D3205" t="s">
        <v>6507</v>
      </c>
      <c r="E3205" t="s">
        <v>266</v>
      </c>
      <c r="F3205" t="s">
        <v>193</v>
      </c>
      <c r="G3205" t="s">
        <v>7469</v>
      </c>
      <c r="H3205" t="s">
        <v>10836</v>
      </c>
      <c r="I3205" t="s">
        <v>11641</v>
      </c>
      <c r="J3205">
        <v>5</v>
      </c>
      <c r="K3205" t="s">
        <v>1643</v>
      </c>
      <c r="L3205">
        <v>10029</v>
      </c>
      <c r="M3205" t="s">
        <v>1670</v>
      </c>
      <c r="Q3205" t="s">
        <v>1944</v>
      </c>
      <c r="R3205" t="s">
        <v>1959</v>
      </c>
      <c r="S3205" t="s">
        <v>1966</v>
      </c>
      <c r="T3205" t="s">
        <v>1671</v>
      </c>
      <c r="V3205" t="s">
        <v>1976</v>
      </c>
      <c r="W3205" t="s">
        <v>1984</v>
      </c>
      <c r="X3205" t="s">
        <v>190</v>
      </c>
      <c r="Y3205">
        <v>1223.47</v>
      </c>
      <c r="Z3205" t="s">
        <v>2008</v>
      </c>
      <c r="AA3205" t="s">
        <v>2021</v>
      </c>
      <c r="AB3205" t="s">
        <v>2039</v>
      </c>
      <c r="AC3205" t="s">
        <v>15544</v>
      </c>
      <c r="AD3205" t="s">
        <v>17680</v>
      </c>
      <c r="AF3205" t="s">
        <v>13051</v>
      </c>
      <c r="AG3205" t="s">
        <v>2902</v>
      </c>
      <c r="AH3205" t="s">
        <v>1754</v>
      </c>
      <c r="AI3205">
        <v>10</v>
      </c>
      <c r="AJ3205">
        <v>1</v>
      </c>
      <c r="AK3205">
        <v>4</v>
      </c>
      <c r="AL3205">
        <v>90.56999999999999</v>
      </c>
      <c r="AO3205" t="s">
        <v>2927</v>
      </c>
      <c r="AP3205">
        <v>27324</v>
      </c>
      <c r="AV3205">
        <v>9.5</v>
      </c>
      <c r="AW3205" t="s">
        <v>203</v>
      </c>
      <c r="AX3205" t="s">
        <v>3051</v>
      </c>
    </row>
    <row r="3206" spans="1:50">
      <c r="A3206" s="1" t="s">
        <v>50</v>
      </c>
      <c r="B3206" t="s">
        <v>52</v>
      </c>
      <c r="C3206" t="s">
        <v>164</v>
      </c>
      <c r="D3206" t="s">
        <v>6508</v>
      </c>
      <c r="E3206" t="s">
        <v>324</v>
      </c>
      <c r="F3206" t="s">
        <v>295</v>
      </c>
      <c r="G3206" t="s">
        <v>737</v>
      </c>
      <c r="H3206" t="s">
        <v>10837</v>
      </c>
      <c r="I3206" t="s">
        <v>11642</v>
      </c>
      <c r="K3206" t="s">
        <v>1641</v>
      </c>
      <c r="L3206">
        <v>10459</v>
      </c>
      <c r="M3206" t="s">
        <v>1670</v>
      </c>
      <c r="P3206" t="s">
        <v>12674</v>
      </c>
      <c r="Q3206" t="s">
        <v>1936</v>
      </c>
      <c r="R3206" t="s">
        <v>1960</v>
      </c>
      <c r="S3206" t="s">
        <v>1969</v>
      </c>
      <c r="T3206" t="s">
        <v>1671</v>
      </c>
      <c r="V3206" t="s">
        <v>1972</v>
      </c>
      <c r="W3206" t="s">
        <v>1983</v>
      </c>
      <c r="X3206" t="s">
        <v>263</v>
      </c>
      <c r="Y3206">
        <v>1348.53</v>
      </c>
      <c r="Z3206" t="s">
        <v>2006</v>
      </c>
      <c r="AA3206" t="s">
        <v>2014</v>
      </c>
      <c r="AB3206" t="s">
        <v>2032</v>
      </c>
      <c r="AC3206" t="s">
        <v>15545</v>
      </c>
      <c r="AD3206" t="s">
        <v>17681</v>
      </c>
      <c r="AF3206">
        <v>22</v>
      </c>
      <c r="AG3206" t="s">
        <v>2904</v>
      </c>
      <c r="AH3206" t="s">
        <v>2916</v>
      </c>
      <c r="AI3206">
        <v>1</v>
      </c>
      <c r="AJ3206">
        <v>1</v>
      </c>
      <c r="AK3206">
        <v>2</v>
      </c>
      <c r="AL3206">
        <v>114.86</v>
      </c>
      <c r="AO3206" t="s">
        <v>2926</v>
      </c>
      <c r="AP3206">
        <v>24500</v>
      </c>
      <c r="AR3206" t="s">
        <v>2976</v>
      </c>
      <c r="AS3206" t="s">
        <v>18447</v>
      </c>
      <c r="AT3206" t="s">
        <v>2992</v>
      </c>
      <c r="AU3206" t="s">
        <v>18633</v>
      </c>
      <c r="AV3206">
        <v>15.2</v>
      </c>
      <c r="AW3206" t="s">
        <v>240</v>
      </c>
      <c r="AX3206" t="s">
        <v>3045</v>
      </c>
    </row>
    <row r="3207" spans="1:50">
      <c r="A3207" s="1" t="s">
        <v>50</v>
      </c>
      <c r="B3207" t="s">
        <v>3200</v>
      </c>
      <c r="C3207" t="s">
        <v>164</v>
      </c>
      <c r="D3207" t="s">
        <v>6509</v>
      </c>
      <c r="E3207" t="s">
        <v>350</v>
      </c>
      <c r="F3207" t="s">
        <v>3035</v>
      </c>
      <c r="G3207" t="s">
        <v>475</v>
      </c>
      <c r="H3207" t="s">
        <v>10838</v>
      </c>
      <c r="I3207" t="s">
        <v>11643</v>
      </c>
      <c r="J3207" t="s">
        <v>1519</v>
      </c>
      <c r="K3207" t="s">
        <v>1668</v>
      </c>
      <c r="L3207">
        <v>11354</v>
      </c>
      <c r="M3207" t="s">
        <v>1670</v>
      </c>
      <c r="P3207" t="s">
        <v>12949</v>
      </c>
      <c r="Q3207" t="s">
        <v>1940</v>
      </c>
      <c r="R3207" t="s">
        <v>1958</v>
      </c>
      <c r="S3207" t="s">
        <v>1965</v>
      </c>
      <c r="T3207" t="s">
        <v>1671</v>
      </c>
      <c r="V3207" t="s">
        <v>1972</v>
      </c>
      <c r="W3207" t="s">
        <v>1983</v>
      </c>
      <c r="X3207" t="s">
        <v>350</v>
      </c>
      <c r="Y3207">
        <v>1850</v>
      </c>
      <c r="Z3207" t="s">
        <v>2007</v>
      </c>
      <c r="AA3207" t="s">
        <v>2014</v>
      </c>
      <c r="AB3207" t="s">
        <v>2029</v>
      </c>
      <c r="AC3207" t="s">
        <v>15546</v>
      </c>
      <c r="AD3207" t="s">
        <v>17682</v>
      </c>
      <c r="AE3207" t="s">
        <v>17962</v>
      </c>
      <c r="AF3207">
        <v>40</v>
      </c>
      <c r="AG3207" t="s">
        <v>18014</v>
      </c>
      <c r="AH3207" t="s">
        <v>1754</v>
      </c>
      <c r="AI3207">
        <v>5</v>
      </c>
      <c r="AJ3207">
        <v>1</v>
      </c>
      <c r="AK3207">
        <v>1</v>
      </c>
      <c r="AL3207">
        <v>41.51</v>
      </c>
      <c r="AO3207" t="s">
        <v>2927</v>
      </c>
      <c r="AP3207">
        <v>7020</v>
      </c>
      <c r="AV3207">
        <v>5.99</v>
      </c>
      <c r="AW3207" t="s">
        <v>369</v>
      </c>
      <c r="AX3207" t="s">
        <v>3044</v>
      </c>
    </row>
    <row r="3208" spans="1:50">
      <c r="A3208" s="1" t="s">
        <v>50</v>
      </c>
      <c r="B3208" t="s">
        <v>71</v>
      </c>
      <c r="C3208" t="s">
        <v>163</v>
      </c>
      <c r="D3208" t="s">
        <v>6510</v>
      </c>
      <c r="E3208" t="s">
        <v>268</v>
      </c>
      <c r="G3208" t="s">
        <v>7349</v>
      </c>
      <c r="H3208" t="s">
        <v>10839</v>
      </c>
      <c r="I3208" t="s">
        <v>11644</v>
      </c>
      <c r="J3208" t="s">
        <v>1513</v>
      </c>
      <c r="K3208" t="s">
        <v>1646</v>
      </c>
      <c r="L3208">
        <v>10303</v>
      </c>
      <c r="M3208" t="s">
        <v>1670</v>
      </c>
      <c r="P3208" t="s">
        <v>12950</v>
      </c>
      <c r="Q3208" t="s">
        <v>1940</v>
      </c>
      <c r="R3208" t="s">
        <v>1960</v>
      </c>
      <c r="T3208" t="s">
        <v>1671</v>
      </c>
      <c r="V3208" t="s">
        <v>1972</v>
      </c>
      <c r="W3208" t="s">
        <v>1984</v>
      </c>
      <c r="X3208" t="s">
        <v>268</v>
      </c>
      <c r="Y3208">
        <v>1800</v>
      </c>
      <c r="Z3208" t="s">
        <v>2010</v>
      </c>
      <c r="AA3208" t="s">
        <v>2011</v>
      </c>
      <c r="AC3208" t="s">
        <v>15547</v>
      </c>
      <c r="AD3208" t="s">
        <v>17683</v>
      </c>
      <c r="AE3208" t="s">
        <v>17963</v>
      </c>
      <c r="AF3208">
        <v>1</v>
      </c>
      <c r="AG3208" t="s">
        <v>2903</v>
      </c>
      <c r="AH3208" t="s">
        <v>1754</v>
      </c>
      <c r="AI3208">
        <v>1</v>
      </c>
      <c r="AJ3208">
        <v>1</v>
      </c>
      <c r="AK3208">
        <v>4</v>
      </c>
      <c r="AL3208" t="s">
        <v>13051</v>
      </c>
      <c r="AO3208" t="s">
        <v>2926</v>
      </c>
      <c r="AP3208" t="s">
        <v>13051</v>
      </c>
      <c r="AV3208">
        <v>3.2</v>
      </c>
      <c r="AW3208" t="s">
        <v>325</v>
      </c>
      <c r="AX3208" t="s">
        <v>3050</v>
      </c>
    </row>
    <row r="3209" spans="1:50">
      <c r="A3209" s="1" t="s">
        <v>50</v>
      </c>
      <c r="B3209" t="s">
        <v>66</v>
      </c>
      <c r="C3209" t="s">
        <v>164</v>
      </c>
      <c r="D3209" t="s">
        <v>6511</v>
      </c>
      <c r="E3209" t="s">
        <v>227</v>
      </c>
      <c r="F3209" t="s">
        <v>274</v>
      </c>
      <c r="G3209" t="s">
        <v>9289</v>
      </c>
      <c r="H3209" t="s">
        <v>938</v>
      </c>
      <c r="I3209" t="s">
        <v>11645</v>
      </c>
      <c r="J3209" t="s">
        <v>1501</v>
      </c>
      <c r="K3209" t="s">
        <v>1644</v>
      </c>
      <c r="L3209">
        <v>11212</v>
      </c>
      <c r="M3209" t="s">
        <v>1670</v>
      </c>
      <c r="P3209" t="s">
        <v>12951</v>
      </c>
      <c r="Q3209" t="s">
        <v>1940</v>
      </c>
      <c r="R3209" t="s">
        <v>1960</v>
      </c>
      <c r="S3209" t="s">
        <v>1967</v>
      </c>
      <c r="V3209" t="s">
        <v>1972</v>
      </c>
      <c r="X3209" t="s">
        <v>227</v>
      </c>
      <c r="Y3209">
        <v>2197</v>
      </c>
      <c r="Z3209" t="s">
        <v>2009</v>
      </c>
      <c r="AA3209" t="s">
        <v>2014</v>
      </c>
      <c r="AB3209" t="s">
        <v>2033</v>
      </c>
      <c r="AC3209" t="s">
        <v>15548</v>
      </c>
      <c r="AD3209" t="s">
        <v>17684</v>
      </c>
      <c r="AE3209" t="s">
        <v>17964</v>
      </c>
      <c r="AF3209">
        <v>4</v>
      </c>
      <c r="AG3209" t="s">
        <v>2903</v>
      </c>
      <c r="AH3209" t="s">
        <v>2917</v>
      </c>
      <c r="AI3209">
        <v>1</v>
      </c>
      <c r="AJ3209">
        <v>3</v>
      </c>
      <c r="AK3209">
        <v>4</v>
      </c>
      <c r="AL3209">
        <v>17.08</v>
      </c>
      <c r="AO3209" t="s">
        <v>2926</v>
      </c>
      <c r="AP3209">
        <v>6500</v>
      </c>
      <c r="AQ3209" t="s">
        <v>2953</v>
      </c>
      <c r="AV3209">
        <v>27.15</v>
      </c>
      <c r="AW3209" t="s">
        <v>240</v>
      </c>
      <c r="AX3209" t="s">
        <v>3063</v>
      </c>
    </row>
    <row r="3210" spans="1:50">
      <c r="A3210" s="1" t="s">
        <v>51</v>
      </c>
      <c r="B3210" t="s">
        <v>3187</v>
      </c>
      <c r="C3210" t="s">
        <v>164</v>
      </c>
      <c r="D3210" t="s">
        <v>6512</v>
      </c>
      <c r="E3210" t="s">
        <v>264</v>
      </c>
      <c r="F3210" t="s">
        <v>359</v>
      </c>
      <c r="G3210" t="s">
        <v>9254</v>
      </c>
      <c r="H3210" t="s">
        <v>10812</v>
      </c>
      <c r="I3210" t="s">
        <v>11594</v>
      </c>
      <c r="J3210" t="s">
        <v>1486</v>
      </c>
      <c r="K3210" t="s">
        <v>11748</v>
      </c>
      <c r="L3210">
        <v>11365</v>
      </c>
      <c r="M3210" t="s">
        <v>1670</v>
      </c>
      <c r="P3210" t="s">
        <v>12952</v>
      </c>
      <c r="Q3210" t="s">
        <v>1936</v>
      </c>
      <c r="R3210" t="s">
        <v>1960</v>
      </c>
      <c r="S3210" t="s">
        <v>1969</v>
      </c>
      <c r="T3210" t="s">
        <v>1671</v>
      </c>
      <c r="V3210" t="s">
        <v>1979</v>
      </c>
      <c r="W3210" t="s">
        <v>1984</v>
      </c>
      <c r="X3210" t="s">
        <v>264</v>
      </c>
      <c r="Y3210">
        <v>521</v>
      </c>
      <c r="Z3210" t="s">
        <v>2007</v>
      </c>
      <c r="AA3210" t="s">
        <v>2012</v>
      </c>
      <c r="AB3210" t="s">
        <v>2037</v>
      </c>
      <c r="AC3210" t="s">
        <v>15486</v>
      </c>
      <c r="AD3210" t="s">
        <v>17685</v>
      </c>
      <c r="AE3210" t="s">
        <v>17906</v>
      </c>
      <c r="AF3210">
        <v>100</v>
      </c>
      <c r="AG3210" t="s">
        <v>2905</v>
      </c>
      <c r="AH3210" t="s">
        <v>1754</v>
      </c>
      <c r="AI3210">
        <v>13</v>
      </c>
      <c r="AJ3210">
        <v>1</v>
      </c>
      <c r="AK3210">
        <v>2</v>
      </c>
      <c r="AL3210">
        <v>36.38</v>
      </c>
      <c r="AM3210" t="s">
        <v>2923</v>
      </c>
      <c r="AN3210" t="s">
        <v>2924</v>
      </c>
      <c r="AO3210" t="s">
        <v>2926</v>
      </c>
      <c r="AP3210">
        <v>7560</v>
      </c>
      <c r="AR3210" t="s">
        <v>2976</v>
      </c>
      <c r="AS3210" t="s">
        <v>18459</v>
      </c>
      <c r="AT3210" t="s">
        <v>2992</v>
      </c>
      <c r="AU3210" t="s">
        <v>18634</v>
      </c>
      <c r="AV3210">
        <v>9.85</v>
      </c>
      <c r="AW3210" t="s">
        <v>208</v>
      </c>
      <c r="AX3210" t="s">
        <v>3044</v>
      </c>
    </row>
    <row r="3211" spans="1:50">
      <c r="A3211" s="1" t="s">
        <v>50</v>
      </c>
      <c r="B3211" t="s">
        <v>146</v>
      </c>
      <c r="C3211" t="s">
        <v>164</v>
      </c>
      <c r="D3211" t="s">
        <v>6513</v>
      </c>
      <c r="E3211" t="s">
        <v>352</v>
      </c>
      <c r="F3211" t="s">
        <v>407</v>
      </c>
      <c r="G3211" t="s">
        <v>9290</v>
      </c>
      <c r="H3211" t="s">
        <v>10840</v>
      </c>
      <c r="I3211" t="s">
        <v>11646</v>
      </c>
      <c r="J3211" t="s">
        <v>1590</v>
      </c>
      <c r="K3211" t="s">
        <v>1641</v>
      </c>
      <c r="L3211">
        <v>10453</v>
      </c>
      <c r="M3211" t="s">
        <v>1670</v>
      </c>
      <c r="P3211" t="s">
        <v>12953</v>
      </c>
      <c r="Q3211" t="s">
        <v>1936</v>
      </c>
      <c r="R3211" t="s">
        <v>1960</v>
      </c>
      <c r="S3211" t="s">
        <v>1969</v>
      </c>
      <c r="T3211" t="s">
        <v>1671</v>
      </c>
      <c r="V3211" t="s">
        <v>1972</v>
      </c>
      <c r="W3211" t="s">
        <v>1984</v>
      </c>
      <c r="X3211" t="s">
        <v>352</v>
      </c>
      <c r="Y3211">
        <v>1530</v>
      </c>
      <c r="Z3211" t="s">
        <v>2006</v>
      </c>
      <c r="AA3211" t="s">
        <v>2018</v>
      </c>
      <c r="AB3211" t="s">
        <v>2032</v>
      </c>
      <c r="AC3211" t="s">
        <v>15549</v>
      </c>
      <c r="AD3211" t="s">
        <v>17686</v>
      </c>
      <c r="AE3211" t="s">
        <v>17965</v>
      </c>
      <c r="AF3211">
        <v>21</v>
      </c>
      <c r="AG3211" t="s">
        <v>2904</v>
      </c>
      <c r="AH3211" t="s">
        <v>2918</v>
      </c>
      <c r="AI3211">
        <v>3</v>
      </c>
      <c r="AJ3211">
        <v>1</v>
      </c>
      <c r="AK3211">
        <v>3</v>
      </c>
      <c r="AL3211">
        <v>31.44</v>
      </c>
      <c r="AO3211" t="s">
        <v>2927</v>
      </c>
      <c r="AP3211">
        <v>7892</v>
      </c>
      <c r="AR3211" t="s">
        <v>2979</v>
      </c>
      <c r="AS3211" t="s">
        <v>18472</v>
      </c>
      <c r="AT3211" t="s">
        <v>2992</v>
      </c>
      <c r="AU3211" t="s">
        <v>18635</v>
      </c>
      <c r="AV3211">
        <v>11.9</v>
      </c>
      <c r="AW3211" t="s">
        <v>407</v>
      </c>
      <c r="AX3211" t="s">
        <v>76</v>
      </c>
    </row>
    <row r="3212" spans="1:50">
      <c r="A3212" s="1" t="s">
        <v>50</v>
      </c>
      <c r="B3212" t="s">
        <v>66</v>
      </c>
      <c r="C3212" t="s">
        <v>163</v>
      </c>
      <c r="D3212" t="s">
        <v>6514</v>
      </c>
      <c r="E3212" t="s">
        <v>340</v>
      </c>
      <c r="G3212" t="s">
        <v>6947</v>
      </c>
      <c r="H3212" t="s">
        <v>7327</v>
      </c>
      <c r="I3212" t="s">
        <v>10133</v>
      </c>
      <c r="J3212" t="s">
        <v>11791</v>
      </c>
      <c r="K3212" t="s">
        <v>1644</v>
      </c>
      <c r="L3212">
        <v>11208</v>
      </c>
      <c r="M3212" t="s">
        <v>1670</v>
      </c>
      <c r="P3212" t="s">
        <v>12954</v>
      </c>
      <c r="Q3212" t="s">
        <v>1936</v>
      </c>
      <c r="R3212" t="s">
        <v>1960</v>
      </c>
      <c r="V3212" t="s">
        <v>1972</v>
      </c>
      <c r="X3212" t="s">
        <v>266</v>
      </c>
      <c r="Y3212">
        <v>1186</v>
      </c>
      <c r="Z3212" t="s">
        <v>2009</v>
      </c>
      <c r="AA3212" t="s">
        <v>2014</v>
      </c>
      <c r="AC3212" t="s">
        <v>15550</v>
      </c>
      <c r="AD3212" t="s">
        <v>17687</v>
      </c>
      <c r="AE3212" t="s">
        <v>17966</v>
      </c>
      <c r="AF3212" t="s">
        <v>13051</v>
      </c>
      <c r="AI3212">
        <v>11</v>
      </c>
      <c r="AJ3212">
        <v>1</v>
      </c>
      <c r="AK3212">
        <v>1</v>
      </c>
      <c r="AL3212">
        <v>15.48</v>
      </c>
      <c r="AO3212" t="s">
        <v>2926</v>
      </c>
      <c r="AP3212">
        <v>2548</v>
      </c>
      <c r="AV3212">
        <v>62.45</v>
      </c>
      <c r="AW3212" t="s">
        <v>399</v>
      </c>
      <c r="AX3212" t="s">
        <v>3063</v>
      </c>
    </row>
    <row r="3213" spans="1:50">
      <c r="A3213" s="1" t="s">
        <v>50</v>
      </c>
      <c r="B3213" t="s">
        <v>53</v>
      </c>
      <c r="C3213" t="s">
        <v>163</v>
      </c>
      <c r="D3213" t="s">
        <v>6515</v>
      </c>
      <c r="E3213" t="s">
        <v>344</v>
      </c>
      <c r="G3213" t="s">
        <v>9291</v>
      </c>
      <c r="H3213" t="s">
        <v>10841</v>
      </c>
      <c r="I3213" t="s">
        <v>11647</v>
      </c>
      <c r="J3213" t="s">
        <v>11050</v>
      </c>
      <c r="K3213" t="s">
        <v>1645</v>
      </c>
      <c r="L3213">
        <v>11691</v>
      </c>
      <c r="M3213" t="s">
        <v>1670</v>
      </c>
      <c r="P3213" t="s">
        <v>12955</v>
      </c>
      <c r="Q3213" t="s">
        <v>1936</v>
      </c>
      <c r="R3213" t="s">
        <v>1960</v>
      </c>
      <c r="T3213" t="s">
        <v>1671</v>
      </c>
      <c r="V3213" t="s">
        <v>1972</v>
      </c>
      <c r="W3213" t="s">
        <v>1985</v>
      </c>
      <c r="X3213" t="s">
        <v>344</v>
      </c>
      <c r="Y3213">
        <v>1377</v>
      </c>
      <c r="Z3213" t="s">
        <v>2007</v>
      </c>
      <c r="AA3213" t="s">
        <v>2014</v>
      </c>
      <c r="AC3213" t="s">
        <v>15551</v>
      </c>
      <c r="AD3213" t="s">
        <v>17688</v>
      </c>
      <c r="AE3213" t="s">
        <v>17967</v>
      </c>
      <c r="AF3213">
        <v>107</v>
      </c>
      <c r="AG3213" t="s">
        <v>2902</v>
      </c>
      <c r="AH3213" t="s">
        <v>1754</v>
      </c>
      <c r="AI3213">
        <v>2</v>
      </c>
      <c r="AJ3213">
        <v>1</v>
      </c>
      <c r="AK3213">
        <v>2</v>
      </c>
      <c r="AL3213">
        <v>90.45999999999999</v>
      </c>
      <c r="AO3213" t="s">
        <v>2926</v>
      </c>
      <c r="AP3213">
        <v>18798</v>
      </c>
      <c r="AR3213" t="s">
        <v>18422</v>
      </c>
      <c r="AS3213" t="s">
        <v>18492</v>
      </c>
      <c r="AT3213" t="s">
        <v>2992</v>
      </c>
      <c r="AU3213" t="s">
        <v>2998</v>
      </c>
      <c r="AV3213">
        <v>96.25</v>
      </c>
      <c r="AW3213" t="s">
        <v>206</v>
      </c>
      <c r="AX3213" t="s">
        <v>3044</v>
      </c>
    </row>
    <row r="3214" spans="1:50">
      <c r="A3214" s="1" t="s">
        <v>50</v>
      </c>
      <c r="B3214" t="s">
        <v>61</v>
      </c>
      <c r="C3214" t="s">
        <v>163</v>
      </c>
      <c r="D3214" t="s">
        <v>6516</v>
      </c>
      <c r="E3214" t="s">
        <v>229</v>
      </c>
      <c r="G3214" t="s">
        <v>9292</v>
      </c>
      <c r="H3214" t="s">
        <v>10842</v>
      </c>
      <c r="I3214" t="s">
        <v>1464</v>
      </c>
      <c r="J3214" t="s">
        <v>1541</v>
      </c>
      <c r="K3214" t="s">
        <v>1644</v>
      </c>
      <c r="L3214">
        <v>11226</v>
      </c>
      <c r="M3214" t="s">
        <v>1670</v>
      </c>
      <c r="Q3214" t="s">
        <v>1941</v>
      </c>
      <c r="R3214" t="s">
        <v>1959</v>
      </c>
      <c r="T3214" t="s">
        <v>1670</v>
      </c>
      <c r="V3214" t="s">
        <v>1972</v>
      </c>
      <c r="W3214" t="s">
        <v>1984</v>
      </c>
      <c r="X3214" t="s">
        <v>298</v>
      </c>
      <c r="Y3214">
        <v>923</v>
      </c>
      <c r="Z3214" t="s">
        <v>2009</v>
      </c>
      <c r="AA3214" t="s">
        <v>2015</v>
      </c>
      <c r="AC3214" t="s">
        <v>15552</v>
      </c>
      <c r="AD3214" t="s">
        <v>17689</v>
      </c>
      <c r="AE3214" t="s">
        <v>17968</v>
      </c>
      <c r="AF3214">
        <v>48</v>
      </c>
      <c r="AG3214" t="s">
        <v>2902</v>
      </c>
      <c r="AH3214" t="s">
        <v>1754</v>
      </c>
      <c r="AI3214">
        <v>19</v>
      </c>
      <c r="AJ3214">
        <v>2</v>
      </c>
      <c r="AK3214">
        <v>2</v>
      </c>
      <c r="AL3214">
        <v>101.71</v>
      </c>
      <c r="AO3214" t="s">
        <v>2926</v>
      </c>
      <c r="AP3214">
        <v>25528</v>
      </c>
      <c r="AV3214">
        <v>10.9</v>
      </c>
      <c r="AW3214" t="s">
        <v>293</v>
      </c>
      <c r="AX3214" t="s">
        <v>69</v>
      </c>
    </row>
    <row r="3215" spans="1:50">
      <c r="A3215" s="1" t="s">
        <v>50</v>
      </c>
      <c r="B3215" t="s">
        <v>73</v>
      </c>
      <c r="C3215" t="s">
        <v>164</v>
      </c>
      <c r="D3215" t="s">
        <v>6517</v>
      </c>
      <c r="E3215" t="s">
        <v>200</v>
      </c>
      <c r="F3215" t="s">
        <v>308</v>
      </c>
      <c r="G3215" t="s">
        <v>9293</v>
      </c>
      <c r="H3215" t="s">
        <v>10843</v>
      </c>
      <c r="I3215" t="s">
        <v>11478</v>
      </c>
      <c r="J3215">
        <v>301</v>
      </c>
      <c r="K3215" t="s">
        <v>1649</v>
      </c>
      <c r="L3215">
        <v>11692</v>
      </c>
      <c r="M3215" t="s">
        <v>1670</v>
      </c>
      <c r="P3215" t="s">
        <v>12956</v>
      </c>
      <c r="Q3215" t="s">
        <v>1936</v>
      </c>
      <c r="R3215" t="s">
        <v>1958</v>
      </c>
      <c r="S3215" t="s">
        <v>1965</v>
      </c>
      <c r="T3215" t="s">
        <v>1671</v>
      </c>
      <c r="V3215" t="s">
        <v>1972</v>
      </c>
      <c r="W3215" t="s">
        <v>1984</v>
      </c>
      <c r="X3215" t="s">
        <v>200</v>
      </c>
      <c r="Y3215">
        <v>2181</v>
      </c>
      <c r="Z3215" t="s">
        <v>2007</v>
      </c>
      <c r="AA3215" t="s">
        <v>2014</v>
      </c>
      <c r="AB3215" t="s">
        <v>2029</v>
      </c>
      <c r="AC3215" t="s">
        <v>15553</v>
      </c>
      <c r="AD3215" t="s">
        <v>17690</v>
      </c>
      <c r="AE3215" t="s">
        <v>17969</v>
      </c>
      <c r="AF3215">
        <v>8</v>
      </c>
      <c r="AG3215" t="s">
        <v>2902</v>
      </c>
      <c r="AH3215" t="s">
        <v>2915</v>
      </c>
      <c r="AI3215">
        <v>5</v>
      </c>
      <c r="AJ3215">
        <v>1</v>
      </c>
      <c r="AK3215">
        <v>2</v>
      </c>
      <c r="AL3215" t="s">
        <v>13051</v>
      </c>
      <c r="AO3215" t="s">
        <v>2926</v>
      </c>
      <c r="AP3215" t="s">
        <v>13051</v>
      </c>
      <c r="AV3215">
        <v>0.6</v>
      </c>
      <c r="AW3215" t="s">
        <v>308</v>
      </c>
      <c r="AX3215" t="s">
        <v>89</v>
      </c>
    </row>
    <row r="3216" spans="1:50">
      <c r="A3216" s="1" t="s">
        <v>50</v>
      </c>
      <c r="B3216" t="s">
        <v>68</v>
      </c>
      <c r="C3216" t="s">
        <v>163</v>
      </c>
      <c r="D3216" t="s">
        <v>6518</v>
      </c>
      <c r="E3216" t="s">
        <v>286</v>
      </c>
      <c r="G3216" t="s">
        <v>9154</v>
      </c>
      <c r="H3216" t="s">
        <v>7951</v>
      </c>
      <c r="I3216" t="s">
        <v>9507</v>
      </c>
      <c r="J3216">
        <v>2</v>
      </c>
      <c r="K3216" t="s">
        <v>1643</v>
      </c>
      <c r="L3216">
        <v>10034</v>
      </c>
      <c r="M3216" t="s">
        <v>1670</v>
      </c>
      <c r="R3216" t="s">
        <v>1958</v>
      </c>
      <c r="T3216" t="s">
        <v>1670</v>
      </c>
      <c r="V3216" t="s">
        <v>1972</v>
      </c>
      <c r="X3216" t="s">
        <v>286</v>
      </c>
      <c r="Y3216">
        <v>803</v>
      </c>
      <c r="Z3216" t="s">
        <v>2008</v>
      </c>
      <c r="AA3216" t="s">
        <v>2020</v>
      </c>
      <c r="AC3216" t="s">
        <v>15322</v>
      </c>
      <c r="AD3216" t="s">
        <v>17691</v>
      </c>
      <c r="AE3216" t="s">
        <v>17743</v>
      </c>
      <c r="AF3216">
        <v>25</v>
      </c>
      <c r="AG3216" t="s">
        <v>2902</v>
      </c>
      <c r="AH3216" t="s">
        <v>2919</v>
      </c>
      <c r="AI3216">
        <v>14</v>
      </c>
      <c r="AJ3216">
        <v>1</v>
      </c>
      <c r="AK3216">
        <v>1</v>
      </c>
      <c r="AL3216">
        <v>67.63</v>
      </c>
      <c r="AO3216" t="s">
        <v>2927</v>
      </c>
      <c r="AP3216">
        <v>11436</v>
      </c>
      <c r="AV3216" t="s">
        <v>13051</v>
      </c>
      <c r="AX3216" t="s">
        <v>3042</v>
      </c>
    </row>
    <row r="3217" spans="1:50">
      <c r="A3217" s="1" t="s">
        <v>50</v>
      </c>
      <c r="B3217" t="s">
        <v>146</v>
      </c>
      <c r="C3217" t="s">
        <v>164</v>
      </c>
      <c r="D3217" t="s">
        <v>6519</v>
      </c>
      <c r="E3217" t="s">
        <v>6156</v>
      </c>
      <c r="F3217" t="s">
        <v>243</v>
      </c>
      <c r="G3217" t="s">
        <v>6951</v>
      </c>
      <c r="H3217" t="s">
        <v>909</v>
      </c>
      <c r="I3217" t="s">
        <v>11648</v>
      </c>
      <c r="J3217">
        <v>2</v>
      </c>
      <c r="K3217" t="s">
        <v>1641</v>
      </c>
      <c r="L3217">
        <v>10453</v>
      </c>
      <c r="M3217" t="s">
        <v>1670</v>
      </c>
      <c r="P3217" t="s">
        <v>12957</v>
      </c>
      <c r="Q3217" t="s">
        <v>1940</v>
      </c>
      <c r="R3217" t="s">
        <v>1960</v>
      </c>
      <c r="S3217" t="s">
        <v>1969</v>
      </c>
      <c r="T3217" t="s">
        <v>1671</v>
      </c>
      <c r="V3217" t="s">
        <v>1972</v>
      </c>
      <c r="W3217" t="s">
        <v>1984</v>
      </c>
      <c r="X3217" t="s">
        <v>216</v>
      </c>
      <c r="Y3217">
        <v>1801</v>
      </c>
      <c r="Z3217" t="s">
        <v>2006</v>
      </c>
      <c r="AA3217" t="s">
        <v>2026</v>
      </c>
      <c r="AB3217" t="s">
        <v>2032</v>
      </c>
      <c r="AC3217" t="s">
        <v>13220</v>
      </c>
      <c r="AD3217" t="s">
        <v>17692</v>
      </c>
      <c r="AE3217" t="s">
        <v>17970</v>
      </c>
      <c r="AF3217">
        <v>3</v>
      </c>
      <c r="AG3217" t="s">
        <v>2904</v>
      </c>
      <c r="AH3217" t="s">
        <v>2915</v>
      </c>
      <c r="AI3217">
        <v>5</v>
      </c>
      <c r="AJ3217">
        <v>1</v>
      </c>
      <c r="AK3217">
        <v>3</v>
      </c>
      <c r="AL3217">
        <v>62.15</v>
      </c>
      <c r="AO3217" t="s">
        <v>2926</v>
      </c>
      <c r="AP3217">
        <v>15600</v>
      </c>
      <c r="AR3217" t="s">
        <v>2977</v>
      </c>
      <c r="AS3217" t="s">
        <v>2983</v>
      </c>
      <c r="AT3217" t="s">
        <v>2992</v>
      </c>
      <c r="AU3217" t="s">
        <v>18504</v>
      </c>
      <c r="AV3217">
        <v>27.65</v>
      </c>
      <c r="AW3217" t="s">
        <v>243</v>
      </c>
      <c r="AX3217" t="s">
        <v>3078</v>
      </c>
    </row>
    <row r="3218" spans="1:50">
      <c r="A3218" s="1" t="s">
        <v>50</v>
      </c>
      <c r="B3218" t="s">
        <v>53</v>
      </c>
      <c r="C3218" t="s">
        <v>164</v>
      </c>
      <c r="D3218" t="s">
        <v>6520</v>
      </c>
      <c r="E3218" t="s">
        <v>175</v>
      </c>
      <c r="F3218" t="s">
        <v>273</v>
      </c>
      <c r="G3218" t="s">
        <v>6996</v>
      </c>
      <c r="H3218" t="s">
        <v>10844</v>
      </c>
      <c r="I3218" t="s">
        <v>11588</v>
      </c>
      <c r="J3218" t="s">
        <v>11792</v>
      </c>
      <c r="K3218" t="s">
        <v>1645</v>
      </c>
      <c r="L3218">
        <v>11691</v>
      </c>
      <c r="M3218" t="s">
        <v>1670</v>
      </c>
      <c r="P3218" t="s">
        <v>12958</v>
      </c>
      <c r="Q3218" t="s">
        <v>1940</v>
      </c>
      <c r="R3218" t="s">
        <v>1960</v>
      </c>
      <c r="S3218" t="s">
        <v>1971</v>
      </c>
      <c r="T3218" t="s">
        <v>1671</v>
      </c>
      <c r="V3218" t="s">
        <v>1972</v>
      </c>
      <c r="W3218" t="s">
        <v>1984</v>
      </c>
      <c r="X3218" t="s">
        <v>175</v>
      </c>
      <c r="Y3218">
        <v>1956</v>
      </c>
      <c r="Z3218" t="s">
        <v>2007</v>
      </c>
      <c r="AA3218" t="s">
        <v>2014</v>
      </c>
      <c r="AB3218" t="s">
        <v>2032</v>
      </c>
      <c r="AC3218" t="s">
        <v>13353</v>
      </c>
      <c r="AD3218" t="s">
        <v>17693</v>
      </c>
      <c r="AE3218" t="s">
        <v>15077</v>
      </c>
      <c r="AF3218">
        <v>3</v>
      </c>
      <c r="AG3218" t="s">
        <v>2903</v>
      </c>
      <c r="AH3218" t="s">
        <v>2916</v>
      </c>
      <c r="AI3218">
        <v>3</v>
      </c>
      <c r="AJ3218">
        <v>1</v>
      </c>
      <c r="AK3218">
        <v>5</v>
      </c>
      <c r="AL3218">
        <v>40.46</v>
      </c>
      <c r="AO3218" t="s">
        <v>2926</v>
      </c>
      <c r="AP3218">
        <v>13650</v>
      </c>
      <c r="AR3218" t="s">
        <v>2979</v>
      </c>
      <c r="AS3218" t="s">
        <v>2017</v>
      </c>
      <c r="AT3218" t="s">
        <v>2992</v>
      </c>
      <c r="AU3218" t="s">
        <v>3012</v>
      </c>
      <c r="AV3218">
        <v>31.2</v>
      </c>
      <c r="AW3218" t="s">
        <v>192</v>
      </c>
      <c r="AX3218" t="s">
        <v>60</v>
      </c>
    </row>
    <row r="3219" spans="1:50">
      <c r="A3219" s="1" t="s">
        <v>50</v>
      </c>
      <c r="B3219" t="s">
        <v>53</v>
      </c>
      <c r="C3219" t="s">
        <v>164</v>
      </c>
      <c r="D3219" t="s">
        <v>6521</v>
      </c>
      <c r="E3219" t="s">
        <v>383</v>
      </c>
      <c r="F3219" t="s">
        <v>253</v>
      </c>
      <c r="G3219" t="s">
        <v>476</v>
      </c>
      <c r="H3219" t="s">
        <v>877</v>
      </c>
      <c r="I3219" t="s">
        <v>11519</v>
      </c>
      <c r="J3219" t="s">
        <v>11191</v>
      </c>
      <c r="K3219" t="s">
        <v>1649</v>
      </c>
      <c r="L3219">
        <v>11692</v>
      </c>
      <c r="M3219" t="s">
        <v>1670</v>
      </c>
      <c r="P3219" t="s">
        <v>12959</v>
      </c>
      <c r="Q3219" t="s">
        <v>1940</v>
      </c>
      <c r="R3219" t="s">
        <v>1960</v>
      </c>
      <c r="S3219" t="s">
        <v>1969</v>
      </c>
      <c r="T3219" t="s">
        <v>1671</v>
      </c>
      <c r="V3219" t="s">
        <v>1972</v>
      </c>
      <c r="W3219" t="s">
        <v>1984</v>
      </c>
      <c r="X3219" t="s">
        <v>383</v>
      </c>
      <c r="Y3219">
        <v>1700</v>
      </c>
      <c r="Z3219" t="s">
        <v>2007</v>
      </c>
      <c r="AA3219" t="s">
        <v>2014</v>
      </c>
      <c r="AB3219" t="s">
        <v>2032</v>
      </c>
      <c r="AC3219" t="s">
        <v>2247</v>
      </c>
      <c r="AD3219" t="s">
        <v>17694</v>
      </c>
      <c r="AE3219" t="s">
        <v>17971</v>
      </c>
      <c r="AF3219">
        <v>3</v>
      </c>
      <c r="AG3219" t="s">
        <v>2903</v>
      </c>
      <c r="AH3219" t="s">
        <v>1754</v>
      </c>
      <c r="AI3219">
        <v>7</v>
      </c>
      <c r="AJ3219">
        <v>1</v>
      </c>
      <c r="AK3219">
        <v>3</v>
      </c>
      <c r="AL3219">
        <v>36</v>
      </c>
      <c r="AO3219" t="s">
        <v>2926</v>
      </c>
      <c r="AP3219">
        <v>9036</v>
      </c>
      <c r="AR3219" t="s">
        <v>2977</v>
      </c>
      <c r="AS3219" t="s">
        <v>2982</v>
      </c>
      <c r="AT3219" t="s">
        <v>2992</v>
      </c>
      <c r="AU3219" t="s">
        <v>18636</v>
      </c>
      <c r="AV3219">
        <v>24.05</v>
      </c>
      <c r="AW3219" t="s">
        <v>199</v>
      </c>
      <c r="AX3219" t="s">
        <v>85</v>
      </c>
    </row>
    <row r="3220" spans="1:50">
      <c r="A3220" s="1" t="s">
        <v>50</v>
      </c>
      <c r="B3220" t="s">
        <v>90</v>
      </c>
      <c r="C3220" t="s">
        <v>163</v>
      </c>
      <c r="D3220" t="s">
        <v>6522</v>
      </c>
      <c r="E3220" t="s">
        <v>254</v>
      </c>
      <c r="G3220" t="s">
        <v>479</v>
      </c>
      <c r="H3220" t="s">
        <v>10845</v>
      </c>
      <c r="I3220" t="s">
        <v>11649</v>
      </c>
      <c r="J3220" t="s">
        <v>1539</v>
      </c>
      <c r="K3220" t="s">
        <v>1646</v>
      </c>
      <c r="L3220">
        <v>10301</v>
      </c>
      <c r="M3220" t="s">
        <v>1670</v>
      </c>
      <c r="P3220" t="s">
        <v>12960</v>
      </c>
      <c r="Q3220" t="s">
        <v>1940</v>
      </c>
      <c r="R3220" t="s">
        <v>1960</v>
      </c>
      <c r="T3220" t="s">
        <v>1671</v>
      </c>
      <c r="V3220" t="s">
        <v>1972</v>
      </c>
      <c r="W3220" t="s">
        <v>1984</v>
      </c>
      <c r="X3220" t="s">
        <v>254</v>
      </c>
      <c r="Y3220">
        <v>1575</v>
      </c>
      <c r="Z3220" t="s">
        <v>2010</v>
      </c>
      <c r="AC3220" t="s">
        <v>14633</v>
      </c>
      <c r="AD3220" t="s">
        <v>17695</v>
      </c>
      <c r="AE3220" t="s">
        <v>17972</v>
      </c>
      <c r="AF3220">
        <v>2</v>
      </c>
      <c r="AI3220">
        <v>1</v>
      </c>
      <c r="AJ3220">
        <v>2</v>
      </c>
      <c r="AK3220">
        <v>1</v>
      </c>
      <c r="AL3220">
        <v>97.52</v>
      </c>
      <c r="AO3220" t="s">
        <v>2926</v>
      </c>
      <c r="AP3220">
        <v>20800</v>
      </c>
      <c r="AV3220">
        <v>20.45</v>
      </c>
      <c r="AW3220" t="s">
        <v>325</v>
      </c>
      <c r="AX3220" t="s">
        <v>3056</v>
      </c>
    </row>
    <row r="3221" spans="1:50">
      <c r="A3221" s="1" t="s">
        <v>50</v>
      </c>
      <c r="B3221" t="s">
        <v>52</v>
      </c>
      <c r="C3221" t="s">
        <v>164</v>
      </c>
      <c r="D3221" t="s">
        <v>6523</v>
      </c>
      <c r="E3221" t="s">
        <v>232</v>
      </c>
      <c r="F3221" t="s">
        <v>232</v>
      </c>
      <c r="G3221" t="s">
        <v>7156</v>
      </c>
      <c r="H3221" t="s">
        <v>897</v>
      </c>
      <c r="I3221" t="s">
        <v>11650</v>
      </c>
      <c r="J3221" t="s">
        <v>1510</v>
      </c>
      <c r="K3221" t="s">
        <v>1641</v>
      </c>
      <c r="L3221">
        <v>10459</v>
      </c>
      <c r="M3221" t="s">
        <v>1670</v>
      </c>
      <c r="P3221" t="s">
        <v>12961</v>
      </c>
      <c r="Q3221" t="s">
        <v>1940</v>
      </c>
      <c r="R3221" t="s">
        <v>1962</v>
      </c>
      <c r="S3221" t="s">
        <v>1968</v>
      </c>
      <c r="T3221" t="s">
        <v>1671</v>
      </c>
      <c r="V3221" t="s">
        <v>1972</v>
      </c>
      <c r="W3221" t="s">
        <v>1984</v>
      </c>
      <c r="X3221" t="s">
        <v>232</v>
      </c>
      <c r="Y3221">
        <v>909.48</v>
      </c>
      <c r="Z3221" t="s">
        <v>2006</v>
      </c>
      <c r="AA3221" t="s">
        <v>2020</v>
      </c>
      <c r="AB3221" t="s">
        <v>2029</v>
      </c>
      <c r="AC3221" t="s">
        <v>15554</v>
      </c>
      <c r="AD3221" t="s">
        <v>17696</v>
      </c>
      <c r="AE3221" t="s">
        <v>17973</v>
      </c>
      <c r="AF3221">
        <v>20</v>
      </c>
      <c r="AG3221" t="s">
        <v>2902</v>
      </c>
      <c r="AH3221" t="s">
        <v>2915</v>
      </c>
      <c r="AI3221">
        <v>11</v>
      </c>
      <c r="AJ3221">
        <v>1</v>
      </c>
      <c r="AK3221">
        <v>1</v>
      </c>
      <c r="AL3221">
        <v>69.11</v>
      </c>
      <c r="AO3221" t="s">
        <v>2926</v>
      </c>
      <c r="AP3221">
        <v>11376</v>
      </c>
      <c r="AQ3221" t="s">
        <v>18122</v>
      </c>
      <c r="AV3221">
        <v>1</v>
      </c>
      <c r="AW3221" t="s">
        <v>232</v>
      </c>
      <c r="AX3221" t="s">
        <v>3081</v>
      </c>
    </row>
    <row r="3222" spans="1:50">
      <c r="A3222" s="1" t="s">
        <v>50</v>
      </c>
      <c r="B3222" t="s">
        <v>53</v>
      </c>
      <c r="C3222" t="s">
        <v>163</v>
      </c>
      <c r="D3222" t="s">
        <v>6524</v>
      </c>
      <c r="E3222" t="s">
        <v>365</v>
      </c>
      <c r="G3222" t="s">
        <v>438</v>
      </c>
      <c r="H3222" t="s">
        <v>10846</v>
      </c>
      <c r="I3222" t="s">
        <v>10595</v>
      </c>
      <c r="J3222" t="s">
        <v>1521</v>
      </c>
      <c r="K3222" t="s">
        <v>11743</v>
      </c>
      <c r="L3222">
        <v>11421</v>
      </c>
      <c r="M3222" t="s">
        <v>1670</v>
      </c>
      <c r="P3222" t="s">
        <v>12962</v>
      </c>
      <c r="Q3222" t="s">
        <v>1940</v>
      </c>
      <c r="R3222" t="s">
        <v>1960</v>
      </c>
      <c r="T3222" t="s">
        <v>1671</v>
      </c>
      <c r="V3222" t="s">
        <v>1972</v>
      </c>
      <c r="W3222" t="s">
        <v>1984</v>
      </c>
      <c r="X3222" t="s">
        <v>365</v>
      </c>
      <c r="Y3222">
        <v>2000</v>
      </c>
      <c r="Z3222" t="s">
        <v>2007</v>
      </c>
      <c r="AA3222" t="s">
        <v>2021</v>
      </c>
      <c r="AC3222" t="s">
        <v>15555</v>
      </c>
      <c r="AD3222" t="s">
        <v>17697</v>
      </c>
      <c r="AE3222" t="s">
        <v>17974</v>
      </c>
      <c r="AF3222">
        <v>3</v>
      </c>
      <c r="AG3222" t="s">
        <v>2904</v>
      </c>
      <c r="AH3222" t="s">
        <v>1754</v>
      </c>
      <c r="AI3222">
        <v>1</v>
      </c>
      <c r="AJ3222">
        <v>2</v>
      </c>
      <c r="AK3222">
        <v>2</v>
      </c>
      <c r="AL3222">
        <v>58.87</v>
      </c>
      <c r="AO3222" t="s">
        <v>2927</v>
      </c>
      <c r="AP3222">
        <v>15160</v>
      </c>
      <c r="AV3222">
        <v>26.05</v>
      </c>
      <c r="AW3222" t="s">
        <v>346</v>
      </c>
      <c r="AX3222" t="s">
        <v>3044</v>
      </c>
    </row>
    <row r="3223" spans="1:50">
      <c r="A3223" s="1" t="s">
        <v>50</v>
      </c>
      <c r="B3223" t="s">
        <v>62</v>
      </c>
      <c r="C3223" t="s">
        <v>164</v>
      </c>
      <c r="D3223" t="s">
        <v>6525</v>
      </c>
      <c r="E3223" t="s">
        <v>6164</v>
      </c>
      <c r="F3223" t="s">
        <v>279</v>
      </c>
      <c r="G3223" t="s">
        <v>463</v>
      </c>
      <c r="H3223" t="s">
        <v>10847</v>
      </c>
      <c r="I3223" t="s">
        <v>11651</v>
      </c>
      <c r="J3223" t="s">
        <v>1625</v>
      </c>
      <c r="K3223" t="s">
        <v>1644</v>
      </c>
      <c r="L3223">
        <v>11210</v>
      </c>
      <c r="M3223" t="s">
        <v>1670</v>
      </c>
      <c r="P3223" t="s">
        <v>12963</v>
      </c>
      <c r="Q3223" t="s">
        <v>1936</v>
      </c>
      <c r="R3223" t="s">
        <v>1960</v>
      </c>
      <c r="S3223" t="s">
        <v>1969</v>
      </c>
      <c r="T3223" t="s">
        <v>1671</v>
      </c>
      <c r="V3223" t="s">
        <v>1972</v>
      </c>
      <c r="X3223" t="s">
        <v>247</v>
      </c>
      <c r="Y3223">
        <v>1398</v>
      </c>
      <c r="Z3223" t="s">
        <v>2009</v>
      </c>
      <c r="AA3223" t="s">
        <v>2015</v>
      </c>
      <c r="AB3223" t="s">
        <v>2032</v>
      </c>
      <c r="AC3223" t="s">
        <v>14226</v>
      </c>
      <c r="AD3223" t="s">
        <v>17698</v>
      </c>
      <c r="AE3223" t="s">
        <v>17975</v>
      </c>
      <c r="AF3223">
        <v>59</v>
      </c>
      <c r="AG3223" t="s">
        <v>2902</v>
      </c>
      <c r="AH3223" t="s">
        <v>1754</v>
      </c>
      <c r="AI3223">
        <v>9</v>
      </c>
      <c r="AJ3223">
        <v>1</v>
      </c>
      <c r="AK3223">
        <v>1</v>
      </c>
      <c r="AL3223">
        <v>120.5</v>
      </c>
      <c r="AO3223" t="s">
        <v>2926</v>
      </c>
      <c r="AP3223">
        <v>19835</v>
      </c>
      <c r="AS3223" t="s">
        <v>2988</v>
      </c>
      <c r="AT3223" t="s">
        <v>2992</v>
      </c>
      <c r="AU3223" t="s">
        <v>3011</v>
      </c>
      <c r="AV3223">
        <v>48.25</v>
      </c>
      <c r="AW3223" t="s">
        <v>354</v>
      </c>
      <c r="AX3223" t="s">
        <v>3079</v>
      </c>
    </row>
    <row r="3224" spans="1:50">
      <c r="A3224" s="1" t="s">
        <v>50</v>
      </c>
      <c r="B3224" t="s">
        <v>146</v>
      </c>
      <c r="C3224" t="s">
        <v>164</v>
      </c>
      <c r="D3224" t="s">
        <v>6526</v>
      </c>
      <c r="E3224" t="s">
        <v>348</v>
      </c>
      <c r="F3224" t="s">
        <v>359</v>
      </c>
      <c r="G3224" t="s">
        <v>9294</v>
      </c>
      <c r="H3224" t="s">
        <v>10848</v>
      </c>
      <c r="I3224" t="s">
        <v>11652</v>
      </c>
      <c r="J3224">
        <v>3</v>
      </c>
      <c r="K3224" t="s">
        <v>1641</v>
      </c>
      <c r="L3224">
        <v>10466</v>
      </c>
      <c r="M3224" t="s">
        <v>1670</v>
      </c>
      <c r="Q3224" t="s">
        <v>1675</v>
      </c>
      <c r="R3224" t="s">
        <v>1958</v>
      </c>
      <c r="S3224" t="s">
        <v>1965</v>
      </c>
      <c r="T3224" t="s">
        <v>1671</v>
      </c>
      <c r="V3224" t="s">
        <v>1972</v>
      </c>
      <c r="X3224" t="s">
        <v>348</v>
      </c>
      <c r="Y3224">
        <v>2000</v>
      </c>
      <c r="Z3224" t="s">
        <v>2006</v>
      </c>
      <c r="AA3224" t="s">
        <v>2015</v>
      </c>
      <c r="AB3224" t="s">
        <v>2029</v>
      </c>
      <c r="AC3224" t="s">
        <v>15556</v>
      </c>
      <c r="AD3224" t="s">
        <v>17699</v>
      </c>
      <c r="AF3224">
        <v>3</v>
      </c>
      <c r="AG3224" t="s">
        <v>2903</v>
      </c>
      <c r="AH3224" t="s">
        <v>2918</v>
      </c>
      <c r="AI3224">
        <v>1</v>
      </c>
      <c r="AJ3224">
        <v>3</v>
      </c>
      <c r="AK3224">
        <v>5</v>
      </c>
      <c r="AL3224">
        <v>36.81</v>
      </c>
      <c r="AO3224" t="s">
        <v>2926</v>
      </c>
      <c r="AP3224">
        <v>15600</v>
      </c>
      <c r="AV3224">
        <v>0.2</v>
      </c>
      <c r="AW3224" t="s">
        <v>202</v>
      </c>
      <c r="AX3224" t="s">
        <v>3047</v>
      </c>
    </row>
    <row r="3225" spans="1:50">
      <c r="A3225" s="1" t="s">
        <v>50</v>
      </c>
      <c r="B3225" t="s">
        <v>132</v>
      </c>
      <c r="C3225" t="s">
        <v>163</v>
      </c>
      <c r="D3225" t="s">
        <v>6527</v>
      </c>
      <c r="E3225" t="s">
        <v>399</v>
      </c>
      <c r="G3225" t="s">
        <v>516</v>
      </c>
      <c r="H3225" t="s">
        <v>10849</v>
      </c>
      <c r="I3225" t="s">
        <v>1290</v>
      </c>
      <c r="J3225" t="s">
        <v>1486</v>
      </c>
      <c r="K3225" t="s">
        <v>1644</v>
      </c>
      <c r="L3225">
        <v>11221</v>
      </c>
      <c r="M3225" t="s">
        <v>1671</v>
      </c>
      <c r="P3225" t="s">
        <v>1687</v>
      </c>
      <c r="Q3225" t="s">
        <v>1937</v>
      </c>
      <c r="R3225" t="s">
        <v>1962</v>
      </c>
      <c r="T3225" t="s">
        <v>1670</v>
      </c>
      <c r="V3225" t="s">
        <v>1977</v>
      </c>
      <c r="W3225" t="s">
        <v>1984</v>
      </c>
      <c r="X3225" t="s">
        <v>266</v>
      </c>
      <c r="Y3225">
        <v>336.58</v>
      </c>
      <c r="Z3225" t="s">
        <v>2009</v>
      </c>
      <c r="AA3225" t="s">
        <v>2015</v>
      </c>
      <c r="AC3225" t="s">
        <v>15557</v>
      </c>
      <c r="AD3225" t="s">
        <v>17700</v>
      </c>
      <c r="AE3225" t="s">
        <v>17976</v>
      </c>
      <c r="AF3225">
        <v>12</v>
      </c>
      <c r="AG3225" t="s">
        <v>2902</v>
      </c>
      <c r="AH3225" t="s">
        <v>1754</v>
      </c>
      <c r="AI3225">
        <v>8</v>
      </c>
      <c r="AJ3225">
        <v>1</v>
      </c>
      <c r="AK3225">
        <v>1</v>
      </c>
      <c r="AL3225">
        <v>82.79000000000001</v>
      </c>
      <c r="AO3225" t="s">
        <v>2926</v>
      </c>
      <c r="AP3225">
        <v>14000</v>
      </c>
      <c r="AV3225" t="s">
        <v>13051</v>
      </c>
      <c r="AX3225" t="s">
        <v>3060</v>
      </c>
    </row>
    <row r="3226" spans="1:50">
      <c r="A3226" s="1" t="s">
        <v>50</v>
      </c>
      <c r="B3226" t="s">
        <v>82</v>
      </c>
      <c r="C3226" t="s">
        <v>163</v>
      </c>
      <c r="D3226" t="s">
        <v>6528</v>
      </c>
      <c r="E3226" t="s">
        <v>326</v>
      </c>
      <c r="G3226" t="s">
        <v>516</v>
      </c>
      <c r="H3226" t="s">
        <v>10849</v>
      </c>
      <c r="I3226" t="s">
        <v>1290</v>
      </c>
      <c r="J3226" t="s">
        <v>1486</v>
      </c>
      <c r="K3226" t="s">
        <v>1644</v>
      </c>
      <c r="L3226">
        <v>11221</v>
      </c>
      <c r="M3226" t="s">
        <v>1671</v>
      </c>
      <c r="Q3226" t="s">
        <v>1946</v>
      </c>
      <c r="R3226" t="s">
        <v>1964</v>
      </c>
      <c r="T3226" t="s">
        <v>1670</v>
      </c>
      <c r="V3226" t="s">
        <v>1978</v>
      </c>
      <c r="X3226" t="s">
        <v>326</v>
      </c>
      <c r="Y3226">
        <v>336.58</v>
      </c>
      <c r="Z3226" t="s">
        <v>2009</v>
      </c>
      <c r="AA3226" t="s">
        <v>2015</v>
      </c>
      <c r="AC3226" t="s">
        <v>15557</v>
      </c>
      <c r="AD3226" t="s">
        <v>17700</v>
      </c>
      <c r="AE3226" t="s">
        <v>17976</v>
      </c>
      <c r="AF3226">
        <v>12</v>
      </c>
      <c r="AG3226" t="s">
        <v>2902</v>
      </c>
      <c r="AH3226" t="s">
        <v>1754</v>
      </c>
      <c r="AI3226">
        <v>8</v>
      </c>
      <c r="AJ3226">
        <v>1</v>
      </c>
      <c r="AK3226">
        <v>1</v>
      </c>
      <c r="AL3226">
        <v>82.79000000000001</v>
      </c>
      <c r="AO3226" t="s">
        <v>2926</v>
      </c>
      <c r="AP3226">
        <v>14000</v>
      </c>
      <c r="AV3226" t="s">
        <v>13051</v>
      </c>
      <c r="AX3226" t="s">
        <v>3060</v>
      </c>
    </row>
    <row r="3227" spans="1:50">
      <c r="A3227" s="1" t="s">
        <v>50</v>
      </c>
      <c r="B3227" t="s">
        <v>132</v>
      </c>
      <c r="C3227" t="s">
        <v>164</v>
      </c>
      <c r="D3227" t="s">
        <v>6529</v>
      </c>
      <c r="E3227" t="s">
        <v>348</v>
      </c>
      <c r="F3227" t="s">
        <v>394</v>
      </c>
      <c r="G3227" t="s">
        <v>516</v>
      </c>
      <c r="H3227" t="s">
        <v>10849</v>
      </c>
      <c r="I3227" t="s">
        <v>1290</v>
      </c>
      <c r="J3227" t="s">
        <v>1486</v>
      </c>
      <c r="K3227" t="s">
        <v>1644</v>
      </c>
      <c r="L3227">
        <v>11221</v>
      </c>
      <c r="M3227" t="s">
        <v>1670</v>
      </c>
      <c r="Q3227" t="s">
        <v>1937</v>
      </c>
      <c r="R3227" t="s">
        <v>1962</v>
      </c>
      <c r="S3227" t="s">
        <v>1968</v>
      </c>
      <c r="T3227" t="s">
        <v>1670</v>
      </c>
      <c r="V3227" t="s">
        <v>1972</v>
      </c>
      <c r="W3227" t="s">
        <v>1984</v>
      </c>
      <c r="X3227" t="s">
        <v>394</v>
      </c>
      <c r="Y3227">
        <v>336.58</v>
      </c>
      <c r="Z3227" t="s">
        <v>2009</v>
      </c>
      <c r="AA3227" t="s">
        <v>2015</v>
      </c>
      <c r="AB3227" t="s">
        <v>2031</v>
      </c>
      <c r="AC3227" t="s">
        <v>15557</v>
      </c>
      <c r="AD3227" t="s">
        <v>17700</v>
      </c>
      <c r="AE3227" t="s">
        <v>17976</v>
      </c>
      <c r="AF3227">
        <v>12</v>
      </c>
      <c r="AG3227" t="s">
        <v>2902</v>
      </c>
      <c r="AH3227" t="s">
        <v>1754</v>
      </c>
      <c r="AI3227">
        <v>7</v>
      </c>
      <c r="AJ3227">
        <v>1</v>
      </c>
      <c r="AK3227">
        <v>1</v>
      </c>
      <c r="AL3227">
        <v>85.05</v>
      </c>
      <c r="AO3227" t="s">
        <v>2926</v>
      </c>
      <c r="AP3227">
        <v>14000</v>
      </c>
      <c r="AV3227">
        <v>0.08</v>
      </c>
      <c r="AW3227" t="s">
        <v>367</v>
      </c>
      <c r="AX3227" t="s">
        <v>3060</v>
      </c>
    </row>
    <row r="3228" spans="1:50">
      <c r="A3228" s="1" t="s">
        <v>50</v>
      </c>
      <c r="B3228" t="s">
        <v>132</v>
      </c>
      <c r="C3228" t="s">
        <v>163</v>
      </c>
      <c r="D3228" t="s">
        <v>6530</v>
      </c>
      <c r="E3228" t="s">
        <v>348</v>
      </c>
      <c r="G3228" t="s">
        <v>516</v>
      </c>
      <c r="H3228" t="s">
        <v>10849</v>
      </c>
      <c r="I3228" t="s">
        <v>1290</v>
      </c>
      <c r="J3228" t="s">
        <v>1486</v>
      </c>
      <c r="K3228" t="s">
        <v>1644</v>
      </c>
      <c r="L3228">
        <v>11221</v>
      </c>
      <c r="M3228" t="s">
        <v>1670</v>
      </c>
      <c r="Q3228" t="s">
        <v>1938</v>
      </c>
      <c r="R3228" t="s">
        <v>1961</v>
      </c>
      <c r="T3228" t="s">
        <v>1670</v>
      </c>
      <c r="V3228" t="s">
        <v>1972</v>
      </c>
      <c r="X3228" t="s">
        <v>394</v>
      </c>
      <c r="Y3228">
        <v>336.58</v>
      </c>
      <c r="Z3228" t="s">
        <v>2009</v>
      </c>
      <c r="AA3228" t="s">
        <v>2015</v>
      </c>
      <c r="AC3228" t="s">
        <v>15557</v>
      </c>
      <c r="AD3228" t="s">
        <v>17700</v>
      </c>
      <c r="AE3228" t="s">
        <v>17976</v>
      </c>
      <c r="AF3228">
        <v>12</v>
      </c>
      <c r="AG3228" t="s">
        <v>2902</v>
      </c>
      <c r="AI3228">
        <v>8</v>
      </c>
      <c r="AJ3228">
        <v>1</v>
      </c>
      <c r="AK3228">
        <v>1</v>
      </c>
      <c r="AL3228">
        <v>85.05</v>
      </c>
      <c r="AO3228" t="s">
        <v>2926</v>
      </c>
      <c r="AP3228">
        <v>14000</v>
      </c>
      <c r="AV3228" t="s">
        <v>13051</v>
      </c>
      <c r="AX3228" t="s">
        <v>3060</v>
      </c>
    </row>
    <row r="3229" spans="1:50">
      <c r="A3229" s="1" t="s">
        <v>50</v>
      </c>
      <c r="B3229" t="s">
        <v>132</v>
      </c>
      <c r="C3229" t="s">
        <v>163</v>
      </c>
      <c r="D3229" t="s">
        <v>6531</v>
      </c>
      <c r="E3229" t="s">
        <v>348</v>
      </c>
      <c r="G3229" t="s">
        <v>516</v>
      </c>
      <c r="H3229" t="s">
        <v>10849</v>
      </c>
      <c r="I3229" t="s">
        <v>1290</v>
      </c>
      <c r="J3229" t="s">
        <v>1486</v>
      </c>
      <c r="K3229" t="s">
        <v>1644</v>
      </c>
      <c r="L3229">
        <v>11221</v>
      </c>
      <c r="M3229" t="s">
        <v>1670</v>
      </c>
      <c r="P3229" t="s">
        <v>12964</v>
      </c>
      <c r="Q3229" t="s">
        <v>1939</v>
      </c>
      <c r="R3229" t="s">
        <v>1960</v>
      </c>
      <c r="T3229" t="s">
        <v>1670</v>
      </c>
      <c r="V3229" t="s">
        <v>1972</v>
      </c>
      <c r="W3229" t="s">
        <v>1984</v>
      </c>
      <c r="X3229" t="s">
        <v>394</v>
      </c>
      <c r="Y3229">
        <v>336.58</v>
      </c>
      <c r="Z3229" t="s">
        <v>2009</v>
      </c>
      <c r="AA3229" t="s">
        <v>2015</v>
      </c>
      <c r="AC3229" t="s">
        <v>15557</v>
      </c>
      <c r="AD3229" t="s">
        <v>17700</v>
      </c>
      <c r="AE3229" t="s">
        <v>17976</v>
      </c>
      <c r="AF3229">
        <v>12</v>
      </c>
      <c r="AG3229" t="s">
        <v>2902</v>
      </c>
      <c r="AH3229" t="s">
        <v>1754</v>
      </c>
      <c r="AI3229">
        <v>8</v>
      </c>
      <c r="AJ3229">
        <v>1</v>
      </c>
      <c r="AK3229">
        <v>1</v>
      </c>
      <c r="AL3229">
        <v>85.05</v>
      </c>
      <c r="AO3229" t="s">
        <v>2926</v>
      </c>
      <c r="AP3229">
        <v>14000</v>
      </c>
      <c r="AV3229" t="s">
        <v>13051</v>
      </c>
      <c r="AX3229" t="s">
        <v>3060</v>
      </c>
    </row>
    <row r="3230" spans="1:50">
      <c r="A3230" s="1" t="s">
        <v>50</v>
      </c>
      <c r="B3230" t="s">
        <v>119</v>
      </c>
      <c r="C3230" t="s">
        <v>163</v>
      </c>
      <c r="D3230" t="s">
        <v>6532</v>
      </c>
      <c r="E3230" t="s">
        <v>224</v>
      </c>
      <c r="G3230" t="s">
        <v>640</v>
      </c>
      <c r="H3230" t="s">
        <v>890</v>
      </c>
      <c r="I3230" t="s">
        <v>11653</v>
      </c>
      <c r="J3230" t="s">
        <v>11013</v>
      </c>
      <c r="K3230" t="s">
        <v>1644</v>
      </c>
      <c r="L3230">
        <v>11212</v>
      </c>
      <c r="M3230" t="s">
        <v>1670</v>
      </c>
      <c r="P3230" t="s">
        <v>1675</v>
      </c>
      <c r="Q3230" t="s">
        <v>1941</v>
      </c>
      <c r="R3230" t="s">
        <v>1960</v>
      </c>
      <c r="T3230" t="s">
        <v>1671</v>
      </c>
      <c r="V3230" t="s">
        <v>1972</v>
      </c>
      <c r="W3230" t="s">
        <v>1984</v>
      </c>
      <c r="X3230" t="s">
        <v>249</v>
      </c>
      <c r="Y3230">
        <v>254</v>
      </c>
      <c r="Z3230" t="s">
        <v>2009</v>
      </c>
      <c r="AA3230" t="s">
        <v>2028</v>
      </c>
      <c r="AC3230" t="s">
        <v>15558</v>
      </c>
      <c r="AD3230" t="s">
        <v>17701</v>
      </c>
      <c r="AE3230" t="s">
        <v>17977</v>
      </c>
      <c r="AF3230">
        <v>162</v>
      </c>
      <c r="AG3230" t="s">
        <v>2913</v>
      </c>
      <c r="AH3230" t="s">
        <v>2922</v>
      </c>
      <c r="AI3230">
        <v>32</v>
      </c>
      <c r="AJ3230">
        <v>1</v>
      </c>
      <c r="AK3230">
        <v>2</v>
      </c>
      <c r="AL3230">
        <v>49.03</v>
      </c>
      <c r="AO3230" t="s">
        <v>2926</v>
      </c>
      <c r="AP3230">
        <v>10188</v>
      </c>
      <c r="AV3230">
        <v>34.7</v>
      </c>
      <c r="AW3230" t="s">
        <v>388</v>
      </c>
      <c r="AX3230" t="s">
        <v>3060</v>
      </c>
    </row>
    <row r="3231" spans="1:50">
      <c r="A3231" s="1" t="s">
        <v>50</v>
      </c>
      <c r="B3231" t="s">
        <v>57</v>
      </c>
      <c r="C3231" t="s">
        <v>163</v>
      </c>
      <c r="D3231" t="s">
        <v>6533</v>
      </c>
      <c r="E3231" t="s">
        <v>265</v>
      </c>
      <c r="G3231" t="s">
        <v>594</v>
      </c>
      <c r="H3231" t="s">
        <v>780</v>
      </c>
      <c r="I3231" t="s">
        <v>1112</v>
      </c>
      <c r="J3231" t="s">
        <v>1588</v>
      </c>
      <c r="K3231" t="s">
        <v>1641</v>
      </c>
      <c r="L3231">
        <v>10453</v>
      </c>
      <c r="M3231" t="s">
        <v>1670</v>
      </c>
      <c r="Q3231" t="s">
        <v>1938</v>
      </c>
      <c r="R3231" t="s">
        <v>1961</v>
      </c>
      <c r="T3231" t="s">
        <v>1670</v>
      </c>
      <c r="V3231" t="s">
        <v>1972</v>
      </c>
      <c r="X3231" t="s">
        <v>283</v>
      </c>
      <c r="Y3231">
        <v>979</v>
      </c>
      <c r="Z3231" t="s">
        <v>2006</v>
      </c>
      <c r="AA3231" t="s">
        <v>2015</v>
      </c>
      <c r="AC3231" t="s">
        <v>2260</v>
      </c>
      <c r="AD3231" t="s">
        <v>17702</v>
      </c>
      <c r="AE3231" t="s">
        <v>2687</v>
      </c>
      <c r="AF3231">
        <v>167</v>
      </c>
      <c r="AG3231" t="s">
        <v>2902</v>
      </c>
      <c r="AH3231" t="s">
        <v>1754</v>
      </c>
      <c r="AI3231">
        <v>12</v>
      </c>
      <c r="AJ3231">
        <v>3</v>
      </c>
      <c r="AK3231">
        <v>3</v>
      </c>
      <c r="AL3231">
        <v>31.92</v>
      </c>
      <c r="AO3231" t="s">
        <v>2927</v>
      </c>
      <c r="AP3231">
        <v>11040</v>
      </c>
      <c r="AV3231" t="s">
        <v>13051</v>
      </c>
      <c r="AX3231" t="s">
        <v>3046</v>
      </c>
    </row>
    <row r="3232" spans="1:50">
      <c r="A3232" s="1" t="s">
        <v>50</v>
      </c>
      <c r="B3232" t="s">
        <v>57</v>
      </c>
      <c r="C3232" t="s">
        <v>163</v>
      </c>
      <c r="D3232" t="s">
        <v>6534</v>
      </c>
      <c r="E3232" t="s">
        <v>265</v>
      </c>
      <c r="G3232" t="s">
        <v>594</v>
      </c>
      <c r="H3232" t="s">
        <v>780</v>
      </c>
      <c r="I3232" t="s">
        <v>1112</v>
      </c>
      <c r="J3232" t="s">
        <v>1588</v>
      </c>
      <c r="K3232" t="s">
        <v>1641</v>
      </c>
      <c r="L3232">
        <v>10453</v>
      </c>
      <c r="M3232" t="s">
        <v>1670</v>
      </c>
      <c r="P3232" t="s">
        <v>1677</v>
      </c>
      <c r="Q3232" t="s">
        <v>1939</v>
      </c>
      <c r="R3232" t="s">
        <v>1960</v>
      </c>
      <c r="T3232" t="s">
        <v>1670</v>
      </c>
      <c r="V3232" t="s">
        <v>1972</v>
      </c>
      <c r="X3232" t="s">
        <v>283</v>
      </c>
      <c r="Y3232">
        <v>979</v>
      </c>
      <c r="Z3232" t="s">
        <v>2006</v>
      </c>
      <c r="AA3232" t="s">
        <v>2015</v>
      </c>
      <c r="AC3232" t="s">
        <v>2260</v>
      </c>
      <c r="AD3232" t="s">
        <v>17702</v>
      </c>
      <c r="AE3232" t="s">
        <v>2687</v>
      </c>
      <c r="AF3232">
        <v>167</v>
      </c>
      <c r="AG3232" t="s">
        <v>2902</v>
      </c>
      <c r="AH3232" t="s">
        <v>1754</v>
      </c>
      <c r="AI3232">
        <v>12</v>
      </c>
      <c r="AJ3232">
        <v>3</v>
      </c>
      <c r="AK3232">
        <v>3</v>
      </c>
      <c r="AL3232">
        <v>31.92</v>
      </c>
      <c r="AO3232" t="s">
        <v>2927</v>
      </c>
      <c r="AP3232">
        <v>11040</v>
      </c>
      <c r="AV3232" t="s">
        <v>13051</v>
      </c>
      <c r="AX3232" t="s">
        <v>3046</v>
      </c>
    </row>
    <row r="3233" spans="1:50">
      <c r="A3233" s="1" t="s">
        <v>50</v>
      </c>
      <c r="B3233" t="s">
        <v>129</v>
      </c>
      <c r="C3233" t="s">
        <v>164</v>
      </c>
      <c r="D3233" t="s">
        <v>6535</v>
      </c>
      <c r="E3233" t="s">
        <v>6774</v>
      </c>
      <c r="F3233" t="s">
        <v>227</v>
      </c>
      <c r="G3233" t="s">
        <v>461</v>
      </c>
      <c r="H3233" t="s">
        <v>10850</v>
      </c>
      <c r="I3233" t="s">
        <v>11654</v>
      </c>
      <c r="J3233">
        <v>1</v>
      </c>
      <c r="K3233" t="s">
        <v>1644</v>
      </c>
      <c r="L3233">
        <v>11208</v>
      </c>
      <c r="M3233" t="s">
        <v>1670</v>
      </c>
      <c r="P3233" t="s">
        <v>12965</v>
      </c>
      <c r="Q3233" t="s">
        <v>1940</v>
      </c>
      <c r="R3233" t="s">
        <v>1960</v>
      </c>
      <c r="S3233" t="s">
        <v>1971</v>
      </c>
      <c r="T3233" t="s">
        <v>1671</v>
      </c>
      <c r="V3233" t="s">
        <v>1972</v>
      </c>
      <c r="X3233" t="s">
        <v>1992</v>
      </c>
      <c r="Y3233">
        <v>1550</v>
      </c>
      <c r="Z3233" t="s">
        <v>2009</v>
      </c>
      <c r="AA3233" t="s">
        <v>2023</v>
      </c>
      <c r="AB3233" t="s">
        <v>2032</v>
      </c>
      <c r="AC3233" t="s">
        <v>15559</v>
      </c>
      <c r="AD3233" t="s">
        <v>17703</v>
      </c>
      <c r="AE3233" t="s">
        <v>17978</v>
      </c>
      <c r="AF3233">
        <v>4</v>
      </c>
      <c r="AG3233" t="s">
        <v>2903</v>
      </c>
      <c r="AH3233" t="s">
        <v>2916</v>
      </c>
      <c r="AI3233">
        <v>3</v>
      </c>
      <c r="AJ3233">
        <v>1</v>
      </c>
      <c r="AK3233">
        <v>2</v>
      </c>
      <c r="AL3233">
        <v>112.61</v>
      </c>
      <c r="AO3233" t="s">
        <v>2926</v>
      </c>
      <c r="AP3233">
        <v>23400</v>
      </c>
      <c r="AQ3233" t="s">
        <v>2953</v>
      </c>
      <c r="AR3233" t="s">
        <v>2979</v>
      </c>
      <c r="AS3233" t="s">
        <v>2988</v>
      </c>
      <c r="AT3233" t="s">
        <v>2992</v>
      </c>
      <c r="AU3233" t="s">
        <v>18629</v>
      </c>
      <c r="AV3233">
        <v>18</v>
      </c>
      <c r="AW3233" t="s">
        <v>227</v>
      </c>
      <c r="AX3233" t="s">
        <v>3079</v>
      </c>
    </row>
    <row r="3234" spans="1:50">
      <c r="A3234" s="1" t="s">
        <v>50</v>
      </c>
      <c r="B3234" t="s">
        <v>3155</v>
      </c>
      <c r="C3234" t="s">
        <v>164</v>
      </c>
      <c r="D3234" t="s">
        <v>6536</v>
      </c>
      <c r="E3234" t="s">
        <v>300</v>
      </c>
      <c r="F3234" t="s">
        <v>254</v>
      </c>
      <c r="G3234" t="s">
        <v>9295</v>
      </c>
      <c r="H3234" t="s">
        <v>10851</v>
      </c>
      <c r="I3234" t="s">
        <v>11655</v>
      </c>
      <c r="J3234" t="s">
        <v>11793</v>
      </c>
      <c r="K3234" t="s">
        <v>1644</v>
      </c>
      <c r="L3234">
        <v>11212</v>
      </c>
      <c r="M3234" t="s">
        <v>1670</v>
      </c>
      <c r="P3234" t="s">
        <v>12966</v>
      </c>
      <c r="Q3234" t="s">
        <v>1936</v>
      </c>
      <c r="R3234" t="s">
        <v>1960</v>
      </c>
      <c r="S3234" t="s">
        <v>1969</v>
      </c>
      <c r="V3234" t="s">
        <v>1972</v>
      </c>
      <c r="X3234" t="s">
        <v>6156</v>
      </c>
      <c r="Y3234">
        <v>1956</v>
      </c>
      <c r="Z3234" t="s">
        <v>2009</v>
      </c>
      <c r="AA3234" t="s">
        <v>2018</v>
      </c>
      <c r="AB3234" t="s">
        <v>2037</v>
      </c>
      <c r="AC3234" t="s">
        <v>15560</v>
      </c>
      <c r="AD3234" t="s">
        <v>17704</v>
      </c>
      <c r="AE3234" t="s">
        <v>17979</v>
      </c>
      <c r="AF3234">
        <v>6</v>
      </c>
      <c r="AH3234" t="s">
        <v>2916</v>
      </c>
      <c r="AI3234">
        <v>2</v>
      </c>
      <c r="AJ3234">
        <v>2</v>
      </c>
      <c r="AK3234">
        <v>3</v>
      </c>
      <c r="AL3234">
        <v>88.38</v>
      </c>
      <c r="AO3234" t="s">
        <v>2926</v>
      </c>
      <c r="AP3234">
        <v>26000</v>
      </c>
      <c r="AQ3234" t="s">
        <v>18437</v>
      </c>
      <c r="AV3234">
        <v>8.949999999999999</v>
      </c>
      <c r="AW3234" t="s">
        <v>376</v>
      </c>
      <c r="AX3234" t="s">
        <v>3069</v>
      </c>
    </row>
    <row r="3235" spans="1:50">
      <c r="A3235" s="1" t="s">
        <v>50</v>
      </c>
      <c r="B3235" t="s">
        <v>3155</v>
      </c>
      <c r="C3235" t="s">
        <v>163</v>
      </c>
      <c r="D3235" t="s">
        <v>6537</v>
      </c>
      <c r="E3235" t="s">
        <v>180</v>
      </c>
      <c r="G3235" t="s">
        <v>7696</v>
      </c>
      <c r="H3235" t="s">
        <v>10852</v>
      </c>
      <c r="I3235" t="s">
        <v>11656</v>
      </c>
      <c r="J3235" t="s">
        <v>1484</v>
      </c>
      <c r="K3235" t="s">
        <v>1644</v>
      </c>
      <c r="L3235">
        <v>11233</v>
      </c>
      <c r="M3235" t="s">
        <v>1670</v>
      </c>
      <c r="P3235" t="s">
        <v>12967</v>
      </c>
      <c r="Q3235" t="s">
        <v>1936</v>
      </c>
      <c r="R3235" t="s">
        <v>1960</v>
      </c>
      <c r="T3235" t="s">
        <v>1671</v>
      </c>
      <c r="V3235" t="s">
        <v>1972</v>
      </c>
      <c r="X3235" t="s">
        <v>266</v>
      </c>
      <c r="Y3235">
        <v>933.24</v>
      </c>
      <c r="Z3235" t="s">
        <v>2009</v>
      </c>
      <c r="AA3235" t="s">
        <v>2020</v>
      </c>
      <c r="AC3235" t="s">
        <v>15561</v>
      </c>
      <c r="AD3235" t="s">
        <v>17705</v>
      </c>
      <c r="AE3235" t="s">
        <v>17980</v>
      </c>
      <c r="AF3235">
        <v>8</v>
      </c>
      <c r="AG3235" t="s">
        <v>2909</v>
      </c>
      <c r="AH3235" t="s">
        <v>2915</v>
      </c>
      <c r="AI3235">
        <v>20</v>
      </c>
      <c r="AJ3235">
        <v>2</v>
      </c>
      <c r="AK3235">
        <v>1</v>
      </c>
      <c r="AL3235">
        <v>40.42</v>
      </c>
      <c r="AO3235" t="s">
        <v>2926</v>
      </c>
      <c r="AP3235">
        <v>8400</v>
      </c>
      <c r="AV3235">
        <v>18.06</v>
      </c>
      <c r="AW3235" t="s">
        <v>324</v>
      </c>
      <c r="AX3235" t="s">
        <v>3068</v>
      </c>
    </row>
    <row r="3236" spans="1:50">
      <c r="A3236" s="1" t="s">
        <v>50</v>
      </c>
      <c r="B3236" t="s">
        <v>123</v>
      </c>
      <c r="C3236" t="s">
        <v>164</v>
      </c>
      <c r="D3236" t="s">
        <v>6538</v>
      </c>
      <c r="E3236" t="s">
        <v>6196</v>
      </c>
      <c r="F3236" t="s">
        <v>359</v>
      </c>
      <c r="G3236" t="s">
        <v>746</v>
      </c>
      <c r="H3236" t="s">
        <v>10853</v>
      </c>
      <c r="I3236" t="s">
        <v>10261</v>
      </c>
      <c r="J3236" t="s">
        <v>1551</v>
      </c>
      <c r="K3236" t="s">
        <v>1641</v>
      </c>
      <c r="L3236">
        <v>10463</v>
      </c>
      <c r="M3236" t="s">
        <v>1670</v>
      </c>
      <c r="Q3236" t="s">
        <v>1939</v>
      </c>
      <c r="R3236" t="s">
        <v>1962</v>
      </c>
      <c r="S3236" t="s">
        <v>1968</v>
      </c>
      <c r="T3236" t="s">
        <v>1671</v>
      </c>
      <c r="V3236" t="s">
        <v>1972</v>
      </c>
      <c r="X3236" t="s">
        <v>304</v>
      </c>
      <c r="Y3236">
        <v>211</v>
      </c>
      <c r="Z3236" t="s">
        <v>2006</v>
      </c>
      <c r="AA3236" t="s">
        <v>2020</v>
      </c>
      <c r="AB3236" t="s">
        <v>2030</v>
      </c>
      <c r="AC3236" t="s">
        <v>15562</v>
      </c>
      <c r="AD3236" t="s">
        <v>17706</v>
      </c>
      <c r="AE3236" t="s">
        <v>17981</v>
      </c>
      <c r="AF3236">
        <v>67</v>
      </c>
      <c r="AG3236" t="s">
        <v>2902</v>
      </c>
      <c r="AH3236" t="s">
        <v>2921</v>
      </c>
      <c r="AI3236">
        <v>1</v>
      </c>
      <c r="AJ3236">
        <v>1</v>
      </c>
      <c r="AK3236">
        <v>1</v>
      </c>
      <c r="AL3236">
        <v>59.78</v>
      </c>
      <c r="AO3236" t="s">
        <v>2926</v>
      </c>
      <c r="AP3236">
        <v>9840</v>
      </c>
      <c r="AV3236">
        <v>0.1</v>
      </c>
      <c r="AW3236" t="s">
        <v>359</v>
      </c>
      <c r="AX3236" t="s">
        <v>3054</v>
      </c>
    </row>
    <row r="3237" spans="1:50">
      <c r="A3237" s="1" t="s">
        <v>50</v>
      </c>
      <c r="B3237" t="s">
        <v>99</v>
      </c>
      <c r="C3237" t="s">
        <v>164</v>
      </c>
      <c r="D3237" t="s">
        <v>6539</v>
      </c>
      <c r="E3237" t="s">
        <v>211</v>
      </c>
      <c r="F3237" t="s">
        <v>390</v>
      </c>
      <c r="G3237" t="s">
        <v>9296</v>
      </c>
      <c r="H3237" t="s">
        <v>10854</v>
      </c>
      <c r="I3237" t="s">
        <v>11657</v>
      </c>
      <c r="J3237" t="s">
        <v>1508</v>
      </c>
      <c r="K3237" t="s">
        <v>1647</v>
      </c>
      <c r="L3237">
        <v>11428</v>
      </c>
      <c r="M3237" t="s">
        <v>1670</v>
      </c>
      <c r="P3237" t="s">
        <v>12968</v>
      </c>
      <c r="Q3237" t="s">
        <v>1940</v>
      </c>
      <c r="R3237" t="s">
        <v>1960</v>
      </c>
      <c r="S3237" t="s">
        <v>1969</v>
      </c>
      <c r="T3237" t="s">
        <v>1670</v>
      </c>
      <c r="V3237" t="s">
        <v>1972</v>
      </c>
      <c r="W3237" t="s">
        <v>1984</v>
      </c>
      <c r="X3237" t="s">
        <v>211</v>
      </c>
      <c r="Y3237">
        <v>1515</v>
      </c>
      <c r="Z3237" t="s">
        <v>2007</v>
      </c>
      <c r="AA3237" t="s">
        <v>2014</v>
      </c>
      <c r="AB3237" t="s">
        <v>2032</v>
      </c>
      <c r="AC3237" t="s">
        <v>15563</v>
      </c>
      <c r="AD3237" t="s">
        <v>17707</v>
      </c>
      <c r="AE3237" t="s">
        <v>17982</v>
      </c>
      <c r="AF3237">
        <v>9</v>
      </c>
      <c r="AG3237" t="s">
        <v>2902</v>
      </c>
      <c r="AH3237" t="s">
        <v>1754</v>
      </c>
      <c r="AI3237">
        <v>5</v>
      </c>
      <c r="AJ3237">
        <v>2</v>
      </c>
      <c r="AK3237">
        <v>2</v>
      </c>
      <c r="AL3237">
        <v>17.3</v>
      </c>
      <c r="AO3237" t="s">
        <v>2926</v>
      </c>
      <c r="AP3237">
        <v>4342</v>
      </c>
      <c r="AS3237" t="s">
        <v>2983</v>
      </c>
      <c r="AT3237" t="s">
        <v>2992</v>
      </c>
      <c r="AU3237" t="s">
        <v>18637</v>
      </c>
      <c r="AV3237">
        <v>16.79</v>
      </c>
      <c r="AW3237" t="s">
        <v>230</v>
      </c>
      <c r="AX3237" t="s">
        <v>89</v>
      </c>
    </row>
    <row r="3238" spans="1:50">
      <c r="A3238" s="1" t="s">
        <v>50</v>
      </c>
      <c r="B3238" t="s">
        <v>119</v>
      </c>
      <c r="C3238" t="s">
        <v>164</v>
      </c>
      <c r="D3238" t="s">
        <v>6540</v>
      </c>
      <c r="E3238" t="s">
        <v>2003</v>
      </c>
      <c r="F3238" t="s">
        <v>306</v>
      </c>
      <c r="G3238" t="s">
        <v>9297</v>
      </c>
      <c r="H3238" t="s">
        <v>10855</v>
      </c>
      <c r="I3238" t="s">
        <v>11658</v>
      </c>
      <c r="J3238" t="s">
        <v>11794</v>
      </c>
      <c r="K3238" t="s">
        <v>1644</v>
      </c>
      <c r="L3238">
        <v>11207</v>
      </c>
      <c r="M3238" t="s">
        <v>1670</v>
      </c>
      <c r="P3238" t="s">
        <v>12969</v>
      </c>
      <c r="Q3238" t="s">
        <v>1936</v>
      </c>
      <c r="R3238" t="s">
        <v>1960</v>
      </c>
      <c r="S3238" t="s">
        <v>1969</v>
      </c>
      <c r="T3238" t="s">
        <v>1671</v>
      </c>
      <c r="V3238" t="s">
        <v>1972</v>
      </c>
      <c r="W3238" t="s">
        <v>1985</v>
      </c>
      <c r="X3238" t="s">
        <v>352</v>
      </c>
      <c r="Y3238">
        <v>906</v>
      </c>
      <c r="Z3238" t="s">
        <v>2009</v>
      </c>
      <c r="AA3238" t="s">
        <v>2023</v>
      </c>
      <c r="AB3238" t="s">
        <v>2032</v>
      </c>
      <c r="AC3238" t="s">
        <v>15564</v>
      </c>
      <c r="AD3238" t="s">
        <v>17708</v>
      </c>
      <c r="AE3238" t="s">
        <v>17983</v>
      </c>
      <c r="AF3238">
        <v>7</v>
      </c>
      <c r="AG3238" t="s">
        <v>2902</v>
      </c>
      <c r="AH3238" t="s">
        <v>1754</v>
      </c>
      <c r="AI3238">
        <v>3</v>
      </c>
      <c r="AJ3238">
        <v>2</v>
      </c>
      <c r="AK3238">
        <v>1</v>
      </c>
      <c r="AL3238">
        <v>63.73</v>
      </c>
      <c r="AO3238" t="s">
        <v>2926</v>
      </c>
      <c r="AP3238">
        <v>13244</v>
      </c>
      <c r="AQ3238" t="s">
        <v>18059</v>
      </c>
      <c r="AV3238">
        <v>23.5</v>
      </c>
      <c r="AW3238" t="s">
        <v>371</v>
      </c>
      <c r="AX3238" t="s">
        <v>3079</v>
      </c>
    </row>
    <row r="3239" spans="1:50">
      <c r="A3239" s="1" t="s">
        <v>50</v>
      </c>
      <c r="B3239" t="s">
        <v>63</v>
      </c>
      <c r="C3239" t="s">
        <v>163</v>
      </c>
      <c r="D3239" t="s">
        <v>6541</v>
      </c>
      <c r="E3239" t="s">
        <v>178</v>
      </c>
      <c r="G3239" t="s">
        <v>7163</v>
      </c>
      <c r="H3239" t="s">
        <v>10834</v>
      </c>
      <c r="I3239" t="s">
        <v>11639</v>
      </c>
      <c r="J3239" t="s">
        <v>1517</v>
      </c>
      <c r="K3239" t="s">
        <v>1641</v>
      </c>
      <c r="L3239">
        <v>10451</v>
      </c>
      <c r="M3239" t="s">
        <v>1670</v>
      </c>
      <c r="P3239" t="s">
        <v>12970</v>
      </c>
      <c r="Q3239" t="s">
        <v>1936</v>
      </c>
      <c r="R3239" t="s">
        <v>1960</v>
      </c>
      <c r="T3239" t="s">
        <v>1671</v>
      </c>
      <c r="V3239" t="s">
        <v>1972</v>
      </c>
      <c r="X3239" t="s">
        <v>13052</v>
      </c>
      <c r="Y3239">
        <v>1640</v>
      </c>
      <c r="Z3239" t="s">
        <v>2006</v>
      </c>
      <c r="AA3239" t="s">
        <v>2020</v>
      </c>
      <c r="AC3239" t="s">
        <v>15542</v>
      </c>
      <c r="AD3239" t="s">
        <v>17709</v>
      </c>
      <c r="AE3239" t="s">
        <v>17960</v>
      </c>
      <c r="AF3239" t="s">
        <v>13051</v>
      </c>
      <c r="AG3239" t="s">
        <v>2907</v>
      </c>
      <c r="AH3239" t="s">
        <v>2921</v>
      </c>
      <c r="AI3239">
        <v>2</v>
      </c>
      <c r="AJ3239">
        <v>3</v>
      </c>
      <c r="AK3239">
        <v>1</v>
      </c>
      <c r="AL3239">
        <v>82.52</v>
      </c>
      <c r="AP3239">
        <v>20712</v>
      </c>
      <c r="AV3239">
        <v>8.9</v>
      </c>
      <c r="AW3239" t="s">
        <v>171</v>
      </c>
      <c r="AX3239" t="s">
        <v>3046</v>
      </c>
    </row>
    <row r="3240" spans="1:50">
      <c r="A3240" s="1" t="s">
        <v>50</v>
      </c>
      <c r="B3240" t="s">
        <v>120</v>
      </c>
      <c r="C3240" t="s">
        <v>163</v>
      </c>
      <c r="D3240" t="s">
        <v>6542</v>
      </c>
      <c r="E3240" t="s">
        <v>177</v>
      </c>
      <c r="G3240" t="s">
        <v>6996</v>
      </c>
      <c r="H3240" t="s">
        <v>10856</v>
      </c>
      <c r="I3240" t="s">
        <v>11659</v>
      </c>
      <c r="J3240">
        <v>212</v>
      </c>
      <c r="K3240" t="s">
        <v>1644</v>
      </c>
      <c r="L3240">
        <v>11208</v>
      </c>
      <c r="M3240" t="s">
        <v>1670</v>
      </c>
      <c r="P3240" t="s">
        <v>12971</v>
      </c>
      <c r="Q3240" t="s">
        <v>1936</v>
      </c>
      <c r="R3240" t="s">
        <v>1961</v>
      </c>
      <c r="T3240" t="s">
        <v>1671</v>
      </c>
      <c r="V3240" t="s">
        <v>1974</v>
      </c>
      <c r="W3240" t="s">
        <v>1984</v>
      </c>
      <c r="X3240" t="s">
        <v>6191</v>
      </c>
      <c r="Y3240">
        <v>1092</v>
      </c>
      <c r="Z3240" t="s">
        <v>2009</v>
      </c>
      <c r="AA3240" t="s">
        <v>2011</v>
      </c>
      <c r="AC3240" t="s">
        <v>15565</v>
      </c>
      <c r="AD3240" t="s">
        <v>17710</v>
      </c>
      <c r="AE3240" t="s">
        <v>17984</v>
      </c>
      <c r="AF3240">
        <v>323</v>
      </c>
      <c r="AG3240" t="s">
        <v>2902</v>
      </c>
      <c r="AH3240" t="s">
        <v>1754</v>
      </c>
      <c r="AI3240">
        <v>3</v>
      </c>
      <c r="AJ3240">
        <v>1</v>
      </c>
      <c r="AK3240">
        <v>1</v>
      </c>
      <c r="AL3240">
        <v>169.44</v>
      </c>
      <c r="AO3240" t="s">
        <v>2926</v>
      </c>
      <c r="AP3240">
        <v>28652</v>
      </c>
      <c r="AV3240">
        <v>12</v>
      </c>
      <c r="AW3240" t="s">
        <v>3039</v>
      </c>
      <c r="AX3240" t="s">
        <v>3059</v>
      </c>
    </row>
    <row r="3241" spans="1:50">
      <c r="A3241" s="1" t="s">
        <v>50</v>
      </c>
      <c r="B3241" t="s">
        <v>66</v>
      </c>
      <c r="C3241" t="s">
        <v>164</v>
      </c>
      <c r="D3241" t="s">
        <v>6543</v>
      </c>
      <c r="E3241" t="s">
        <v>406</v>
      </c>
      <c r="F3241" t="s">
        <v>361</v>
      </c>
      <c r="G3241" t="s">
        <v>6996</v>
      </c>
      <c r="H3241" t="s">
        <v>10856</v>
      </c>
      <c r="I3241" t="s">
        <v>11659</v>
      </c>
      <c r="J3241">
        <v>212</v>
      </c>
      <c r="K3241" t="s">
        <v>1644</v>
      </c>
      <c r="L3241">
        <v>11208</v>
      </c>
      <c r="M3241" t="s">
        <v>1670</v>
      </c>
      <c r="P3241" t="s">
        <v>12972</v>
      </c>
      <c r="Q3241" t="s">
        <v>1936</v>
      </c>
      <c r="R3241" t="s">
        <v>1960</v>
      </c>
      <c r="S3241" t="s">
        <v>1969</v>
      </c>
      <c r="T3241" t="s">
        <v>1671</v>
      </c>
      <c r="V3241" t="s">
        <v>1972</v>
      </c>
      <c r="W3241" t="s">
        <v>1984</v>
      </c>
      <c r="X3241" t="s">
        <v>266</v>
      </c>
      <c r="Y3241">
        <v>1092</v>
      </c>
      <c r="Z3241" t="s">
        <v>2009</v>
      </c>
      <c r="AA3241" t="s">
        <v>2011</v>
      </c>
      <c r="AB3241" t="s">
        <v>2029</v>
      </c>
      <c r="AC3241" t="s">
        <v>15565</v>
      </c>
      <c r="AD3241" t="s">
        <v>17710</v>
      </c>
      <c r="AE3241" t="s">
        <v>17984</v>
      </c>
      <c r="AF3241">
        <v>323</v>
      </c>
      <c r="AG3241" t="s">
        <v>2902</v>
      </c>
      <c r="AH3241" t="s">
        <v>1754</v>
      </c>
      <c r="AI3241">
        <v>3</v>
      </c>
      <c r="AJ3241">
        <v>1</v>
      </c>
      <c r="AK3241">
        <v>1</v>
      </c>
      <c r="AL3241">
        <v>169.44</v>
      </c>
      <c r="AO3241" t="s">
        <v>2926</v>
      </c>
      <c r="AP3241">
        <v>28652</v>
      </c>
      <c r="AV3241">
        <v>20.5</v>
      </c>
      <c r="AW3241" t="s">
        <v>361</v>
      </c>
      <c r="AX3241" t="s">
        <v>3060</v>
      </c>
    </row>
    <row r="3242" spans="1:50">
      <c r="A3242" s="1" t="s">
        <v>50</v>
      </c>
      <c r="B3242" t="s">
        <v>133</v>
      </c>
      <c r="C3242" t="s">
        <v>163</v>
      </c>
      <c r="D3242" t="s">
        <v>6544</v>
      </c>
      <c r="E3242" t="s">
        <v>6135</v>
      </c>
      <c r="G3242" t="s">
        <v>9298</v>
      </c>
      <c r="H3242" t="s">
        <v>8470</v>
      </c>
      <c r="I3242" t="s">
        <v>9908</v>
      </c>
      <c r="J3242" t="s">
        <v>1550</v>
      </c>
      <c r="K3242" t="s">
        <v>1644</v>
      </c>
      <c r="L3242">
        <v>11239</v>
      </c>
      <c r="M3242" t="s">
        <v>1670</v>
      </c>
      <c r="P3242" t="s">
        <v>1687</v>
      </c>
      <c r="Q3242" t="s">
        <v>1675</v>
      </c>
      <c r="R3242" t="s">
        <v>1958</v>
      </c>
      <c r="V3242" t="s">
        <v>1972</v>
      </c>
      <c r="X3242" t="s">
        <v>1989</v>
      </c>
      <c r="Y3242">
        <v>2000</v>
      </c>
      <c r="Z3242" t="s">
        <v>2009</v>
      </c>
      <c r="AA3242" t="s">
        <v>2027</v>
      </c>
      <c r="AC3242" t="s">
        <v>13915</v>
      </c>
      <c r="AD3242" t="s">
        <v>15139</v>
      </c>
      <c r="AE3242" t="s">
        <v>16353</v>
      </c>
      <c r="AF3242">
        <v>88</v>
      </c>
      <c r="AG3242" t="s">
        <v>2902</v>
      </c>
      <c r="AH3242" t="s">
        <v>2915</v>
      </c>
      <c r="AI3242">
        <v>24</v>
      </c>
      <c r="AJ3242">
        <v>2</v>
      </c>
      <c r="AK3242">
        <v>1</v>
      </c>
      <c r="AL3242">
        <v>70.52</v>
      </c>
      <c r="AO3242" t="s">
        <v>2926</v>
      </c>
      <c r="AP3242">
        <v>14400</v>
      </c>
      <c r="AQ3242" t="s">
        <v>2953</v>
      </c>
      <c r="AV3242">
        <v>1</v>
      </c>
      <c r="AW3242" t="s">
        <v>6213</v>
      </c>
      <c r="AX3242" t="s">
        <v>3066</v>
      </c>
    </row>
    <row r="3243" spans="1:50">
      <c r="A3243" s="1" t="s">
        <v>50</v>
      </c>
      <c r="B3243" t="s">
        <v>130</v>
      </c>
      <c r="C3243" t="s">
        <v>164</v>
      </c>
      <c r="D3243" t="s">
        <v>6545</v>
      </c>
      <c r="E3243" t="s">
        <v>166</v>
      </c>
      <c r="F3243" t="s">
        <v>359</v>
      </c>
      <c r="G3243" t="s">
        <v>9299</v>
      </c>
      <c r="H3243" t="s">
        <v>10857</v>
      </c>
      <c r="I3243" t="s">
        <v>11660</v>
      </c>
      <c r="J3243">
        <v>3</v>
      </c>
      <c r="K3243" t="s">
        <v>1644</v>
      </c>
      <c r="L3243">
        <v>11225</v>
      </c>
      <c r="M3243" t="s">
        <v>1670</v>
      </c>
      <c r="Q3243" t="s">
        <v>1937</v>
      </c>
      <c r="R3243" t="s">
        <v>1962</v>
      </c>
      <c r="S3243" t="s">
        <v>1968</v>
      </c>
      <c r="T3243" t="s">
        <v>1670</v>
      </c>
      <c r="V3243" t="s">
        <v>1972</v>
      </c>
      <c r="X3243" t="s">
        <v>166</v>
      </c>
      <c r="Y3243">
        <v>468.21</v>
      </c>
      <c r="Z3243" t="s">
        <v>2009</v>
      </c>
      <c r="AA3243" t="s">
        <v>2025</v>
      </c>
      <c r="AB3243" t="s">
        <v>2030</v>
      </c>
      <c r="AC3243" t="s">
        <v>2223</v>
      </c>
      <c r="AD3243" t="s">
        <v>17711</v>
      </c>
      <c r="AE3243" t="s">
        <v>17985</v>
      </c>
      <c r="AF3243">
        <v>2</v>
      </c>
      <c r="AG3243" t="s">
        <v>2902</v>
      </c>
      <c r="AI3243">
        <v>19</v>
      </c>
      <c r="AJ3243">
        <v>2</v>
      </c>
      <c r="AK3243">
        <v>1</v>
      </c>
      <c r="AL3243">
        <v>54.83</v>
      </c>
      <c r="AO3243" t="s">
        <v>2926</v>
      </c>
      <c r="AP3243">
        <v>11196</v>
      </c>
      <c r="AU3243" t="s">
        <v>18638</v>
      </c>
      <c r="AV3243">
        <v>0.7</v>
      </c>
      <c r="AW3243" t="s">
        <v>271</v>
      </c>
      <c r="AX3243" t="s">
        <v>3060</v>
      </c>
    </row>
    <row r="3244" spans="1:50">
      <c r="A3244" s="1" t="s">
        <v>50</v>
      </c>
      <c r="B3244" t="s">
        <v>103</v>
      </c>
      <c r="C3244" t="s">
        <v>163</v>
      </c>
      <c r="D3244" t="s">
        <v>6546</v>
      </c>
      <c r="E3244" t="s">
        <v>217</v>
      </c>
      <c r="G3244" t="s">
        <v>6787</v>
      </c>
      <c r="H3244" t="s">
        <v>7876</v>
      </c>
      <c r="I3244" t="s">
        <v>9375</v>
      </c>
      <c r="J3244">
        <v>226</v>
      </c>
      <c r="K3244" t="s">
        <v>1644</v>
      </c>
      <c r="L3244">
        <v>11233</v>
      </c>
      <c r="M3244" t="s">
        <v>1670</v>
      </c>
      <c r="P3244" t="s">
        <v>11832</v>
      </c>
      <c r="Q3244" t="s">
        <v>1936</v>
      </c>
      <c r="R3244" t="s">
        <v>1960</v>
      </c>
      <c r="T3244" t="s">
        <v>1671</v>
      </c>
      <c r="V3244" t="s">
        <v>1972</v>
      </c>
      <c r="W3244" t="s">
        <v>1984</v>
      </c>
      <c r="X3244" t="s">
        <v>249</v>
      </c>
      <c r="Y3244">
        <v>1208</v>
      </c>
      <c r="Z3244" t="s">
        <v>2009</v>
      </c>
      <c r="AC3244" t="s">
        <v>13076</v>
      </c>
      <c r="AD3244" t="s">
        <v>15068</v>
      </c>
      <c r="AE3244" t="s">
        <v>17986</v>
      </c>
      <c r="AF3244">
        <v>137</v>
      </c>
      <c r="AG3244" t="s">
        <v>2902</v>
      </c>
      <c r="AH3244" t="s">
        <v>2918</v>
      </c>
      <c r="AI3244">
        <v>1</v>
      </c>
      <c r="AJ3244">
        <v>1</v>
      </c>
      <c r="AK3244">
        <v>1</v>
      </c>
      <c r="AL3244">
        <v>14.07</v>
      </c>
      <c r="AO3244" t="s">
        <v>2926</v>
      </c>
      <c r="AP3244">
        <v>2379</v>
      </c>
      <c r="AV3244">
        <v>3.25</v>
      </c>
      <c r="AW3244" t="s">
        <v>220</v>
      </c>
      <c r="AX3244" t="s">
        <v>3059</v>
      </c>
    </row>
    <row r="3245" spans="1:50">
      <c r="A3245" s="1" t="s">
        <v>50</v>
      </c>
      <c r="B3245" t="s">
        <v>3141</v>
      </c>
      <c r="C3245" t="s">
        <v>163</v>
      </c>
      <c r="D3245" t="s">
        <v>6547</v>
      </c>
      <c r="E3245" t="s">
        <v>389</v>
      </c>
      <c r="G3245" t="s">
        <v>7360</v>
      </c>
      <c r="H3245" t="s">
        <v>10858</v>
      </c>
      <c r="I3245" t="s">
        <v>11661</v>
      </c>
      <c r="J3245" t="s">
        <v>11130</v>
      </c>
      <c r="K3245" t="s">
        <v>1641</v>
      </c>
      <c r="L3245">
        <v>10453</v>
      </c>
      <c r="M3245" t="s">
        <v>1670</v>
      </c>
      <c r="P3245" t="s">
        <v>12973</v>
      </c>
      <c r="Q3245" t="s">
        <v>1936</v>
      </c>
      <c r="R3245" t="s">
        <v>1960</v>
      </c>
      <c r="T3245" t="s">
        <v>1671</v>
      </c>
      <c r="V3245" t="s">
        <v>1972</v>
      </c>
      <c r="W3245" t="s">
        <v>1983</v>
      </c>
      <c r="X3245" t="s">
        <v>1991</v>
      </c>
      <c r="Y3245">
        <v>1152.86</v>
      </c>
      <c r="Z3245" t="s">
        <v>2006</v>
      </c>
      <c r="AA3245" t="s">
        <v>2020</v>
      </c>
      <c r="AC3245" t="s">
        <v>351</v>
      </c>
      <c r="AD3245" t="s">
        <v>17712</v>
      </c>
      <c r="AE3245" t="s">
        <v>17987</v>
      </c>
      <c r="AF3245" t="s">
        <v>13051</v>
      </c>
      <c r="AG3245" t="s">
        <v>2902</v>
      </c>
      <c r="AH3245" t="s">
        <v>2917</v>
      </c>
      <c r="AI3245">
        <v>6</v>
      </c>
      <c r="AJ3245">
        <v>1</v>
      </c>
      <c r="AK3245">
        <v>2</v>
      </c>
      <c r="AL3245">
        <v>21.88</v>
      </c>
      <c r="AO3245" t="s">
        <v>2927</v>
      </c>
      <c r="AP3245">
        <v>4668</v>
      </c>
      <c r="AQ3245" t="s">
        <v>18438</v>
      </c>
      <c r="AV3245">
        <v>0.3</v>
      </c>
      <c r="AW3245" t="s">
        <v>388</v>
      </c>
      <c r="AX3245" t="s">
        <v>3141</v>
      </c>
    </row>
    <row r="3246" spans="1:50">
      <c r="A3246" s="1" t="s">
        <v>50</v>
      </c>
      <c r="B3246" t="s">
        <v>89</v>
      </c>
      <c r="C3246" t="s">
        <v>164</v>
      </c>
      <c r="D3246" t="s">
        <v>6548</v>
      </c>
      <c r="E3246" t="s">
        <v>175</v>
      </c>
      <c r="F3246" t="s">
        <v>2002</v>
      </c>
      <c r="G3246" t="s">
        <v>9300</v>
      </c>
      <c r="H3246" t="s">
        <v>10859</v>
      </c>
      <c r="I3246" t="s">
        <v>11662</v>
      </c>
      <c r="J3246">
        <v>2</v>
      </c>
      <c r="K3246" t="s">
        <v>1645</v>
      </c>
      <c r="L3246">
        <v>11691</v>
      </c>
      <c r="M3246" t="s">
        <v>1670</v>
      </c>
      <c r="P3246" t="s">
        <v>12974</v>
      </c>
      <c r="Q3246" t="s">
        <v>1940</v>
      </c>
      <c r="R3246" t="s">
        <v>1958</v>
      </c>
      <c r="S3246" t="s">
        <v>1965</v>
      </c>
      <c r="T3246" t="s">
        <v>1671</v>
      </c>
      <c r="V3246" t="s">
        <v>1972</v>
      </c>
      <c r="W3246" t="s">
        <v>1984</v>
      </c>
      <c r="X3246" t="s">
        <v>352</v>
      </c>
      <c r="Y3246">
        <v>1515</v>
      </c>
      <c r="Z3246" t="s">
        <v>2007</v>
      </c>
      <c r="AA3246" t="s">
        <v>2014</v>
      </c>
      <c r="AB3246" t="s">
        <v>2038</v>
      </c>
      <c r="AC3246" t="s">
        <v>15566</v>
      </c>
      <c r="AD3246" t="s">
        <v>17713</v>
      </c>
      <c r="AE3246" t="s">
        <v>17988</v>
      </c>
      <c r="AF3246">
        <v>2</v>
      </c>
      <c r="AG3246" t="s">
        <v>2903</v>
      </c>
      <c r="AH3246" t="s">
        <v>2917</v>
      </c>
      <c r="AI3246">
        <v>3</v>
      </c>
      <c r="AJ3246">
        <v>1</v>
      </c>
      <c r="AK3246">
        <v>2</v>
      </c>
      <c r="AL3246">
        <v>68.81999999999999</v>
      </c>
      <c r="AO3246" t="s">
        <v>2926</v>
      </c>
      <c r="AP3246">
        <v>14300</v>
      </c>
      <c r="AV3246">
        <v>1.4</v>
      </c>
      <c r="AW3246" t="s">
        <v>2002</v>
      </c>
      <c r="AX3246" t="s">
        <v>89</v>
      </c>
    </row>
    <row r="3247" spans="1:50">
      <c r="A3247" s="1" t="s">
        <v>50</v>
      </c>
      <c r="B3247" t="s">
        <v>63</v>
      </c>
      <c r="C3247" t="s">
        <v>163</v>
      </c>
      <c r="D3247" t="s">
        <v>6549</v>
      </c>
      <c r="E3247" t="s">
        <v>401</v>
      </c>
      <c r="G3247" t="s">
        <v>9301</v>
      </c>
      <c r="H3247" t="s">
        <v>7428</v>
      </c>
      <c r="I3247" t="s">
        <v>1341</v>
      </c>
      <c r="J3247" t="s">
        <v>11795</v>
      </c>
      <c r="K3247" t="s">
        <v>1641</v>
      </c>
      <c r="L3247">
        <v>10459</v>
      </c>
      <c r="M3247" t="s">
        <v>1670</v>
      </c>
      <c r="P3247" t="s">
        <v>12975</v>
      </c>
      <c r="Q3247" t="s">
        <v>1936</v>
      </c>
      <c r="R3247" t="s">
        <v>1960</v>
      </c>
      <c r="T3247" t="s">
        <v>1671</v>
      </c>
      <c r="V3247" t="s">
        <v>1972</v>
      </c>
      <c r="W3247" t="s">
        <v>1984</v>
      </c>
      <c r="X3247" t="s">
        <v>1991</v>
      </c>
      <c r="Y3247">
        <v>1166</v>
      </c>
      <c r="Z3247" t="s">
        <v>2006</v>
      </c>
      <c r="AA3247" t="s">
        <v>2014</v>
      </c>
      <c r="AC3247" t="s">
        <v>15567</v>
      </c>
      <c r="AD3247" t="s">
        <v>17714</v>
      </c>
      <c r="AE3247" t="s">
        <v>17989</v>
      </c>
      <c r="AF3247">
        <v>56</v>
      </c>
      <c r="AG3247" t="s">
        <v>2902</v>
      </c>
      <c r="AH3247" t="s">
        <v>2918</v>
      </c>
      <c r="AI3247">
        <v>1</v>
      </c>
      <c r="AJ3247">
        <v>1</v>
      </c>
      <c r="AK3247">
        <v>2</v>
      </c>
      <c r="AL3247">
        <v>104.59</v>
      </c>
      <c r="AO3247" t="s">
        <v>2926</v>
      </c>
      <c r="AP3247">
        <v>22308</v>
      </c>
      <c r="AV3247">
        <v>7.8</v>
      </c>
      <c r="AW3247" t="s">
        <v>3030</v>
      </c>
      <c r="AX3247" t="s">
        <v>3046</v>
      </c>
    </row>
    <row r="3248" spans="1:50">
      <c r="A3248" s="1" t="s">
        <v>50</v>
      </c>
      <c r="B3248" t="s">
        <v>73</v>
      </c>
      <c r="C3248" t="s">
        <v>164</v>
      </c>
      <c r="D3248" t="s">
        <v>6550</v>
      </c>
      <c r="E3248" t="s">
        <v>204</v>
      </c>
      <c r="F3248" t="s">
        <v>312</v>
      </c>
      <c r="G3248" t="s">
        <v>451</v>
      </c>
      <c r="H3248" t="s">
        <v>8534</v>
      </c>
      <c r="I3248" t="s">
        <v>1191</v>
      </c>
      <c r="J3248" t="s">
        <v>1475</v>
      </c>
      <c r="K3248" t="s">
        <v>1645</v>
      </c>
      <c r="L3248">
        <v>11691</v>
      </c>
      <c r="M3248" t="s">
        <v>1670</v>
      </c>
      <c r="P3248" t="s">
        <v>12976</v>
      </c>
      <c r="Q3248" t="s">
        <v>1936</v>
      </c>
      <c r="R3248" t="s">
        <v>1958</v>
      </c>
      <c r="S3248" t="s">
        <v>1965</v>
      </c>
      <c r="T3248" t="s">
        <v>1671</v>
      </c>
      <c r="V3248" t="s">
        <v>1972</v>
      </c>
      <c r="W3248" t="s">
        <v>1984</v>
      </c>
      <c r="X3248" t="s">
        <v>242</v>
      </c>
      <c r="Y3248">
        <v>1515</v>
      </c>
      <c r="Z3248" t="s">
        <v>2007</v>
      </c>
      <c r="AA3248" t="s">
        <v>2014</v>
      </c>
      <c r="AB3248" t="s">
        <v>2029</v>
      </c>
      <c r="AC3248" t="s">
        <v>15568</v>
      </c>
      <c r="AD3248" t="s">
        <v>17715</v>
      </c>
      <c r="AE3248" t="s">
        <v>17990</v>
      </c>
      <c r="AF3248">
        <v>27</v>
      </c>
      <c r="AG3248" t="s">
        <v>2902</v>
      </c>
      <c r="AH3248" t="s">
        <v>2917</v>
      </c>
      <c r="AI3248">
        <v>2</v>
      </c>
      <c r="AJ3248">
        <v>1</v>
      </c>
      <c r="AK3248">
        <v>3</v>
      </c>
      <c r="AL3248" t="s">
        <v>13051</v>
      </c>
      <c r="AO3248" t="s">
        <v>2926</v>
      </c>
      <c r="AP3248" t="s">
        <v>13051</v>
      </c>
      <c r="AV3248">
        <v>1.1</v>
      </c>
      <c r="AW3248" t="s">
        <v>312</v>
      </c>
      <c r="AX3248" t="s">
        <v>73</v>
      </c>
    </row>
    <row r="3249" spans="1:50">
      <c r="A3249" s="1" t="s">
        <v>50</v>
      </c>
      <c r="B3249" t="s">
        <v>96</v>
      </c>
      <c r="C3249" t="s">
        <v>164</v>
      </c>
      <c r="D3249" t="s">
        <v>6551</v>
      </c>
      <c r="E3249" t="s">
        <v>314</v>
      </c>
      <c r="F3249" t="s">
        <v>239</v>
      </c>
      <c r="G3249" t="s">
        <v>9302</v>
      </c>
      <c r="H3249" t="s">
        <v>10860</v>
      </c>
      <c r="I3249" t="s">
        <v>11663</v>
      </c>
      <c r="J3249" t="s">
        <v>11796</v>
      </c>
      <c r="K3249" t="s">
        <v>1644</v>
      </c>
      <c r="L3249">
        <v>11209</v>
      </c>
      <c r="M3249" t="s">
        <v>1670</v>
      </c>
      <c r="Q3249" t="s">
        <v>1941</v>
      </c>
      <c r="R3249" t="s">
        <v>1959</v>
      </c>
      <c r="S3249" t="s">
        <v>1968</v>
      </c>
      <c r="T3249" t="s">
        <v>1671</v>
      </c>
      <c r="V3249" t="s">
        <v>1972</v>
      </c>
      <c r="W3249" t="s">
        <v>1984</v>
      </c>
      <c r="X3249" t="s">
        <v>252</v>
      </c>
      <c r="Y3249">
        <v>1397.01</v>
      </c>
      <c r="Z3249" t="s">
        <v>2009</v>
      </c>
      <c r="AA3249" t="s">
        <v>2020</v>
      </c>
      <c r="AB3249" t="s">
        <v>15066</v>
      </c>
      <c r="AC3249" t="s">
        <v>15569</v>
      </c>
      <c r="AD3249" t="s">
        <v>17716</v>
      </c>
      <c r="AE3249" t="s">
        <v>17991</v>
      </c>
      <c r="AF3249">
        <v>118</v>
      </c>
      <c r="AG3249" t="s">
        <v>2902</v>
      </c>
      <c r="AH3249" t="s">
        <v>1754</v>
      </c>
      <c r="AI3249">
        <v>9</v>
      </c>
      <c r="AJ3249">
        <v>1</v>
      </c>
      <c r="AK3249">
        <v>2</v>
      </c>
      <c r="AL3249">
        <v>62.06</v>
      </c>
      <c r="AO3249" t="s">
        <v>2926</v>
      </c>
      <c r="AP3249">
        <v>12896</v>
      </c>
      <c r="AS3249" t="s">
        <v>18450</v>
      </c>
      <c r="AT3249" t="s">
        <v>2992</v>
      </c>
      <c r="AU3249" t="s">
        <v>18509</v>
      </c>
      <c r="AV3249">
        <v>7.05</v>
      </c>
      <c r="AW3249" t="s">
        <v>179</v>
      </c>
      <c r="AX3249" t="s">
        <v>3079</v>
      </c>
    </row>
    <row r="3250" spans="1:50">
      <c r="A3250" s="1" t="s">
        <v>50</v>
      </c>
      <c r="B3250" t="s">
        <v>80</v>
      </c>
      <c r="C3250" t="s">
        <v>163</v>
      </c>
      <c r="D3250" t="s">
        <v>6552</v>
      </c>
      <c r="E3250" t="s">
        <v>1993</v>
      </c>
      <c r="G3250" t="s">
        <v>9303</v>
      </c>
      <c r="H3250" t="s">
        <v>781</v>
      </c>
      <c r="I3250" t="s">
        <v>11664</v>
      </c>
      <c r="J3250" t="s">
        <v>11191</v>
      </c>
      <c r="K3250" t="s">
        <v>1646</v>
      </c>
      <c r="L3250">
        <v>10304</v>
      </c>
      <c r="M3250" t="s">
        <v>1670</v>
      </c>
      <c r="P3250" t="s">
        <v>12977</v>
      </c>
      <c r="Q3250" t="s">
        <v>1936</v>
      </c>
      <c r="R3250" t="s">
        <v>1960</v>
      </c>
      <c r="T3250" t="s">
        <v>1671</v>
      </c>
      <c r="V3250" t="s">
        <v>1972</v>
      </c>
      <c r="W3250" t="s">
        <v>1984</v>
      </c>
      <c r="X3250" t="s">
        <v>1993</v>
      </c>
      <c r="Y3250">
        <v>1515</v>
      </c>
      <c r="Z3250" t="s">
        <v>2010</v>
      </c>
      <c r="AA3250" t="s">
        <v>2017</v>
      </c>
      <c r="AC3250" t="s">
        <v>15570</v>
      </c>
      <c r="AD3250" t="s">
        <v>17717</v>
      </c>
      <c r="AF3250">
        <v>2</v>
      </c>
      <c r="AG3250" t="s">
        <v>2903</v>
      </c>
      <c r="AH3250" t="s">
        <v>2918</v>
      </c>
      <c r="AI3250">
        <v>4</v>
      </c>
      <c r="AJ3250">
        <v>2</v>
      </c>
      <c r="AK3250">
        <v>2</v>
      </c>
      <c r="AL3250">
        <v>11.47</v>
      </c>
      <c r="AO3250" t="s">
        <v>2927</v>
      </c>
      <c r="AP3250">
        <v>2880</v>
      </c>
      <c r="AV3250">
        <v>12.75</v>
      </c>
      <c r="AW3250" t="s">
        <v>293</v>
      </c>
      <c r="AX3250" t="s">
        <v>112</v>
      </c>
    </row>
    <row r="3251" spans="1:50">
      <c r="A3251" s="1" t="s">
        <v>50</v>
      </c>
      <c r="B3251" t="s">
        <v>119</v>
      </c>
      <c r="C3251" t="s">
        <v>164</v>
      </c>
      <c r="D3251" t="s">
        <v>6553</v>
      </c>
      <c r="E3251" t="s">
        <v>216</v>
      </c>
      <c r="F3251" t="s">
        <v>306</v>
      </c>
      <c r="G3251" t="s">
        <v>9304</v>
      </c>
      <c r="H3251" t="s">
        <v>10861</v>
      </c>
      <c r="I3251" t="s">
        <v>11665</v>
      </c>
      <c r="J3251" t="s">
        <v>1511</v>
      </c>
      <c r="K3251" t="s">
        <v>1644</v>
      </c>
      <c r="L3251">
        <v>11212</v>
      </c>
      <c r="M3251" t="s">
        <v>1670</v>
      </c>
      <c r="P3251" t="s">
        <v>12978</v>
      </c>
      <c r="Q3251" t="s">
        <v>1936</v>
      </c>
      <c r="R3251" t="s">
        <v>1960</v>
      </c>
      <c r="S3251" t="s">
        <v>1969</v>
      </c>
      <c r="T3251" t="s">
        <v>1671</v>
      </c>
      <c r="V3251" t="s">
        <v>1972</v>
      </c>
      <c r="W3251" t="s">
        <v>1983</v>
      </c>
      <c r="X3251" t="s">
        <v>197</v>
      </c>
      <c r="Y3251">
        <v>950</v>
      </c>
      <c r="Z3251" t="s">
        <v>2009</v>
      </c>
      <c r="AA3251" t="s">
        <v>2026</v>
      </c>
      <c r="AB3251" t="s">
        <v>2032</v>
      </c>
      <c r="AC3251" t="s">
        <v>15571</v>
      </c>
      <c r="AD3251" t="s">
        <v>17718</v>
      </c>
      <c r="AE3251" t="s">
        <v>17992</v>
      </c>
      <c r="AF3251">
        <v>6</v>
      </c>
      <c r="AG3251" t="s">
        <v>2902</v>
      </c>
      <c r="AH3251" t="s">
        <v>2917</v>
      </c>
      <c r="AI3251">
        <v>10</v>
      </c>
      <c r="AJ3251">
        <v>1</v>
      </c>
      <c r="AK3251">
        <v>3</v>
      </c>
      <c r="AL3251">
        <v>71.70999999999999</v>
      </c>
      <c r="AO3251" t="s">
        <v>2926</v>
      </c>
      <c r="AP3251">
        <v>18000</v>
      </c>
      <c r="AV3251">
        <v>12.4</v>
      </c>
      <c r="AW3251" t="s">
        <v>18683</v>
      </c>
      <c r="AX3251" t="s">
        <v>3060</v>
      </c>
    </row>
    <row r="3252" spans="1:50">
      <c r="A3252" s="1" t="s">
        <v>50</v>
      </c>
      <c r="B3252" t="s">
        <v>52</v>
      </c>
      <c r="C3252" t="s">
        <v>164</v>
      </c>
      <c r="D3252" t="s">
        <v>6554</v>
      </c>
      <c r="E3252" t="s">
        <v>319</v>
      </c>
      <c r="F3252" t="s">
        <v>350</v>
      </c>
      <c r="G3252" t="s">
        <v>533</v>
      </c>
      <c r="H3252" t="s">
        <v>8761</v>
      </c>
      <c r="I3252" t="s">
        <v>11666</v>
      </c>
      <c r="J3252" t="s">
        <v>1506</v>
      </c>
      <c r="K3252" t="s">
        <v>1641</v>
      </c>
      <c r="L3252">
        <v>10453</v>
      </c>
      <c r="M3252" t="s">
        <v>1670</v>
      </c>
      <c r="P3252" t="s">
        <v>12979</v>
      </c>
      <c r="Q3252" t="s">
        <v>1936</v>
      </c>
      <c r="R3252" t="s">
        <v>1960</v>
      </c>
      <c r="S3252" t="s">
        <v>1969</v>
      </c>
      <c r="T3252" t="s">
        <v>1671</v>
      </c>
      <c r="V3252" t="s">
        <v>1972</v>
      </c>
      <c r="W3252" t="s">
        <v>1984</v>
      </c>
      <c r="X3252" t="s">
        <v>319</v>
      </c>
      <c r="Y3252">
        <v>851</v>
      </c>
      <c r="Z3252" t="s">
        <v>2006</v>
      </c>
      <c r="AA3252" t="s">
        <v>2020</v>
      </c>
      <c r="AB3252" t="s">
        <v>2032</v>
      </c>
      <c r="AC3252" t="s">
        <v>13794</v>
      </c>
      <c r="AD3252" t="s">
        <v>17719</v>
      </c>
      <c r="AE3252" t="s">
        <v>17993</v>
      </c>
      <c r="AF3252">
        <v>16</v>
      </c>
      <c r="AG3252" t="s">
        <v>2902</v>
      </c>
      <c r="AH3252" t="s">
        <v>2918</v>
      </c>
      <c r="AI3252">
        <v>28</v>
      </c>
      <c r="AJ3252">
        <v>3</v>
      </c>
      <c r="AK3252">
        <v>1</v>
      </c>
      <c r="AL3252">
        <v>44.53</v>
      </c>
      <c r="AO3252" t="s">
        <v>2926</v>
      </c>
      <c r="AP3252">
        <v>11176</v>
      </c>
      <c r="AR3252" t="s">
        <v>2979</v>
      </c>
      <c r="AS3252" t="s">
        <v>18447</v>
      </c>
      <c r="AT3252" t="s">
        <v>2992</v>
      </c>
      <c r="AU3252" t="s">
        <v>3002</v>
      </c>
      <c r="AV3252">
        <v>3.2</v>
      </c>
      <c r="AW3252" t="s">
        <v>353</v>
      </c>
      <c r="AX3252" t="s">
        <v>3046</v>
      </c>
    </row>
    <row r="3253" spans="1:50">
      <c r="A3253" s="1" t="s">
        <v>50</v>
      </c>
      <c r="B3253" t="s">
        <v>120</v>
      </c>
      <c r="C3253" t="s">
        <v>164</v>
      </c>
      <c r="D3253" t="s">
        <v>6555</v>
      </c>
      <c r="E3253" t="s">
        <v>219</v>
      </c>
      <c r="F3253" t="s">
        <v>346</v>
      </c>
      <c r="G3253" t="s">
        <v>443</v>
      </c>
      <c r="H3253" t="s">
        <v>800</v>
      </c>
      <c r="I3253" t="s">
        <v>1138</v>
      </c>
      <c r="J3253" t="s">
        <v>1500</v>
      </c>
      <c r="K3253" t="s">
        <v>1644</v>
      </c>
      <c r="L3253">
        <v>11212</v>
      </c>
      <c r="M3253" t="s">
        <v>1670</v>
      </c>
      <c r="Q3253" t="s">
        <v>1950</v>
      </c>
      <c r="R3253" t="s">
        <v>1961</v>
      </c>
      <c r="S3253" t="s">
        <v>1970</v>
      </c>
      <c r="T3253" t="s">
        <v>1671</v>
      </c>
      <c r="V3253" t="s">
        <v>1974</v>
      </c>
      <c r="W3253" t="s">
        <v>1986</v>
      </c>
      <c r="X3253" t="s">
        <v>198</v>
      </c>
      <c r="Y3253">
        <v>911</v>
      </c>
      <c r="Z3253" t="s">
        <v>2009</v>
      </c>
      <c r="AA3253" t="s">
        <v>2014</v>
      </c>
      <c r="AB3253" t="s">
        <v>2039</v>
      </c>
      <c r="AC3253" t="s">
        <v>2079</v>
      </c>
      <c r="AD3253" t="s">
        <v>17720</v>
      </c>
      <c r="AE3253" t="s">
        <v>2505</v>
      </c>
      <c r="AF3253" t="s">
        <v>13051</v>
      </c>
      <c r="AG3253" t="s">
        <v>2902</v>
      </c>
      <c r="AH3253" t="s">
        <v>2917</v>
      </c>
      <c r="AI3253">
        <v>9</v>
      </c>
      <c r="AJ3253">
        <v>1</v>
      </c>
      <c r="AK3253">
        <v>2</v>
      </c>
      <c r="AL3253">
        <v>23.65</v>
      </c>
      <c r="AO3253" t="s">
        <v>2926</v>
      </c>
      <c r="AP3253">
        <v>5044</v>
      </c>
      <c r="AV3253">
        <v>2.75</v>
      </c>
      <c r="AW3253" t="s">
        <v>399</v>
      </c>
      <c r="AX3253" t="s">
        <v>3059</v>
      </c>
    </row>
    <row r="3254" spans="1:50">
      <c r="A3254" s="1" t="s">
        <v>50</v>
      </c>
      <c r="B3254" t="s">
        <v>120</v>
      </c>
      <c r="C3254" t="s">
        <v>164</v>
      </c>
      <c r="D3254" t="s">
        <v>6556</v>
      </c>
      <c r="E3254" t="s">
        <v>304</v>
      </c>
      <c r="F3254" t="s">
        <v>338</v>
      </c>
      <c r="G3254" t="s">
        <v>9305</v>
      </c>
      <c r="H3254" t="s">
        <v>7918</v>
      </c>
      <c r="I3254" t="s">
        <v>11667</v>
      </c>
      <c r="J3254" t="s">
        <v>11797</v>
      </c>
      <c r="K3254" t="s">
        <v>1644</v>
      </c>
      <c r="L3254">
        <v>11233</v>
      </c>
      <c r="M3254" t="s">
        <v>1670</v>
      </c>
      <c r="P3254" t="s">
        <v>12980</v>
      </c>
      <c r="Q3254" t="s">
        <v>1950</v>
      </c>
      <c r="R3254" t="s">
        <v>1959</v>
      </c>
      <c r="S3254" t="s">
        <v>1970</v>
      </c>
      <c r="T3254" t="s">
        <v>1671</v>
      </c>
      <c r="V3254" t="s">
        <v>1974</v>
      </c>
      <c r="W3254" t="s">
        <v>1984</v>
      </c>
      <c r="X3254" t="s">
        <v>214</v>
      </c>
      <c r="Y3254">
        <v>1542</v>
      </c>
      <c r="Z3254" t="s">
        <v>2009</v>
      </c>
      <c r="AA3254" t="s">
        <v>2027</v>
      </c>
      <c r="AB3254" t="s">
        <v>2039</v>
      </c>
      <c r="AC3254" t="s">
        <v>15572</v>
      </c>
      <c r="AD3254" t="s">
        <v>17721</v>
      </c>
      <c r="AE3254" t="s">
        <v>17994</v>
      </c>
      <c r="AF3254">
        <v>200</v>
      </c>
      <c r="AG3254" t="s">
        <v>2902</v>
      </c>
      <c r="AH3254" t="s">
        <v>2915</v>
      </c>
      <c r="AI3254">
        <v>10</v>
      </c>
      <c r="AJ3254">
        <v>1</v>
      </c>
      <c r="AK3254">
        <v>2</v>
      </c>
      <c r="AL3254">
        <v>159.15</v>
      </c>
      <c r="AO3254" t="s">
        <v>2926</v>
      </c>
      <c r="AP3254">
        <v>33072</v>
      </c>
      <c r="AV3254">
        <v>5.5</v>
      </c>
      <c r="AW3254" t="s">
        <v>338</v>
      </c>
      <c r="AX3254" t="s">
        <v>3059</v>
      </c>
    </row>
    <row r="3255" spans="1:50">
      <c r="A3255" s="1" t="s">
        <v>50</v>
      </c>
      <c r="B3255" t="s">
        <v>88</v>
      </c>
      <c r="C3255" t="s">
        <v>164</v>
      </c>
      <c r="D3255" t="s">
        <v>6557</v>
      </c>
      <c r="E3255" t="s">
        <v>351</v>
      </c>
      <c r="F3255" t="s">
        <v>379</v>
      </c>
      <c r="G3255" t="s">
        <v>9305</v>
      </c>
      <c r="H3255" t="s">
        <v>7918</v>
      </c>
      <c r="I3255" t="s">
        <v>11667</v>
      </c>
      <c r="J3255" t="s">
        <v>11797</v>
      </c>
      <c r="K3255" t="s">
        <v>1644</v>
      </c>
      <c r="L3255">
        <v>11233</v>
      </c>
      <c r="M3255" t="s">
        <v>1670</v>
      </c>
      <c r="P3255" t="s">
        <v>12980</v>
      </c>
      <c r="Q3255" t="s">
        <v>1936</v>
      </c>
      <c r="R3255" t="s">
        <v>1960</v>
      </c>
      <c r="S3255" t="s">
        <v>1969</v>
      </c>
      <c r="T3255" t="s">
        <v>1671</v>
      </c>
      <c r="V3255" t="s">
        <v>1972</v>
      </c>
      <c r="W3255" t="s">
        <v>1984</v>
      </c>
      <c r="X3255" t="s">
        <v>214</v>
      </c>
      <c r="Y3255">
        <v>1542</v>
      </c>
      <c r="Z3255" t="s">
        <v>2009</v>
      </c>
      <c r="AA3255" t="s">
        <v>2027</v>
      </c>
      <c r="AB3255" t="s">
        <v>2032</v>
      </c>
      <c r="AC3255" t="s">
        <v>15572</v>
      </c>
      <c r="AD3255" t="s">
        <v>17721</v>
      </c>
      <c r="AE3255" t="s">
        <v>17994</v>
      </c>
      <c r="AF3255">
        <v>200</v>
      </c>
      <c r="AG3255" t="s">
        <v>2902</v>
      </c>
      <c r="AH3255" t="s">
        <v>2915</v>
      </c>
      <c r="AI3255">
        <v>10</v>
      </c>
      <c r="AJ3255">
        <v>1</v>
      </c>
      <c r="AK3255">
        <v>2</v>
      </c>
      <c r="AL3255">
        <v>159.15</v>
      </c>
      <c r="AO3255" t="s">
        <v>2926</v>
      </c>
      <c r="AP3255">
        <v>33072</v>
      </c>
      <c r="AS3255" t="s">
        <v>2982</v>
      </c>
      <c r="AT3255" t="s">
        <v>2992</v>
      </c>
      <c r="AU3255" t="s">
        <v>2999</v>
      </c>
      <c r="AV3255">
        <v>7.5</v>
      </c>
      <c r="AW3255" t="s">
        <v>170</v>
      </c>
      <c r="AX3255" t="s">
        <v>3066</v>
      </c>
    </row>
    <row r="3256" spans="1:50">
      <c r="A3256" s="1" t="s">
        <v>50</v>
      </c>
      <c r="B3256" t="s">
        <v>63</v>
      </c>
      <c r="C3256" t="s">
        <v>163</v>
      </c>
      <c r="D3256" t="s">
        <v>6558</v>
      </c>
      <c r="E3256" t="s">
        <v>381</v>
      </c>
      <c r="G3256" t="s">
        <v>724</v>
      </c>
      <c r="H3256" t="s">
        <v>959</v>
      </c>
      <c r="I3256" t="s">
        <v>10561</v>
      </c>
      <c r="J3256" t="s">
        <v>1517</v>
      </c>
      <c r="K3256" t="s">
        <v>1641</v>
      </c>
      <c r="L3256">
        <v>10452</v>
      </c>
      <c r="M3256" t="s">
        <v>1670</v>
      </c>
      <c r="P3256" t="s">
        <v>12981</v>
      </c>
      <c r="Q3256" t="s">
        <v>1936</v>
      </c>
      <c r="R3256" t="s">
        <v>1960</v>
      </c>
      <c r="T3256" t="s">
        <v>1671</v>
      </c>
      <c r="V3256" t="s">
        <v>1972</v>
      </c>
      <c r="X3256" t="s">
        <v>177</v>
      </c>
      <c r="Y3256">
        <v>811.24</v>
      </c>
      <c r="Z3256" t="s">
        <v>2006</v>
      </c>
      <c r="AA3256" t="s">
        <v>2015</v>
      </c>
      <c r="AC3256" t="s">
        <v>15573</v>
      </c>
      <c r="AD3256" t="s">
        <v>17722</v>
      </c>
      <c r="AE3256" t="s">
        <v>17995</v>
      </c>
      <c r="AF3256">
        <v>53</v>
      </c>
      <c r="AG3256" t="s">
        <v>2902</v>
      </c>
      <c r="AH3256" t="s">
        <v>2917</v>
      </c>
      <c r="AI3256">
        <v>34</v>
      </c>
      <c r="AJ3256">
        <v>1</v>
      </c>
      <c r="AK3256">
        <v>2</v>
      </c>
      <c r="AL3256">
        <v>43.65</v>
      </c>
      <c r="AO3256" t="s">
        <v>2927</v>
      </c>
      <c r="AP3256">
        <v>9310.799999999999</v>
      </c>
      <c r="AV3256">
        <v>9.6</v>
      </c>
      <c r="AW3256" t="s">
        <v>212</v>
      </c>
      <c r="AX3256" t="s">
        <v>3046</v>
      </c>
    </row>
    <row r="3257" spans="1:50">
      <c r="A3257" s="1" t="s">
        <v>50</v>
      </c>
      <c r="B3257" t="s">
        <v>74</v>
      </c>
      <c r="C3257" t="s">
        <v>163</v>
      </c>
      <c r="D3257" t="s">
        <v>6559</v>
      </c>
      <c r="E3257" t="s">
        <v>376</v>
      </c>
      <c r="G3257" t="s">
        <v>724</v>
      </c>
      <c r="H3257" t="s">
        <v>959</v>
      </c>
      <c r="I3257" t="s">
        <v>10561</v>
      </c>
      <c r="J3257" t="s">
        <v>1517</v>
      </c>
      <c r="K3257" t="s">
        <v>1641</v>
      </c>
      <c r="L3257">
        <v>10452</v>
      </c>
      <c r="M3257" t="s">
        <v>1670</v>
      </c>
      <c r="P3257" t="s">
        <v>12981</v>
      </c>
      <c r="Q3257" t="s">
        <v>1936</v>
      </c>
      <c r="R3257" t="s">
        <v>1958</v>
      </c>
      <c r="T3257" t="s">
        <v>1671</v>
      </c>
      <c r="V3257" t="s">
        <v>1972</v>
      </c>
      <c r="W3257" t="s">
        <v>1984</v>
      </c>
      <c r="X3257" t="s">
        <v>267</v>
      </c>
      <c r="Y3257">
        <v>811.34</v>
      </c>
      <c r="Z3257" t="s">
        <v>2006</v>
      </c>
      <c r="AA3257" t="s">
        <v>2020</v>
      </c>
      <c r="AC3257" t="s">
        <v>15573</v>
      </c>
      <c r="AD3257" t="s">
        <v>17722</v>
      </c>
      <c r="AE3257" t="s">
        <v>17995</v>
      </c>
      <c r="AF3257" t="s">
        <v>13051</v>
      </c>
      <c r="AG3257" t="s">
        <v>2902</v>
      </c>
      <c r="AH3257" t="s">
        <v>2917</v>
      </c>
      <c r="AI3257">
        <v>33</v>
      </c>
      <c r="AJ3257">
        <v>1</v>
      </c>
      <c r="AK3257">
        <v>2</v>
      </c>
      <c r="AL3257">
        <v>53.88</v>
      </c>
      <c r="AO3257" t="s">
        <v>2927</v>
      </c>
      <c r="AP3257">
        <v>11196</v>
      </c>
      <c r="AV3257">
        <v>1.7</v>
      </c>
      <c r="AW3257" t="s">
        <v>271</v>
      </c>
      <c r="AX3257" t="s">
        <v>3067</v>
      </c>
    </row>
    <row r="3258" spans="1:50">
      <c r="A3258" s="1" t="s">
        <v>50</v>
      </c>
      <c r="B3258" t="s">
        <v>3144</v>
      </c>
      <c r="C3258" t="s">
        <v>164</v>
      </c>
      <c r="D3258" t="s">
        <v>6560</v>
      </c>
      <c r="E3258" t="s">
        <v>371</v>
      </c>
      <c r="F3258" t="s">
        <v>208</v>
      </c>
      <c r="G3258" t="s">
        <v>7621</v>
      </c>
      <c r="H3258" t="s">
        <v>848</v>
      </c>
      <c r="I3258" t="s">
        <v>11668</v>
      </c>
      <c r="J3258" t="s">
        <v>1600</v>
      </c>
      <c r="K3258" t="s">
        <v>1641</v>
      </c>
      <c r="L3258">
        <v>10468</v>
      </c>
      <c r="M3258" t="s">
        <v>1670</v>
      </c>
      <c r="Q3258" t="s">
        <v>1952</v>
      </c>
      <c r="R3258" t="s">
        <v>1962</v>
      </c>
      <c r="S3258" t="s">
        <v>1965</v>
      </c>
      <c r="T3258" t="s">
        <v>1670</v>
      </c>
      <c r="U3258" t="s">
        <v>50</v>
      </c>
      <c r="V3258" t="s">
        <v>1972</v>
      </c>
      <c r="X3258" t="s">
        <v>176</v>
      </c>
      <c r="Y3258">
        <v>532</v>
      </c>
      <c r="Z3258" t="s">
        <v>2006</v>
      </c>
      <c r="AA3258" t="s">
        <v>2014</v>
      </c>
      <c r="AB3258" t="s">
        <v>2029</v>
      </c>
      <c r="AC3258" t="s">
        <v>15574</v>
      </c>
      <c r="AD3258" t="s">
        <v>17723</v>
      </c>
      <c r="AE3258" t="s">
        <v>17996</v>
      </c>
      <c r="AF3258">
        <v>45</v>
      </c>
      <c r="AG3258" t="s">
        <v>2902</v>
      </c>
      <c r="AH3258" t="s">
        <v>2915</v>
      </c>
      <c r="AI3258">
        <v>10</v>
      </c>
      <c r="AJ3258">
        <v>1</v>
      </c>
      <c r="AK3258">
        <v>2</v>
      </c>
      <c r="AL3258">
        <v>92.23999999999999</v>
      </c>
      <c r="AO3258" t="s">
        <v>2926</v>
      </c>
      <c r="AP3258">
        <v>19168</v>
      </c>
      <c r="AQ3258" t="s">
        <v>18439</v>
      </c>
      <c r="AV3258">
        <v>1</v>
      </c>
      <c r="AW3258" t="s">
        <v>176</v>
      </c>
      <c r="AX3258" t="s">
        <v>18655</v>
      </c>
    </row>
    <row r="3259" spans="1:50">
      <c r="A3259" s="1" t="s">
        <v>50</v>
      </c>
      <c r="B3259" t="s">
        <v>52</v>
      </c>
      <c r="C3259" t="s">
        <v>164</v>
      </c>
      <c r="D3259" t="s">
        <v>6561</v>
      </c>
      <c r="E3259" t="s">
        <v>255</v>
      </c>
      <c r="F3259" t="s">
        <v>326</v>
      </c>
      <c r="G3259" t="s">
        <v>726</v>
      </c>
      <c r="H3259" t="s">
        <v>8774</v>
      </c>
      <c r="I3259" t="s">
        <v>11669</v>
      </c>
      <c r="J3259" t="s">
        <v>1498</v>
      </c>
      <c r="K3259" t="s">
        <v>1641</v>
      </c>
      <c r="L3259">
        <v>10451</v>
      </c>
      <c r="M3259" t="s">
        <v>1670</v>
      </c>
      <c r="Q3259" t="s">
        <v>1938</v>
      </c>
      <c r="R3259" t="s">
        <v>1958</v>
      </c>
      <c r="S3259" t="s">
        <v>1965</v>
      </c>
      <c r="T3259" t="s">
        <v>1671</v>
      </c>
      <c r="V3259" t="s">
        <v>1972</v>
      </c>
      <c r="X3259" t="s">
        <v>1991</v>
      </c>
      <c r="Y3259">
        <v>1155</v>
      </c>
      <c r="Z3259" t="s">
        <v>2006</v>
      </c>
      <c r="AA3259" t="s">
        <v>2015</v>
      </c>
      <c r="AB3259" t="s">
        <v>2029</v>
      </c>
      <c r="AC3259" t="s">
        <v>15575</v>
      </c>
      <c r="AD3259" t="s">
        <v>17724</v>
      </c>
      <c r="AF3259" t="s">
        <v>13051</v>
      </c>
      <c r="AG3259" t="s">
        <v>2902</v>
      </c>
      <c r="AH3259" t="s">
        <v>2917</v>
      </c>
      <c r="AI3259">
        <v>20</v>
      </c>
      <c r="AJ3259">
        <v>1</v>
      </c>
      <c r="AK3259">
        <v>3</v>
      </c>
      <c r="AL3259">
        <v>75.26000000000001</v>
      </c>
      <c r="AO3259" t="s">
        <v>2927</v>
      </c>
      <c r="AP3259">
        <v>19380</v>
      </c>
      <c r="AV3259">
        <v>1.1</v>
      </c>
      <c r="AW3259" t="s">
        <v>326</v>
      </c>
      <c r="AX3259" t="s">
        <v>52</v>
      </c>
    </row>
    <row r="3260" spans="1:50">
      <c r="A3260" s="1" t="s">
        <v>50</v>
      </c>
      <c r="B3260" t="s">
        <v>107</v>
      </c>
      <c r="C3260" t="s">
        <v>164</v>
      </c>
      <c r="D3260" t="s">
        <v>6562</v>
      </c>
      <c r="E3260" t="s">
        <v>224</v>
      </c>
      <c r="F3260" t="s">
        <v>359</v>
      </c>
      <c r="G3260" t="s">
        <v>434</v>
      </c>
      <c r="H3260" t="s">
        <v>10862</v>
      </c>
      <c r="I3260" t="s">
        <v>11670</v>
      </c>
      <c r="J3260" t="s">
        <v>1501</v>
      </c>
      <c r="K3260" t="s">
        <v>1644</v>
      </c>
      <c r="L3260">
        <v>11212</v>
      </c>
      <c r="M3260" t="s">
        <v>1670</v>
      </c>
      <c r="P3260" t="s">
        <v>12982</v>
      </c>
      <c r="Q3260" t="s">
        <v>1936</v>
      </c>
      <c r="R3260" t="s">
        <v>1958</v>
      </c>
      <c r="S3260" t="s">
        <v>1965</v>
      </c>
      <c r="T3260" t="s">
        <v>1671</v>
      </c>
      <c r="V3260" t="s">
        <v>1972</v>
      </c>
      <c r="W3260" t="s">
        <v>1984</v>
      </c>
      <c r="X3260" t="s">
        <v>231</v>
      </c>
      <c r="Y3260">
        <v>1700</v>
      </c>
      <c r="Z3260" t="s">
        <v>2009</v>
      </c>
      <c r="AA3260" t="s">
        <v>2015</v>
      </c>
      <c r="AB3260" t="s">
        <v>2029</v>
      </c>
      <c r="AC3260" t="s">
        <v>15576</v>
      </c>
      <c r="AD3260" t="s">
        <v>17725</v>
      </c>
      <c r="AE3260" t="s">
        <v>17997</v>
      </c>
      <c r="AF3260">
        <v>5</v>
      </c>
      <c r="AG3260" t="s">
        <v>2903</v>
      </c>
      <c r="AH3260" t="s">
        <v>1754</v>
      </c>
      <c r="AI3260">
        <v>1</v>
      </c>
      <c r="AJ3260">
        <v>1</v>
      </c>
      <c r="AK3260">
        <v>1</v>
      </c>
      <c r="AL3260">
        <v>130.63</v>
      </c>
      <c r="AO3260" t="s">
        <v>2926</v>
      </c>
      <c r="AP3260">
        <v>21502</v>
      </c>
      <c r="AV3260">
        <v>2.1</v>
      </c>
      <c r="AW3260" t="s">
        <v>231</v>
      </c>
      <c r="AX3260" t="s">
        <v>3059</v>
      </c>
    </row>
    <row r="3261" spans="1:50">
      <c r="A3261" s="1" t="s">
        <v>50</v>
      </c>
      <c r="B3261" t="s">
        <v>127</v>
      </c>
      <c r="C3261" t="s">
        <v>164</v>
      </c>
      <c r="D3261" t="s">
        <v>6563</v>
      </c>
      <c r="E3261" t="s">
        <v>2002</v>
      </c>
      <c r="F3261" t="s">
        <v>6186</v>
      </c>
      <c r="G3261" t="s">
        <v>9306</v>
      </c>
      <c r="H3261" t="s">
        <v>848</v>
      </c>
      <c r="I3261" t="s">
        <v>11671</v>
      </c>
      <c r="J3261">
        <v>5</v>
      </c>
      <c r="K3261" t="s">
        <v>1644</v>
      </c>
      <c r="L3261">
        <v>11207</v>
      </c>
      <c r="M3261" t="s">
        <v>1670</v>
      </c>
      <c r="Q3261" t="s">
        <v>1939</v>
      </c>
      <c r="R3261" t="s">
        <v>1962</v>
      </c>
      <c r="S3261" t="s">
        <v>1968</v>
      </c>
      <c r="T3261" t="s">
        <v>1671</v>
      </c>
      <c r="V3261" t="s">
        <v>1972</v>
      </c>
      <c r="W3261" t="s">
        <v>1984</v>
      </c>
      <c r="X3261" t="s">
        <v>2002</v>
      </c>
      <c r="Y3261">
        <v>1000</v>
      </c>
      <c r="Z3261" t="s">
        <v>2009</v>
      </c>
      <c r="AA3261" t="s">
        <v>2015</v>
      </c>
      <c r="AB3261" t="s">
        <v>2038</v>
      </c>
      <c r="AC3261" t="s">
        <v>15577</v>
      </c>
      <c r="AD3261" t="s">
        <v>17726</v>
      </c>
      <c r="AE3261" t="s">
        <v>17998</v>
      </c>
      <c r="AF3261">
        <v>6</v>
      </c>
      <c r="AG3261" t="s">
        <v>2902</v>
      </c>
      <c r="AH3261" t="s">
        <v>2917</v>
      </c>
      <c r="AI3261">
        <v>11</v>
      </c>
      <c r="AJ3261">
        <v>1</v>
      </c>
      <c r="AK3261">
        <v>3</v>
      </c>
      <c r="AL3261">
        <v>28.72</v>
      </c>
      <c r="AO3261" t="s">
        <v>2927</v>
      </c>
      <c r="AP3261">
        <v>7209</v>
      </c>
      <c r="AV3261">
        <v>1.7</v>
      </c>
      <c r="AW3261" t="s">
        <v>318</v>
      </c>
      <c r="AX3261" t="s">
        <v>127</v>
      </c>
    </row>
    <row r="3262" spans="1:50">
      <c r="A3262" s="1" t="s">
        <v>50</v>
      </c>
      <c r="B3262" t="s">
        <v>86</v>
      </c>
      <c r="C3262" t="s">
        <v>164</v>
      </c>
      <c r="D3262" t="s">
        <v>6564</v>
      </c>
      <c r="E3262" t="s">
        <v>201</v>
      </c>
      <c r="F3262" t="s">
        <v>314</v>
      </c>
      <c r="G3262" t="s">
        <v>530</v>
      </c>
      <c r="H3262" t="s">
        <v>10863</v>
      </c>
      <c r="I3262" t="s">
        <v>11672</v>
      </c>
      <c r="J3262">
        <v>42</v>
      </c>
      <c r="K3262" t="s">
        <v>1641</v>
      </c>
      <c r="L3262">
        <v>10468</v>
      </c>
      <c r="M3262" t="s">
        <v>1670</v>
      </c>
      <c r="P3262" t="s">
        <v>1691</v>
      </c>
      <c r="Q3262" t="s">
        <v>1941</v>
      </c>
      <c r="R3262" t="s">
        <v>1958</v>
      </c>
      <c r="S3262" t="s">
        <v>1965</v>
      </c>
      <c r="T3262" t="s">
        <v>1671</v>
      </c>
      <c r="V3262" t="s">
        <v>1972</v>
      </c>
      <c r="W3262" t="s">
        <v>1984</v>
      </c>
      <c r="X3262" t="s">
        <v>216</v>
      </c>
      <c r="Y3262">
        <v>1200</v>
      </c>
      <c r="Z3262" t="s">
        <v>2006</v>
      </c>
      <c r="AA3262" t="s">
        <v>2015</v>
      </c>
      <c r="AB3262" t="s">
        <v>2029</v>
      </c>
      <c r="AC3262" t="s">
        <v>15578</v>
      </c>
      <c r="AD3262" t="s">
        <v>17727</v>
      </c>
      <c r="AE3262" t="s">
        <v>17999</v>
      </c>
      <c r="AF3262">
        <v>27</v>
      </c>
      <c r="AG3262" t="s">
        <v>2904</v>
      </c>
      <c r="AH3262" t="s">
        <v>2915</v>
      </c>
      <c r="AI3262">
        <v>35</v>
      </c>
      <c r="AJ3262">
        <v>1</v>
      </c>
      <c r="AK3262">
        <v>2</v>
      </c>
      <c r="AL3262">
        <v>193.28</v>
      </c>
      <c r="AO3262" t="s">
        <v>2926</v>
      </c>
      <c r="AP3262">
        <v>40162.8</v>
      </c>
      <c r="AQ3262" t="s">
        <v>18440</v>
      </c>
      <c r="AV3262">
        <v>0.2</v>
      </c>
      <c r="AW3262" t="s">
        <v>175</v>
      </c>
      <c r="AX3262" t="s">
        <v>3047</v>
      </c>
    </row>
    <row r="3263" spans="1:50">
      <c r="A3263" s="1" t="s">
        <v>50</v>
      </c>
      <c r="B3263" t="s">
        <v>103</v>
      </c>
      <c r="C3263" t="s">
        <v>163</v>
      </c>
      <c r="D3263" t="s">
        <v>6565</v>
      </c>
      <c r="E3263" t="s">
        <v>299</v>
      </c>
      <c r="G3263" t="s">
        <v>9307</v>
      </c>
      <c r="H3263" t="s">
        <v>10864</v>
      </c>
      <c r="I3263" t="s">
        <v>11673</v>
      </c>
      <c r="J3263">
        <v>1</v>
      </c>
      <c r="K3263" t="s">
        <v>1644</v>
      </c>
      <c r="L3263">
        <v>11233</v>
      </c>
      <c r="M3263" t="s">
        <v>1670</v>
      </c>
      <c r="P3263" t="s">
        <v>12983</v>
      </c>
      <c r="Q3263" t="s">
        <v>1940</v>
      </c>
      <c r="R3263" t="s">
        <v>1958</v>
      </c>
      <c r="T3263" t="s">
        <v>1671</v>
      </c>
      <c r="V3263" t="s">
        <v>1972</v>
      </c>
      <c r="W3263" t="s">
        <v>1983</v>
      </c>
      <c r="X3263" t="s">
        <v>299</v>
      </c>
      <c r="Y3263" t="s">
        <v>13051</v>
      </c>
      <c r="Z3263" t="s">
        <v>2009</v>
      </c>
      <c r="AC3263" t="s">
        <v>2223</v>
      </c>
      <c r="AD3263" t="s">
        <v>17728</v>
      </c>
      <c r="AF3263" t="s">
        <v>13051</v>
      </c>
      <c r="AG3263" t="s">
        <v>2903</v>
      </c>
      <c r="AH3263" t="s">
        <v>2915</v>
      </c>
      <c r="AI3263">
        <v>0</v>
      </c>
      <c r="AJ3263">
        <v>2</v>
      </c>
      <c r="AK3263">
        <v>3</v>
      </c>
      <c r="AL3263" t="s">
        <v>13051</v>
      </c>
      <c r="AO3263" t="s">
        <v>2926</v>
      </c>
      <c r="AP3263" t="s">
        <v>13051</v>
      </c>
      <c r="AV3263">
        <v>1.5</v>
      </c>
      <c r="AW3263" t="s">
        <v>320</v>
      </c>
      <c r="AX3263" t="s">
        <v>3059</v>
      </c>
    </row>
    <row r="3264" spans="1:50">
      <c r="A3264" s="1" t="s">
        <v>50</v>
      </c>
      <c r="B3264" t="s">
        <v>103</v>
      </c>
      <c r="C3264" t="s">
        <v>163</v>
      </c>
      <c r="D3264" t="s">
        <v>6566</v>
      </c>
      <c r="E3264" t="s">
        <v>237</v>
      </c>
      <c r="G3264" t="s">
        <v>9307</v>
      </c>
      <c r="H3264" t="s">
        <v>10865</v>
      </c>
      <c r="I3264" t="s">
        <v>11674</v>
      </c>
      <c r="J3264">
        <v>1</v>
      </c>
      <c r="K3264" t="s">
        <v>1644</v>
      </c>
      <c r="L3264">
        <v>11233</v>
      </c>
      <c r="M3264" t="s">
        <v>1670</v>
      </c>
      <c r="P3264" t="s">
        <v>12984</v>
      </c>
      <c r="Q3264" t="s">
        <v>1940</v>
      </c>
      <c r="R3264" t="s">
        <v>1963</v>
      </c>
      <c r="T3264" t="s">
        <v>1671</v>
      </c>
      <c r="V3264" t="s">
        <v>1972</v>
      </c>
      <c r="X3264" t="s">
        <v>237</v>
      </c>
      <c r="Y3264">
        <v>230</v>
      </c>
      <c r="Z3264" t="s">
        <v>2009</v>
      </c>
      <c r="AA3264" t="s">
        <v>2026</v>
      </c>
      <c r="AC3264" t="s">
        <v>15579</v>
      </c>
      <c r="AD3264" t="s">
        <v>17728</v>
      </c>
      <c r="AE3264" t="s">
        <v>18000</v>
      </c>
      <c r="AF3264">
        <v>3</v>
      </c>
      <c r="AG3264" t="s">
        <v>2909</v>
      </c>
      <c r="AH3264" t="s">
        <v>2915</v>
      </c>
      <c r="AI3264">
        <v>4</v>
      </c>
      <c r="AJ3264">
        <v>1</v>
      </c>
      <c r="AK3264">
        <v>4</v>
      </c>
      <c r="AL3264">
        <v>52.17</v>
      </c>
      <c r="AO3264" t="s">
        <v>2926</v>
      </c>
      <c r="AP3264">
        <v>15740</v>
      </c>
      <c r="AV3264" t="s">
        <v>13051</v>
      </c>
      <c r="AX3264" t="s">
        <v>3049</v>
      </c>
    </row>
    <row r="3265" spans="1:50">
      <c r="A3265" s="1" t="s">
        <v>50</v>
      </c>
      <c r="B3265" t="s">
        <v>71</v>
      </c>
      <c r="C3265" t="s">
        <v>164</v>
      </c>
      <c r="D3265" t="s">
        <v>6567</v>
      </c>
      <c r="E3265" t="s">
        <v>370</v>
      </c>
      <c r="F3265" t="s">
        <v>281</v>
      </c>
      <c r="G3265" t="s">
        <v>7660</v>
      </c>
      <c r="H3265" t="s">
        <v>890</v>
      </c>
      <c r="I3265" t="s">
        <v>1292</v>
      </c>
      <c r="J3265" t="s">
        <v>11120</v>
      </c>
      <c r="K3265" t="s">
        <v>1646</v>
      </c>
      <c r="L3265">
        <v>10304</v>
      </c>
      <c r="M3265" t="s">
        <v>1670</v>
      </c>
      <c r="P3265" t="s">
        <v>12985</v>
      </c>
      <c r="Q3265" t="s">
        <v>1936</v>
      </c>
      <c r="R3265" t="s">
        <v>1960</v>
      </c>
      <c r="S3265" t="s">
        <v>1969</v>
      </c>
      <c r="T3265" t="s">
        <v>1671</v>
      </c>
      <c r="V3265" t="s">
        <v>1972</v>
      </c>
      <c r="W3265" t="s">
        <v>1983</v>
      </c>
      <c r="X3265" t="s">
        <v>370</v>
      </c>
      <c r="Y3265">
        <v>1550</v>
      </c>
      <c r="Z3265" t="s">
        <v>2010</v>
      </c>
      <c r="AA3265" t="s">
        <v>2017</v>
      </c>
      <c r="AB3265" t="s">
        <v>2033</v>
      </c>
      <c r="AC3265" t="s">
        <v>15580</v>
      </c>
      <c r="AD3265" t="s">
        <v>17729</v>
      </c>
      <c r="AE3265" t="s">
        <v>18001</v>
      </c>
      <c r="AF3265">
        <v>85</v>
      </c>
      <c r="AG3265" t="s">
        <v>2902</v>
      </c>
      <c r="AH3265" t="s">
        <v>2917</v>
      </c>
      <c r="AI3265">
        <v>4</v>
      </c>
      <c r="AJ3265">
        <v>1</v>
      </c>
      <c r="AK3265">
        <v>4</v>
      </c>
      <c r="AL3265">
        <v>35.47</v>
      </c>
      <c r="AO3265" t="s">
        <v>2926</v>
      </c>
      <c r="AP3265">
        <v>10434</v>
      </c>
      <c r="AR3265" t="s">
        <v>2979</v>
      </c>
      <c r="AS3265" t="s">
        <v>2017</v>
      </c>
      <c r="AT3265" t="s">
        <v>2993</v>
      </c>
      <c r="AU3265" t="s">
        <v>18639</v>
      </c>
      <c r="AV3265">
        <v>13.5</v>
      </c>
      <c r="AW3265" t="s">
        <v>281</v>
      </c>
      <c r="AX3265" t="s">
        <v>3062</v>
      </c>
    </row>
    <row r="3266" spans="1:50">
      <c r="A3266" s="1" t="s">
        <v>50</v>
      </c>
      <c r="B3266" t="s">
        <v>72</v>
      </c>
      <c r="C3266" t="s">
        <v>163</v>
      </c>
      <c r="D3266" t="s">
        <v>6568</v>
      </c>
      <c r="E3266" t="s">
        <v>395</v>
      </c>
      <c r="G3266" t="s">
        <v>7089</v>
      </c>
      <c r="H3266" t="s">
        <v>806</v>
      </c>
      <c r="I3266" t="s">
        <v>11675</v>
      </c>
      <c r="J3266" t="s">
        <v>1477</v>
      </c>
      <c r="K3266" t="s">
        <v>1643</v>
      </c>
      <c r="L3266">
        <v>10029</v>
      </c>
      <c r="M3266" t="s">
        <v>1670</v>
      </c>
      <c r="P3266" t="s">
        <v>12986</v>
      </c>
      <c r="Q3266" t="s">
        <v>1936</v>
      </c>
      <c r="R3266" t="s">
        <v>1963</v>
      </c>
      <c r="T3266" t="s">
        <v>1671</v>
      </c>
      <c r="V3266" t="s">
        <v>1972</v>
      </c>
      <c r="W3266" t="s">
        <v>1984</v>
      </c>
      <c r="X3266" t="s">
        <v>381</v>
      </c>
      <c r="Y3266">
        <v>1311</v>
      </c>
      <c r="Z3266" t="s">
        <v>2008</v>
      </c>
      <c r="AA3266" t="s">
        <v>2025</v>
      </c>
      <c r="AC3266" t="s">
        <v>15581</v>
      </c>
      <c r="AD3266" t="s">
        <v>17730</v>
      </c>
      <c r="AE3266" t="s">
        <v>18002</v>
      </c>
      <c r="AF3266">
        <v>13</v>
      </c>
      <c r="AG3266" t="s">
        <v>2902</v>
      </c>
      <c r="AH3266" t="s">
        <v>2917</v>
      </c>
      <c r="AI3266">
        <v>4</v>
      </c>
      <c r="AJ3266">
        <v>1</v>
      </c>
      <c r="AK3266">
        <v>4</v>
      </c>
      <c r="AL3266">
        <v>27.66</v>
      </c>
      <c r="AO3266" t="s">
        <v>2927</v>
      </c>
      <c r="AP3266">
        <v>8138</v>
      </c>
      <c r="AV3266">
        <v>104.2</v>
      </c>
      <c r="AW3266" t="s">
        <v>400</v>
      </c>
      <c r="AX3266" t="s">
        <v>3078</v>
      </c>
    </row>
    <row r="3267" spans="1:50">
      <c r="A3267" s="1" t="s">
        <v>50</v>
      </c>
      <c r="B3267" t="s">
        <v>62</v>
      </c>
      <c r="C3267" t="s">
        <v>163</v>
      </c>
      <c r="D3267" t="s">
        <v>6569</v>
      </c>
      <c r="E3267" t="s">
        <v>6178</v>
      </c>
      <c r="G3267" t="s">
        <v>7146</v>
      </c>
      <c r="H3267" t="s">
        <v>8458</v>
      </c>
      <c r="I3267" t="s">
        <v>9933</v>
      </c>
      <c r="J3267" t="s">
        <v>1625</v>
      </c>
      <c r="K3267" t="s">
        <v>1644</v>
      </c>
      <c r="L3267">
        <v>11226</v>
      </c>
      <c r="M3267" t="s">
        <v>1670</v>
      </c>
      <c r="Q3267" t="s">
        <v>1941</v>
      </c>
      <c r="R3267" t="s">
        <v>1959</v>
      </c>
      <c r="T3267" t="s">
        <v>1670</v>
      </c>
      <c r="V3267" t="s">
        <v>1972</v>
      </c>
      <c r="X3267" t="s">
        <v>247</v>
      </c>
      <c r="Y3267">
        <v>1324</v>
      </c>
      <c r="Z3267" t="s">
        <v>2009</v>
      </c>
      <c r="AA3267" t="s">
        <v>2020</v>
      </c>
      <c r="AC3267" t="s">
        <v>15582</v>
      </c>
      <c r="AD3267" t="s">
        <v>17731</v>
      </c>
      <c r="AE3267" t="s">
        <v>18003</v>
      </c>
      <c r="AF3267">
        <v>65</v>
      </c>
      <c r="AH3267" t="s">
        <v>2917</v>
      </c>
      <c r="AI3267">
        <v>12</v>
      </c>
      <c r="AJ3267">
        <v>2</v>
      </c>
      <c r="AK3267">
        <v>3</v>
      </c>
      <c r="AL3267">
        <v>43.81</v>
      </c>
      <c r="AO3267" t="s">
        <v>2926</v>
      </c>
      <c r="AP3267">
        <v>13357.44</v>
      </c>
      <c r="AV3267">
        <v>0.5</v>
      </c>
      <c r="AW3267" t="s">
        <v>6178</v>
      </c>
      <c r="AX3267" t="s">
        <v>3079</v>
      </c>
    </row>
    <row r="3268" spans="1:50">
      <c r="A3268" s="1" t="s">
        <v>50</v>
      </c>
      <c r="B3268" t="s">
        <v>103</v>
      </c>
      <c r="C3268" t="s">
        <v>164</v>
      </c>
      <c r="D3268" t="s">
        <v>6570</v>
      </c>
      <c r="E3268" t="s">
        <v>343</v>
      </c>
      <c r="F3268" t="s">
        <v>270</v>
      </c>
      <c r="G3268" t="s">
        <v>7266</v>
      </c>
      <c r="H3268" t="s">
        <v>7464</v>
      </c>
      <c r="I3268" t="s">
        <v>11676</v>
      </c>
      <c r="J3268">
        <v>2</v>
      </c>
      <c r="K3268" t="s">
        <v>1644</v>
      </c>
      <c r="L3268">
        <v>11212</v>
      </c>
      <c r="M3268" t="s">
        <v>1670</v>
      </c>
      <c r="P3268" t="s">
        <v>12987</v>
      </c>
      <c r="Q3268" t="s">
        <v>1936</v>
      </c>
      <c r="R3268" t="s">
        <v>1958</v>
      </c>
      <c r="S3268" t="s">
        <v>1965</v>
      </c>
      <c r="T3268" t="s">
        <v>1671</v>
      </c>
      <c r="V3268" t="s">
        <v>1972</v>
      </c>
      <c r="X3268" t="s">
        <v>343</v>
      </c>
      <c r="Y3268">
        <v>1956</v>
      </c>
      <c r="Z3268" t="s">
        <v>2009</v>
      </c>
      <c r="AA3268" t="s">
        <v>2024</v>
      </c>
      <c r="AB3268" t="s">
        <v>2029</v>
      </c>
      <c r="AC3268" t="s">
        <v>15583</v>
      </c>
      <c r="AD3268" t="s">
        <v>17732</v>
      </c>
      <c r="AE3268" t="s">
        <v>18004</v>
      </c>
      <c r="AF3268">
        <v>3</v>
      </c>
      <c r="AG3268" t="s">
        <v>2904</v>
      </c>
      <c r="AH3268" t="s">
        <v>2918</v>
      </c>
      <c r="AI3268">
        <v>2</v>
      </c>
      <c r="AJ3268">
        <v>1</v>
      </c>
      <c r="AK3268">
        <v>3</v>
      </c>
      <c r="AL3268">
        <v>46.37</v>
      </c>
      <c r="AO3268" t="s">
        <v>2926</v>
      </c>
      <c r="AP3268">
        <v>11640</v>
      </c>
      <c r="AV3268">
        <v>3.5</v>
      </c>
      <c r="AW3268" t="s">
        <v>331</v>
      </c>
      <c r="AX3268" t="s">
        <v>3083</v>
      </c>
    </row>
    <row r="3269" spans="1:50">
      <c r="A3269" s="1" t="s">
        <v>50</v>
      </c>
      <c r="B3269" t="s">
        <v>103</v>
      </c>
      <c r="C3269" t="s">
        <v>163</v>
      </c>
      <c r="D3269" t="s">
        <v>6571</v>
      </c>
      <c r="E3269" t="s">
        <v>347</v>
      </c>
      <c r="G3269" t="s">
        <v>7130</v>
      </c>
      <c r="H3269" t="s">
        <v>10866</v>
      </c>
      <c r="I3269" t="s">
        <v>11677</v>
      </c>
      <c r="J3269" t="s">
        <v>1501</v>
      </c>
      <c r="K3269" t="s">
        <v>1644</v>
      </c>
      <c r="L3269">
        <v>11207</v>
      </c>
      <c r="M3269" t="s">
        <v>1670</v>
      </c>
      <c r="P3269" t="s">
        <v>12988</v>
      </c>
      <c r="Q3269" t="s">
        <v>1936</v>
      </c>
      <c r="R3269" t="s">
        <v>1958</v>
      </c>
      <c r="T3269" t="s">
        <v>1671</v>
      </c>
      <c r="V3269" t="s">
        <v>1972</v>
      </c>
      <c r="W3269" t="s">
        <v>1987</v>
      </c>
      <c r="X3269" t="s">
        <v>266</v>
      </c>
      <c r="Y3269">
        <v>2065</v>
      </c>
      <c r="Z3269" t="s">
        <v>2009</v>
      </c>
      <c r="AA3269" t="s">
        <v>2011</v>
      </c>
      <c r="AC3269" t="s">
        <v>15584</v>
      </c>
      <c r="AD3269" t="s">
        <v>17733</v>
      </c>
      <c r="AE3269" t="s">
        <v>18005</v>
      </c>
      <c r="AF3269">
        <v>6</v>
      </c>
      <c r="AG3269" t="s">
        <v>2902</v>
      </c>
      <c r="AH3269" t="s">
        <v>2915</v>
      </c>
      <c r="AI3269">
        <v>2</v>
      </c>
      <c r="AJ3269">
        <v>3</v>
      </c>
      <c r="AK3269">
        <v>2</v>
      </c>
      <c r="AL3269">
        <v>20.97</v>
      </c>
      <c r="AO3269" t="s">
        <v>2926</v>
      </c>
      <c r="AP3269">
        <v>6168</v>
      </c>
      <c r="AV3269">
        <v>3.25</v>
      </c>
      <c r="AW3269" t="s">
        <v>277</v>
      </c>
      <c r="AX3269" t="s">
        <v>3060</v>
      </c>
    </row>
    <row r="3270" spans="1:50">
      <c r="A3270" s="1" t="s">
        <v>50</v>
      </c>
      <c r="B3270" t="s">
        <v>162</v>
      </c>
      <c r="C3270" t="s">
        <v>163</v>
      </c>
      <c r="D3270" t="s">
        <v>6572</v>
      </c>
      <c r="E3270" t="s">
        <v>6191</v>
      </c>
      <c r="G3270" t="s">
        <v>470</v>
      </c>
      <c r="H3270" t="s">
        <v>10867</v>
      </c>
      <c r="I3270" t="s">
        <v>9890</v>
      </c>
      <c r="J3270" t="s">
        <v>11798</v>
      </c>
      <c r="K3270" t="s">
        <v>1645</v>
      </c>
      <c r="L3270">
        <v>11691</v>
      </c>
      <c r="M3270" t="s">
        <v>1670</v>
      </c>
      <c r="Q3270" t="s">
        <v>1944</v>
      </c>
      <c r="R3270" t="s">
        <v>1959</v>
      </c>
      <c r="T3270" t="s">
        <v>1671</v>
      </c>
      <c r="V3270" t="s">
        <v>1972</v>
      </c>
      <c r="W3270" t="s">
        <v>1984</v>
      </c>
      <c r="X3270" t="s">
        <v>231</v>
      </c>
      <c r="Y3270">
        <v>1000</v>
      </c>
      <c r="Z3270" t="s">
        <v>2007</v>
      </c>
      <c r="AA3270" t="s">
        <v>2020</v>
      </c>
      <c r="AC3270" t="s">
        <v>15585</v>
      </c>
      <c r="AD3270" t="s">
        <v>17734</v>
      </c>
      <c r="AE3270" t="s">
        <v>18006</v>
      </c>
      <c r="AF3270">
        <v>231</v>
      </c>
      <c r="AG3270" t="s">
        <v>2906</v>
      </c>
      <c r="AH3270" t="s">
        <v>2915</v>
      </c>
      <c r="AI3270">
        <v>35</v>
      </c>
      <c r="AJ3270">
        <v>1</v>
      </c>
      <c r="AK3270">
        <v>3</v>
      </c>
      <c r="AL3270" t="s">
        <v>13051</v>
      </c>
      <c r="AO3270" t="s">
        <v>2926</v>
      </c>
      <c r="AP3270" t="s">
        <v>13051</v>
      </c>
      <c r="AR3270" t="s">
        <v>2979</v>
      </c>
      <c r="AS3270" t="s">
        <v>18493</v>
      </c>
      <c r="AT3270" t="s">
        <v>2992</v>
      </c>
      <c r="AU3270" t="s">
        <v>18640</v>
      </c>
      <c r="AV3270">
        <v>0.4</v>
      </c>
      <c r="AW3270" t="s">
        <v>183</v>
      </c>
      <c r="AX3270" t="s">
        <v>53</v>
      </c>
    </row>
    <row r="3271" spans="1:50">
      <c r="A3271" s="1" t="s">
        <v>50</v>
      </c>
      <c r="B3271" t="s">
        <v>53</v>
      </c>
      <c r="C3271" t="s">
        <v>164</v>
      </c>
      <c r="D3271" t="s">
        <v>6573</v>
      </c>
      <c r="E3271" t="s">
        <v>231</v>
      </c>
      <c r="F3271" t="s">
        <v>191</v>
      </c>
      <c r="G3271" t="s">
        <v>470</v>
      </c>
      <c r="H3271" t="s">
        <v>10867</v>
      </c>
      <c r="I3271" t="s">
        <v>9890</v>
      </c>
      <c r="J3271" t="s">
        <v>11798</v>
      </c>
      <c r="K3271" t="s">
        <v>1645</v>
      </c>
      <c r="L3271">
        <v>11691</v>
      </c>
      <c r="M3271" t="s">
        <v>1670</v>
      </c>
      <c r="P3271" t="s">
        <v>12989</v>
      </c>
      <c r="Q3271" t="s">
        <v>1936</v>
      </c>
      <c r="R3271" t="s">
        <v>1960</v>
      </c>
      <c r="S3271" t="s">
        <v>1969</v>
      </c>
      <c r="T3271" t="s">
        <v>1671</v>
      </c>
      <c r="V3271" t="s">
        <v>1972</v>
      </c>
      <c r="W3271" t="s">
        <v>1984</v>
      </c>
      <c r="X3271" t="s">
        <v>231</v>
      </c>
      <c r="Y3271">
        <v>1497</v>
      </c>
      <c r="Z3271" t="s">
        <v>2007</v>
      </c>
      <c r="AA3271" t="s">
        <v>2020</v>
      </c>
      <c r="AB3271" t="s">
        <v>2032</v>
      </c>
      <c r="AC3271" t="s">
        <v>15585</v>
      </c>
      <c r="AD3271" t="s">
        <v>17734</v>
      </c>
      <c r="AE3271" t="s">
        <v>18006</v>
      </c>
      <c r="AF3271">
        <v>231</v>
      </c>
      <c r="AG3271" t="s">
        <v>2906</v>
      </c>
      <c r="AH3271" t="s">
        <v>2915</v>
      </c>
      <c r="AI3271">
        <v>35</v>
      </c>
      <c r="AJ3271">
        <v>1</v>
      </c>
      <c r="AK3271">
        <v>3</v>
      </c>
      <c r="AL3271" t="s">
        <v>13051</v>
      </c>
      <c r="AO3271" t="s">
        <v>2926</v>
      </c>
      <c r="AP3271" t="s">
        <v>13051</v>
      </c>
      <c r="AR3271" t="s">
        <v>2979</v>
      </c>
      <c r="AS3271" t="s">
        <v>18493</v>
      </c>
      <c r="AT3271" t="s">
        <v>2992</v>
      </c>
      <c r="AU3271" t="s">
        <v>18640</v>
      </c>
      <c r="AV3271">
        <v>8.6</v>
      </c>
      <c r="AW3271" t="s">
        <v>190</v>
      </c>
      <c r="AX3271" t="s">
        <v>3044</v>
      </c>
    </row>
    <row r="3272" spans="1:50">
      <c r="A3272" s="1" t="s">
        <v>50</v>
      </c>
      <c r="B3272" t="s">
        <v>97</v>
      </c>
      <c r="C3272" t="s">
        <v>164</v>
      </c>
      <c r="D3272" t="s">
        <v>6574</v>
      </c>
      <c r="E3272" t="s">
        <v>180</v>
      </c>
      <c r="F3272" t="s">
        <v>6762</v>
      </c>
      <c r="G3272" t="s">
        <v>9154</v>
      </c>
      <c r="H3272" t="s">
        <v>7951</v>
      </c>
      <c r="I3272" t="s">
        <v>9507</v>
      </c>
      <c r="J3272">
        <v>2</v>
      </c>
      <c r="K3272" t="s">
        <v>1643</v>
      </c>
      <c r="L3272">
        <v>10034</v>
      </c>
      <c r="M3272" t="s">
        <v>1670</v>
      </c>
      <c r="Q3272" t="s">
        <v>1945</v>
      </c>
      <c r="R3272" t="s">
        <v>1962</v>
      </c>
      <c r="S3272" t="s">
        <v>1968</v>
      </c>
      <c r="T3272" t="s">
        <v>1671</v>
      </c>
      <c r="V3272" t="s">
        <v>1972</v>
      </c>
      <c r="X3272" t="s">
        <v>180</v>
      </c>
      <c r="Y3272">
        <v>817.5700000000001</v>
      </c>
      <c r="Z3272" t="s">
        <v>2008</v>
      </c>
      <c r="AA3272" t="s">
        <v>2020</v>
      </c>
      <c r="AB3272" t="s">
        <v>2034</v>
      </c>
      <c r="AC3272" t="s">
        <v>15322</v>
      </c>
      <c r="AD3272" t="s">
        <v>17735</v>
      </c>
      <c r="AE3272" t="s">
        <v>17743</v>
      </c>
      <c r="AF3272">
        <v>25</v>
      </c>
      <c r="AG3272" t="s">
        <v>2902</v>
      </c>
      <c r="AH3272" t="s">
        <v>2919</v>
      </c>
      <c r="AI3272">
        <v>12</v>
      </c>
      <c r="AJ3272">
        <v>1</v>
      </c>
      <c r="AK3272">
        <v>1</v>
      </c>
      <c r="AL3272">
        <v>111.26</v>
      </c>
      <c r="AO3272" t="s">
        <v>2927</v>
      </c>
      <c r="AP3272">
        <v>18312.78</v>
      </c>
      <c r="AV3272">
        <v>2.5</v>
      </c>
      <c r="AW3272" t="s">
        <v>6762</v>
      </c>
      <c r="AX3272" t="s">
        <v>3042</v>
      </c>
    </row>
    <row r="3273" spans="1:50">
      <c r="A3273" s="1" t="s">
        <v>50</v>
      </c>
      <c r="B3273" t="s">
        <v>111</v>
      </c>
      <c r="C3273" t="s">
        <v>163</v>
      </c>
      <c r="D3273" t="s">
        <v>6575</v>
      </c>
      <c r="E3273" t="s">
        <v>202</v>
      </c>
      <c r="G3273" t="s">
        <v>672</v>
      </c>
      <c r="H3273" t="s">
        <v>8212</v>
      </c>
      <c r="I3273" t="s">
        <v>1260</v>
      </c>
      <c r="J3273" t="s">
        <v>1475</v>
      </c>
      <c r="K3273" t="s">
        <v>1641</v>
      </c>
      <c r="L3273">
        <v>10453</v>
      </c>
      <c r="M3273" t="s">
        <v>1670</v>
      </c>
      <c r="Q3273" t="s">
        <v>1675</v>
      </c>
      <c r="R3273" t="s">
        <v>1959</v>
      </c>
      <c r="T3273" t="s">
        <v>1670</v>
      </c>
      <c r="V3273" t="s">
        <v>1972</v>
      </c>
      <c r="X3273" t="s">
        <v>283</v>
      </c>
      <c r="Y3273">
        <v>1497.33</v>
      </c>
      <c r="Z3273" t="s">
        <v>2006</v>
      </c>
      <c r="AA3273" t="s">
        <v>2015</v>
      </c>
      <c r="AC3273" t="s">
        <v>15586</v>
      </c>
      <c r="AD3273" t="s">
        <v>17736</v>
      </c>
      <c r="AE3273" t="s">
        <v>18007</v>
      </c>
      <c r="AF3273">
        <v>49</v>
      </c>
      <c r="AG3273" t="s">
        <v>2902</v>
      </c>
      <c r="AH3273" t="s">
        <v>2918</v>
      </c>
      <c r="AI3273">
        <v>8</v>
      </c>
      <c r="AJ3273">
        <v>2</v>
      </c>
      <c r="AK3273">
        <v>2</v>
      </c>
      <c r="AL3273">
        <v>61.39</v>
      </c>
      <c r="AO3273" t="s">
        <v>2926</v>
      </c>
      <c r="AP3273">
        <v>15408</v>
      </c>
      <c r="AV3273">
        <v>18.7</v>
      </c>
      <c r="AW3273" t="s">
        <v>290</v>
      </c>
      <c r="AX3273" t="s">
        <v>3046</v>
      </c>
    </row>
    <row r="3274" spans="1:50">
      <c r="A3274" s="1" t="s">
        <v>50</v>
      </c>
      <c r="B3274" t="s">
        <v>111</v>
      </c>
      <c r="C3274" t="s">
        <v>163</v>
      </c>
      <c r="D3274" t="s">
        <v>6576</v>
      </c>
      <c r="E3274" t="s">
        <v>202</v>
      </c>
      <c r="G3274" t="s">
        <v>672</v>
      </c>
      <c r="H3274" t="s">
        <v>8212</v>
      </c>
      <c r="I3274" t="s">
        <v>1260</v>
      </c>
      <c r="J3274" t="s">
        <v>1475</v>
      </c>
      <c r="K3274" t="s">
        <v>1641</v>
      </c>
      <c r="L3274">
        <v>10453</v>
      </c>
      <c r="M3274" t="s">
        <v>1671</v>
      </c>
      <c r="Q3274" t="s">
        <v>1938</v>
      </c>
      <c r="R3274" t="s">
        <v>1961</v>
      </c>
      <c r="T3274" t="s">
        <v>1670</v>
      </c>
      <c r="V3274" t="s">
        <v>1972</v>
      </c>
      <c r="X3274" t="s">
        <v>283</v>
      </c>
      <c r="Y3274" t="s">
        <v>13051</v>
      </c>
      <c r="Z3274" t="s">
        <v>2006</v>
      </c>
      <c r="AA3274" t="s">
        <v>2015</v>
      </c>
      <c r="AC3274" t="s">
        <v>15586</v>
      </c>
      <c r="AD3274" t="s">
        <v>17736</v>
      </c>
      <c r="AE3274" t="s">
        <v>18007</v>
      </c>
      <c r="AF3274">
        <v>49</v>
      </c>
      <c r="AG3274" t="s">
        <v>2902</v>
      </c>
      <c r="AH3274" t="s">
        <v>1754</v>
      </c>
      <c r="AI3274">
        <v>0</v>
      </c>
      <c r="AJ3274">
        <v>2</v>
      </c>
      <c r="AK3274">
        <v>2</v>
      </c>
      <c r="AL3274">
        <v>61.39</v>
      </c>
      <c r="AO3274" t="s">
        <v>2926</v>
      </c>
      <c r="AP3274">
        <v>15408</v>
      </c>
      <c r="AV3274">
        <v>12.5</v>
      </c>
      <c r="AW3274" t="s">
        <v>217</v>
      </c>
      <c r="AX3274" t="s">
        <v>3046</v>
      </c>
    </row>
    <row r="3275" spans="1:50">
      <c r="A3275" s="1" t="s">
        <v>50</v>
      </c>
      <c r="B3275" t="s">
        <v>111</v>
      </c>
      <c r="C3275" t="s">
        <v>163</v>
      </c>
      <c r="D3275" t="s">
        <v>6577</v>
      </c>
      <c r="E3275" t="s">
        <v>315</v>
      </c>
      <c r="G3275" t="s">
        <v>672</v>
      </c>
      <c r="H3275" t="s">
        <v>8212</v>
      </c>
      <c r="I3275" t="s">
        <v>1260</v>
      </c>
      <c r="J3275" t="s">
        <v>1475</v>
      </c>
      <c r="K3275" t="s">
        <v>1641</v>
      </c>
      <c r="L3275">
        <v>10453</v>
      </c>
      <c r="M3275" t="s">
        <v>1670</v>
      </c>
      <c r="Q3275" t="s">
        <v>1939</v>
      </c>
      <c r="R3275" t="s">
        <v>1960</v>
      </c>
      <c r="T3275" t="s">
        <v>1670</v>
      </c>
      <c r="V3275" t="s">
        <v>1972</v>
      </c>
      <c r="X3275" t="s">
        <v>315</v>
      </c>
      <c r="Y3275">
        <v>1497.33</v>
      </c>
      <c r="Z3275" t="s">
        <v>2006</v>
      </c>
      <c r="AA3275" t="s">
        <v>2013</v>
      </c>
      <c r="AC3275" t="s">
        <v>15586</v>
      </c>
      <c r="AD3275" t="s">
        <v>17736</v>
      </c>
      <c r="AE3275" t="s">
        <v>18007</v>
      </c>
      <c r="AF3275">
        <v>44</v>
      </c>
      <c r="AG3275" t="s">
        <v>2902</v>
      </c>
      <c r="AH3275" t="s">
        <v>2918</v>
      </c>
      <c r="AI3275">
        <v>8</v>
      </c>
      <c r="AJ3275">
        <v>2</v>
      </c>
      <c r="AK3275">
        <v>2</v>
      </c>
      <c r="AL3275">
        <v>61.39</v>
      </c>
      <c r="AO3275" t="s">
        <v>2926</v>
      </c>
      <c r="AP3275">
        <v>15408</v>
      </c>
      <c r="AV3275">
        <v>182.5</v>
      </c>
      <c r="AW3275" t="s">
        <v>3034</v>
      </c>
      <c r="AX3275" t="s">
        <v>115</v>
      </c>
    </row>
    <row r="3276" spans="1:50">
      <c r="A3276" s="1" t="s">
        <v>50</v>
      </c>
      <c r="B3276" t="s">
        <v>131</v>
      </c>
      <c r="C3276" t="s">
        <v>164</v>
      </c>
      <c r="D3276" t="s">
        <v>6578</v>
      </c>
      <c r="E3276" t="s">
        <v>177</v>
      </c>
      <c r="F3276" t="s">
        <v>275</v>
      </c>
      <c r="G3276" t="s">
        <v>427</v>
      </c>
      <c r="H3276" t="s">
        <v>8510</v>
      </c>
      <c r="I3276" t="s">
        <v>9898</v>
      </c>
      <c r="J3276" t="s">
        <v>1497</v>
      </c>
      <c r="K3276" t="s">
        <v>1643</v>
      </c>
      <c r="L3276">
        <v>10029</v>
      </c>
      <c r="M3276" t="s">
        <v>1670</v>
      </c>
      <c r="Q3276" t="s">
        <v>1944</v>
      </c>
      <c r="R3276" t="s">
        <v>1959</v>
      </c>
      <c r="S3276" t="s">
        <v>1966</v>
      </c>
      <c r="T3276" t="s">
        <v>1671</v>
      </c>
      <c r="V3276" t="s">
        <v>1976</v>
      </c>
      <c r="W3276" t="s">
        <v>1984</v>
      </c>
      <c r="X3276" t="s">
        <v>177</v>
      </c>
      <c r="Y3276">
        <v>1580</v>
      </c>
      <c r="Z3276" t="s">
        <v>2008</v>
      </c>
      <c r="AA3276" t="s">
        <v>2021</v>
      </c>
      <c r="AB3276" t="s">
        <v>2039</v>
      </c>
      <c r="AC3276" t="s">
        <v>15587</v>
      </c>
      <c r="AD3276" t="s">
        <v>17737</v>
      </c>
      <c r="AF3276" t="s">
        <v>13051</v>
      </c>
      <c r="AG3276" t="s">
        <v>2902</v>
      </c>
      <c r="AI3276">
        <v>20</v>
      </c>
      <c r="AJ3276">
        <v>4</v>
      </c>
      <c r="AK3276">
        <v>2</v>
      </c>
      <c r="AL3276">
        <v>131.83</v>
      </c>
      <c r="AO3276" t="s">
        <v>2927</v>
      </c>
      <c r="AP3276">
        <v>45600</v>
      </c>
      <c r="AV3276">
        <v>10.75</v>
      </c>
      <c r="AW3276" t="s">
        <v>390</v>
      </c>
      <c r="AX3276" t="s">
        <v>3051</v>
      </c>
    </row>
    <row r="3277" spans="1:50">
      <c r="A3277" s="1" t="s">
        <v>50</v>
      </c>
      <c r="B3277" t="s">
        <v>132</v>
      </c>
      <c r="C3277" t="s">
        <v>163</v>
      </c>
      <c r="D3277" t="s">
        <v>6579</v>
      </c>
      <c r="E3277" t="s">
        <v>6156</v>
      </c>
      <c r="G3277" t="s">
        <v>677</v>
      </c>
      <c r="H3277" t="s">
        <v>8510</v>
      </c>
      <c r="I3277" t="s">
        <v>9446</v>
      </c>
      <c r="J3277" t="s">
        <v>11101</v>
      </c>
      <c r="K3277" t="s">
        <v>1644</v>
      </c>
      <c r="L3277">
        <v>11206</v>
      </c>
      <c r="M3277" t="s">
        <v>1670</v>
      </c>
      <c r="Q3277" t="s">
        <v>1937</v>
      </c>
      <c r="R3277" t="s">
        <v>1961</v>
      </c>
      <c r="T3277" t="s">
        <v>1670</v>
      </c>
      <c r="V3277" t="s">
        <v>1972</v>
      </c>
      <c r="X3277" t="s">
        <v>6156</v>
      </c>
      <c r="Y3277">
        <v>611.9299999999999</v>
      </c>
      <c r="Z3277" t="s">
        <v>2009</v>
      </c>
      <c r="AA3277" t="s">
        <v>2017</v>
      </c>
      <c r="AC3277" t="s">
        <v>15588</v>
      </c>
      <c r="AD3277" t="s">
        <v>17738</v>
      </c>
      <c r="AE3277" t="s">
        <v>18008</v>
      </c>
      <c r="AF3277">
        <v>25</v>
      </c>
      <c r="AG3277" t="s">
        <v>2902</v>
      </c>
      <c r="AI3277">
        <v>7</v>
      </c>
      <c r="AJ3277">
        <v>1</v>
      </c>
      <c r="AK3277">
        <v>2</v>
      </c>
      <c r="AL3277">
        <v>87.58</v>
      </c>
      <c r="AO3277" t="s">
        <v>2926</v>
      </c>
      <c r="AP3277">
        <v>18200</v>
      </c>
      <c r="AQ3277" t="s">
        <v>18441</v>
      </c>
      <c r="AV3277" t="s">
        <v>13051</v>
      </c>
      <c r="AX3277" t="s">
        <v>18659</v>
      </c>
    </row>
    <row r="3278" spans="1:50">
      <c r="A3278" s="1" t="s">
        <v>50</v>
      </c>
      <c r="B3278" t="s">
        <v>3172</v>
      </c>
      <c r="C3278" t="s">
        <v>163</v>
      </c>
      <c r="D3278" t="s">
        <v>6580</v>
      </c>
      <c r="E3278" t="s">
        <v>337</v>
      </c>
      <c r="G3278" t="s">
        <v>9308</v>
      </c>
      <c r="H3278" t="s">
        <v>10868</v>
      </c>
      <c r="I3278" t="s">
        <v>11678</v>
      </c>
      <c r="J3278" t="s">
        <v>1553</v>
      </c>
      <c r="K3278" t="s">
        <v>1661</v>
      </c>
      <c r="L3278">
        <v>11423</v>
      </c>
      <c r="M3278" t="s">
        <v>1670</v>
      </c>
      <c r="P3278" t="s">
        <v>12990</v>
      </c>
      <c r="Q3278" t="s">
        <v>1936</v>
      </c>
      <c r="R3278" t="s">
        <v>1960</v>
      </c>
      <c r="T3278" t="s">
        <v>1671</v>
      </c>
      <c r="V3278" t="s">
        <v>1972</v>
      </c>
      <c r="W3278" t="s">
        <v>1983</v>
      </c>
      <c r="X3278" t="s">
        <v>222</v>
      </c>
      <c r="Y3278">
        <v>1700</v>
      </c>
      <c r="Z3278" t="s">
        <v>2007</v>
      </c>
      <c r="AA3278" t="s">
        <v>2014</v>
      </c>
      <c r="AC3278" t="s">
        <v>15589</v>
      </c>
      <c r="AD3278" t="s">
        <v>17739</v>
      </c>
      <c r="AF3278">
        <v>3</v>
      </c>
      <c r="AG3278" t="s">
        <v>2904</v>
      </c>
      <c r="AH3278" t="s">
        <v>1754</v>
      </c>
      <c r="AI3278">
        <v>4</v>
      </c>
      <c r="AJ3278">
        <v>1</v>
      </c>
      <c r="AK3278">
        <v>3</v>
      </c>
      <c r="AL3278" t="s">
        <v>13051</v>
      </c>
      <c r="AO3278" t="s">
        <v>18050</v>
      </c>
      <c r="AP3278" t="s">
        <v>13051</v>
      </c>
      <c r="AV3278">
        <v>7.25</v>
      </c>
      <c r="AW3278" t="s">
        <v>3034</v>
      </c>
      <c r="AX3278" t="s">
        <v>3078</v>
      </c>
    </row>
    <row r="3279" spans="1:50">
      <c r="A3279" s="1" t="s">
        <v>50</v>
      </c>
      <c r="B3279" t="s">
        <v>3059</v>
      </c>
      <c r="C3279" t="s">
        <v>164</v>
      </c>
      <c r="D3279" t="s">
        <v>6581</v>
      </c>
      <c r="E3279" t="s">
        <v>395</v>
      </c>
      <c r="F3279" t="s">
        <v>406</v>
      </c>
      <c r="G3279" t="s">
        <v>9309</v>
      </c>
      <c r="H3279" t="s">
        <v>10869</v>
      </c>
      <c r="I3279" t="s">
        <v>11679</v>
      </c>
      <c r="J3279" t="s">
        <v>1553</v>
      </c>
      <c r="K3279" t="s">
        <v>1644</v>
      </c>
      <c r="L3279">
        <v>11212</v>
      </c>
      <c r="M3279" t="s">
        <v>1670</v>
      </c>
      <c r="P3279" t="s">
        <v>12991</v>
      </c>
      <c r="Q3279" t="s">
        <v>1940</v>
      </c>
      <c r="R3279" t="s">
        <v>1962</v>
      </c>
      <c r="S3279" t="s">
        <v>1968</v>
      </c>
      <c r="T3279" t="s">
        <v>1671</v>
      </c>
      <c r="V3279" t="s">
        <v>1972</v>
      </c>
      <c r="X3279" t="s">
        <v>406</v>
      </c>
      <c r="Y3279">
        <v>1650</v>
      </c>
      <c r="Z3279" t="s">
        <v>2009</v>
      </c>
      <c r="AA3279" t="s">
        <v>2014</v>
      </c>
      <c r="AB3279" t="s">
        <v>2034</v>
      </c>
      <c r="AC3279" t="s">
        <v>15590</v>
      </c>
      <c r="AD3279" t="s">
        <v>17740</v>
      </c>
      <c r="AE3279" t="s">
        <v>18009</v>
      </c>
      <c r="AF3279">
        <v>2</v>
      </c>
      <c r="AG3279" t="s">
        <v>2903</v>
      </c>
      <c r="AH3279" t="s">
        <v>2916</v>
      </c>
      <c r="AI3279">
        <v>2</v>
      </c>
      <c r="AJ3279">
        <v>1</v>
      </c>
      <c r="AK3279">
        <v>2</v>
      </c>
      <c r="AL3279">
        <v>60.15</v>
      </c>
      <c r="AO3279" t="s">
        <v>2926</v>
      </c>
      <c r="AP3279">
        <v>12500</v>
      </c>
      <c r="AV3279">
        <v>0.25</v>
      </c>
      <c r="AW3279" t="s">
        <v>406</v>
      </c>
      <c r="AX3279" t="s">
        <v>3059</v>
      </c>
    </row>
    <row r="3280" spans="1:50">
      <c r="A3280" s="1" t="s">
        <v>50</v>
      </c>
      <c r="B3280" t="s">
        <v>130</v>
      </c>
      <c r="C3280" t="s">
        <v>164</v>
      </c>
      <c r="D3280" t="s">
        <v>6582</v>
      </c>
      <c r="E3280" t="s">
        <v>200</v>
      </c>
      <c r="F3280" t="s">
        <v>206</v>
      </c>
      <c r="G3280" t="s">
        <v>9310</v>
      </c>
      <c r="H3280" t="s">
        <v>10870</v>
      </c>
      <c r="I3280" t="s">
        <v>10225</v>
      </c>
      <c r="K3280" t="s">
        <v>1644</v>
      </c>
      <c r="L3280">
        <v>11237</v>
      </c>
      <c r="M3280" t="s">
        <v>1670</v>
      </c>
      <c r="Q3280" t="s">
        <v>1675</v>
      </c>
      <c r="R3280" t="s">
        <v>1959</v>
      </c>
      <c r="S3280" t="s">
        <v>1966</v>
      </c>
      <c r="T3280" t="s">
        <v>1670</v>
      </c>
      <c r="V3280" t="s">
        <v>1972</v>
      </c>
      <c r="X3280" t="s">
        <v>252</v>
      </c>
      <c r="Y3280">
        <v>1100</v>
      </c>
      <c r="Z3280" t="s">
        <v>2009</v>
      </c>
      <c r="AB3280" t="s">
        <v>2030</v>
      </c>
      <c r="AC3280" t="s">
        <v>15591</v>
      </c>
      <c r="AD3280" t="s">
        <v>17741</v>
      </c>
      <c r="AF3280">
        <v>6</v>
      </c>
      <c r="AG3280" t="s">
        <v>2902</v>
      </c>
      <c r="AH3280" t="s">
        <v>1754</v>
      </c>
      <c r="AI3280">
        <v>9</v>
      </c>
      <c r="AJ3280">
        <v>2</v>
      </c>
      <c r="AK3280">
        <v>2</v>
      </c>
      <c r="AL3280">
        <v>179.28</v>
      </c>
      <c r="AO3280" t="s">
        <v>2927</v>
      </c>
      <c r="AP3280">
        <v>45000</v>
      </c>
      <c r="AV3280">
        <v>0.1</v>
      </c>
      <c r="AW3280" t="s">
        <v>208</v>
      </c>
      <c r="AX3280" t="s">
        <v>3060</v>
      </c>
    </row>
    <row r="3281" spans="1:50">
      <c r="A3281" s="1" t="s">
        <v>50</v>
      </c>
      <c r="B3281" t="s">
        <v>101</v>
      </c>
      <c r="C3281" t="s">
        <v>163</v>
      </c>
      <c r="D3281" t="s">
        <v>6583</v>
      </c>
      <c r="E3281" t="s">
        <v>166</v>
      </c>
      <c r="G3281" t="s">
        <v>605</v>
      </c>
      <c r="H3281" t="s">
        <v>864</v>
      </c>
      <c r="I3281" t="s">
        <v>9879</v>
      </c>
      <c r="K3281" t="s">
        <v>1643</v>
      </c>
      <c r="L3281">
        <v>10031</v>
      </c>
      <c r="M3281" t="s">
        <v>1670</v>
      </c>
      <c r="P3281" t="s">
        <v>12442</v>
      </c>
      <c r="Q3281" t="s">
        <v>1939</v>
      </c>
      <c r="R3281" t="s">
        <v>1958</v>
      </c>
      <c r="T3281" t="s">
        <v>1670</v>
      </c>
      <c r="V3281" t="s">
        <v>1972</v>
      </c>
      <c r="W3281" t="s">
        <v>1984</v>
      </c>
      <c r="X3281" t="s">
        <v>166</v>
      </c>
      <c r="Y3281">
        <v>1712</v>
      </c>
      <c r="Z3281" t="s">
        <v>2008</v>
      </c>
      <c r="AA3281" t="s">
        <v>2016</v>
      </c>
      <c r="AC3281" t="s">
        <v>15592</v>
      </c>
      <c r="AD3281" t="s">
        <v>17742</v>
      </c>
      <c r="AF3281">
        <v>44</v>
      </c>
      <c r="AG3281" t="s">
        <v>2909</v>
      </c>
      <c r="AH3281" t="s">
        <v>2915</v>
      </c>
      <c r="AI3281">
        <v>14</v>
      </c>
      <c r="AJ3281">
        <v>2</v>
      </c>
      <c r="AK3281">
        <v>1</v>
      </c>
      <c r="AL3281">
        <v>25.52</v>
      </c>
      <c r="AO3281" t="s">
        <v>2927</v>
      </c>
      <c r="AP3281">
        <v>5304</v>
      </c>
      <c r="AQ3281" t="s">
        <v>18085</v>
      </c>
      <c r="AV3281">
        <v>0.3</v>
      </c>
      <c r="AW3281" t="s">
        <v>289</v>
      </c>
      <c r="AX3281" t="s">
        <v>3051</v>
      </c>
    </row>
    <row r="3282" spans="1:50">
      <c r="A3282" s="1" t="s">
        <v>51</v>
      </c>
      <c r="B3282" t="s">
        <v>99</v>
      </c>
      <c r="C3282" t="s">
        <v>164</v>
      </c>
      <c r="D3282" t="s">
        <v>6584</v>
      </c>
      <c r="E3282" t="s">
        <v>2002</v>
      </c>
      <c r="F3282" t="s">
        <v>2002</v>
      </c>
      <c r="G3282" t="s">
        <v>475</v>
      </c>
      <c r="H3282" t="s">
        <v>10871</v>
      </c>
      <c r="I3282" t="s">
        <v>11680</v>
      </c>
      <c r="J3282" t="s">
        <v>1506</v>
      </c>
      <c r="K3282" t="s">
        <v>11739</v>
      </c>
      <c r="L3282">
        <v>11372</v>
      </c>
      <c r="M3282" t="s">
        <v>1670</v>
      </c>
      <c r="P3282" t="s">
        <v>11921</v>
      </c>
      <c r="Q3282" t="s">
        <v>1675</v>
      </c>
      <c r="R3282" t="s">
        <v>1958</v>
      </c>
      <c r="S3282" t="s">
        <v>1965</v>
      </c>
      <c r="T3282" t="s">
        <v>1671</v>
      </c>
      <c r="V3282" t="s">
        <v>1972</v>
      </c>
      <c r="W3282" t="s">
        <v>1984</v>
      </c>
      <c r="X3282" t="s">
        <v>2002</v>
      </c>
      <c r="Y3282">
        <v>1117.52</v>
      </c>
      <c r="Z3282" t="s">
        <v>2007</v>
      </c>
      <c r="AA3282" t="s">
        <v>2012</v>
      </c>
      <c r="AB3282" t="s">
        <v>2029</v>
      </c>
      <c r="AC3282" t="s">
        <v>15593</v>
      </c>
      <c r="AD3282" t="s">
        <v>1691</v>
      </c>
      <c r="AE3282" t="s">
        <v>15077</v>
      </c>
      <c r="AF3282">
        <v>20</v>
      </c>
      <c r="AG3282" t="s">
        <v>2903</v>
      </c>
      <c r="AH3282" t="s">
        <v>1754</v>
      </c>
      <c r="AI3282">
        <v>1</v>
      </c>
      <c r="AJ3282">
        <v>1</v>
      </c>
      <c r="AK3282">
        <v>1</v>
      </c>
      <c r="AL3282">
        <v>164.28</v>
      </c>
      <c r="AM3282" t="s">
        <v>2923</v>
      </c>
      <c r="AN3282" t="s">
        <v>2924</v>
      </c>
      <c r="AO3282" t="s">
        <v>2927</v>
      </c>
      <c r="AP3282">
        <v>27040</v>
      </c>
      <c r="AV3282">
        <v>1.9</v>
      </c>
      <c r="AW3282" t="s">
        <v>2002</v>
      </c>
      <c r="AX3282" t="s">
        <v>99</v>
      </c>
    </row>
    <row r="3283" spans="1:50">
      <c r="A3283" s="1" t="s">
        <v>51</v>
      </c>
      <c r="B3283" t="s">
        <v>53</v>
      </c>
      <c r="C3283" t="s">
        <v>164</v>
      </c>
      <c r="D3283" t="s">
        <v>6585</v>
      </c>
      <c r="E3283" t="s">
        <v>240</v>
      </c>
      <c r="F3283" t="s">
        <v>191</v>
      </c>
      <c r="G3283" t="s">
        <v>7588</v>
      </c>
      <c r="H3283" t="s">
        <v>10872</v>
      </c>
      <c r="I3283" t="s">
        <v>11681</v>
      </c>
      <c r="J3283" t="s">
        <v>1525</v>
      </c>
      <c r="K3283" t="s">
        <v>1660</v>
      </c>
      <c r="L3283">
        <v>11377</v>
      </c>
      <c r="M3283" t="s">
        <v>1670</v>
      </c>
      <c r="P3283" t="s">
        <v>1754</v>
      </c>
      <c r="Q3283" t="s">
        <v>1675</v>
      </c>
      <c r="R3283" t="s">
        <v>1958</v>
      </c>
      <c r="S3283" t="s">
        <v>1965</v>
      </c>
      <c r="T3283" t="s">
        <v>1671</v>
      </c>
      <c r="V3283" t="s">
        <v>1972</v>
      </c>
      <c r="W3283" t="s">
        <v>1984</v>
      </c>
      <c r="X3283" t="s">
        <v>240</v>
      </c>
      <c r="Y3283">
        <v>1470</v>
      </c>
      <c r="Z3283" t="s">
        <v>2007</v>
      </c>
      <c r="AA3283" t="s">
        <v>2012</v>
      </c>
      <c r="AB3283" t="s">
        <v>2029</v>
      </c>
      <c r="AC3283" t="s">
        <v>15594</v>
      </c>
      <c r="AD3283" t="s">
        <v>1754</v>
      </c>
      <c r="AE3283" t="s">
        <v>15077</v>
      </c>
      <c r="AF3283">
        <v>6</v>
      </c>
      <c r="AG3283" t="s">
        <v>2902</v>
      </c>
      <c r="AH3283" t="s">
        <v>1754</v>
      </c>
      <c r="AI3283">
        <v>10</v>
      </c>
      <c r="AJ3283">
        <v>1</v>
      </c>
      <c r="AK3283">
        <v>3</v>
      </c>
      <c r="AL3283" t="s">
        <v>13051</v>
      </c>
      <c r="AM3283" t="s">
        <v>2923</v>
      </c>
      <c r="AN3283" t="s">
        <v>2924</v>
      </c>
      <c r="AO3283" t="s">
        <v>2927</v>
      </c>
      <c r="AP3283" t="s">
        <v>13051</v>
      </c>
      <c r="AV3283">
        <v>1.05</v>
      </c>
      <c r="AW3283" t="s">
        <v>191</v>
      </c>
      <c r="AX3283" t="s">
        <v>53</v>
      </c>
    </row>
    <row r="3284" spans="1:50">
      <c r="A3284" s="1" t="s">
        <v>51</v>
      </c>
      <c r="B3284" t="s">
        <v>53</v>
      </c>
      <c r="C3284" t="s">
        <v>164</v>
      </c>
      <c r="D3284" t="s">
        <v>6586</v>
      </c>
      <c r="E3284" t="s">
        <v>307</v>
      </c>
      <c r="F3284" t="s">
        <v>395</v>
      </c>
      <c r="G3284" t="s">
        <v>7360</v>
      </c>
      <c r="H3284" t="s">
        <v>10873</v>
      </c>
      <c r="I3284" t="s">
        <v>11682</v>
      </c>
      <c r="J3284" t="s">
        <v>11799</v>
      </c>
      <c r="K3284" t="s">
        <v>1666</v>
      </c>
      <c r="L3284">
        <v>11368</v>
      </c>
      <c r="M3284" t="s">
        <v>1670</v>
      </c>
      <c r="P3284" t="s">
        <v>1675</v>
      </c>
      <c r="Q3284" t="s">
        <v>1675</v>
      </c>
      <c r="R3284" t="s">
        <v>1958</v>
      </c>
      <c r="S3284" t="s">
        <v>1965</v>
      </c>
      <c r="T3284" t="s">
        <v>1671</v>
      </c>
      <c r="V3284" t="s">
        <v>1972</v>
      </c>
      <c r="W3284" t="s">
        <v>1984</v>
      </c>
      <c r="X3284" t="s">
        <v>307</v>
      </c>
      <c r="Y3284">
        <v>2300</v>
      </c>
      <c r="Z3284" t="s">
        <v>2007</v>
      </c>
      <c r="AA3284" t="s">
        <v>2012</v>
      </c>
      <c r="AB3284" t="s">
        <v>2029</v>
      </c>
      <c r="AC3284" t="s">
        <v>15595</v>
      </c>
      <c r="AD3284" t="s">
        <v>1754</v>
      </c>
      <c r="AE3284" t="s">
        <v>15077</v>
      </c>
      <c r="AF3284">
        <v>4</v>
      </c>
      <c r="AG3284" t="s">
        <v>2902</v>
      </c>
      <c r="AH3284" t="s">
        <v>1754</v>
      </c>
      <c r="AI3284">
        <v>1</v>
      </c>
      <c r="AJ3284">
        <v>2</v>
      </c>
      <c r="AK3284">
        <v>3</v>
      </c>
      <c r="AL3284" t="s">
        <v>13051</v>
      </c>
      <c r="AM3284" t="s">
        <v>2923</v>
      </c>
      <c r="AN3284" t="s">
        <v>2924</v>
      </c>
      <c r="AO3284" t="s">
        <v>2927</v>
      </c>
      <c r="AP3284" t="s">
        <v>13051</v>
      </c>
      <c r="AV3284">
        <v>1.8</v>
      </c>
      <c r="AW3284" t="s">
        <v>347</v>
      </c>
      <c r="AX3284" t="s">
        <v>53</v>
      </c>
    </row>
    <row r="3285" spans="1:50">
      <c r="A3285" s="1" t="s">
        <v>51</v>
      </c>
      <c r="B3285" t="s">
        <v>85</v>
      </c>
      <c r="C3285" t="s">
        <v>164</v>
      </c>
      <c r="D3285" t="s">
        <v>6587</v>
      </c>
      <c r="E3285" t="s">
        <v>352</v>
      </c>
      <c r="F3285" t="s">
        <v>251</v>
      </c>
      <c r="G3285" t="s">
        <v>6954</v>
      </c>
      <c r="H3285" t="s">
        <v>6961</v>
      </c>
      <c r="I3285" t="s">
        <v>11683</v>
      </c>
      <c r="K3285" t="s">
        <v>11743</v>
      </c>
      <c r="L3285">
        <v>11421</v>
      </c>
      <c r="M3285" t="s">
        <v>1670</v>
      </c>
      <c r="P3285" t="s">
        <v>1754</v>
      </c>
      <c r="Q3285" t="s">
        <v>1675</v>
      </c>
      <c r="R3285" t="s">
        <v>1958</v>
      </c>
      <c r="S3285" t="s">
        <v>1965</v>
      </c>
      <c r="T3285" t="s">
        <v>1671</v>
      </c>
      <c r="V3285" t="s">
        <v>1972</v>
      </c>
      <c r="W3285" t="s">
        <v>1984</v>
      </c>
      <c r="X3285" t="s">
        <v>169</v>
      </c>
      <c r="Y3285">
        <v>2100</v>
      </c>
      <c r="Z3285" t="s">
        <v>2007</v>
      </c>
      <c r="AA3285" t="s">
        <v>2012</v>
      </c>
      <c r="AB3285" t="s">
        <v>2029</v>
      </c>
      <c r="AC3285" t="s">
        <v>15596</v>
      </c>
      <c r="AD3285" t="s">
        <v>1754</v>
      </c>
      <c r="AE3285" t="s">
        <v>15077</v>
      </c>
      <c r="AF3285">
        <v>2</v>
      </c>
      <c r="AG3285" t="s">
        <v>2903</v>
      </c>
      <c r="AH3285" t="s">
        <v>1754</v>
      </c>
      <c r="AI3285">
        <v>18</v>
      </c>
      <c r="AJ3285">
        <v>1</v>
      </c>
      <c r="AK3285">
        <v>4</v>
      </c>
      <c r="AL3285">
        <v>61.86</v>
      </c>
      <c r="AM3285" t="s">
        <v>18030</v>
      </c>
      <c r="AN3285" t="s">
        <v>2924</v>
      </c>
      <c r="AO3285" t="s">
        <v>2927</v>
      </c>
      <c r="AP3285">
        <v>18200</v>
      </c>
      <c r="AV3285">
        <v>1.1</v>
      </c>
      <c r="AW3285" t="s">
        <v>251</v>
      </c>
      <c r="AX3285" t="s">
        <v>85</v>
      </c>
    </row>
    <row r="3286" spans="1:50">
      <c r="A3286" s="1" t="s">
        <v>50</v>
      </c>
      <c r="B3286" t="s">
        <v>95</v>
      </c>
      <c r="C3286" t="s">
        <v>163</v>
      </c>
      <c r="D3286" t="s">
        <v>6588</v>
      </c>
      <c r="E3286" t="s">
        <v>3039</v>
      </c>
      <c r="G3286" t="s">
        <v>7009</v>
      </c>
      <c r="H3286" t="s">
        <v>7327</v>
      </c>
      <c r="I3286" t="s">
        <v>11684</v>
      </c>
      <c r="J3286" t="s">
        <v>1539</v>
      </c>
      <c r="K3286" t="s">
        <v>1641</v>
      </c>
      <c r="L3286">
        <v>10472</v>
      </c>
      <c r="M3286" t="s">
        <v>1670</v>
      </c>
      <c r="Q3286" t="s">
        <v>1675</v>
      </c>
      <c r="R3286" t="s">
        <v>1958</v>
      </c>
      <c r="T3286" t="s">
        <v>1671</v>
      </c>
      <c r="V3286" t="s">
        <v>1972</v>
      </c>
      <c r="X3286" t="s">
        <v>1991</v>
      </c>
      <c r="Y3286">
        <v>1303</v>
      </c>
      <c r="Z3286" t="s">
        <v>2006</v>
      </c>
      <c r="AA3286" t="s">
        <v>2015</v>
      </c>
      <c r="AC3286" t="s">
        <v>15597</v>
      </c>
      <c r="AE3286" t="s">
        <v>15077</v>
      </c>
      <c r="AF3286" t="s">
        <v>13051</v>
      </c>
      <c r="AG3286" t="s">
        <v>2902</v>
      </c>
      <c r="AH3286" t="s">
        <v>2918</v>
      </c>
      <c r="AI3286">
        <v>0</v>
      </c>
      <c r="AJ3286">
        <v>1</v>
      </c>
      <c r="AK3286">
        <v>1</v>
      </c>
      <c r="AL3286">
        <v>44.74</v>
      </c>
      <c r="AO3286" t="s">
        <v>2926</v>
      </c>
      <c r="AP3286">
        <v>7566</v>
      </c>
      <c r="AV3286">
        <v>5</v>
      </c>
      <c r="AW3286" t="s">
        <v>333</v>
      </c>
      <c r="AX3286" t="s">
        <v>95</v>
      </c>
    </row>
    <row r="3287" spans="1:50">
      <c r="A3287" s="1" t="s">
        <v>50</v>
      </c>
      <c r="B3287" t="s">
        <v>73</v>
      </c>
      <c r="C3287" t="s">
        <v>163</v>
      </c>
      <c r="D3287" t="s">
        <v>6589</v>
      </c>
      <c r="E3287" t="s">
        <v>364</v>
      </c>
      <c r="G3287" t="s">
        <v>530</v>
      </c>
      <c r="H3287" t="s">
        <v>10874</v>
      </c>
      <c r="I3287" t="s">
        <v>11685</v>
      </c>
      <c r="J3287" t="s">
        <v>1482</v>
      </c>
      <c r="K3287" t="s">
        <v>11828</v>
      </c>
      <c r="L3287">
        <v>11372</v>
      </c>
      <c r="M3287" t="s">
        <v>1670</v>
      </c>
      <c r="P3287" t="s">
        <v>12992</v>
      </c>
      <c r="Q3287" t="s">
        <v>1940</v>
      </c>
      <c r="R3287" t="s">
        <v>1963</v>
      </c>
      <c r="T3287" t="s">
        <v>1671</v>
      </c>
      <c r="V3287" t="s">
        <v>1972</v>
      </c>
      <c r="X3287" t="s">
        <v>364</v>
      </c>
      <c r="Y3287">
        <v>725</v>
      </c>
      <c r="Z3287" t="s">
        <v>2007</v>
      </c>
      <c r="AA3287" t="s">
        <v>2013</v>
      </c>
      <c r="AC3287" t="s">
        <v>14545</v>
      </c>
      <c r="AE3287" t="s">
        <v>15077</v>
      </c>
      <c r="AF3287">
        <v>60</v>
      </c>
      <c r="AG3287" t="s">
        <v>2904</v>
      </c>
      <c r="AH3287" t="s">
        <v>1754</v>
      </c>
      <c r="AI3287">
        <v>50</v>
      </c>
      <c r="AJ3287">
        <v>2</v>
      </c>
      <c r="AK3287">
        <v>1</v>
      </c>
      <c r="AL3287">
        <v>56.26</v>
      </c>
      <c r="AO3287" t="s">
        <v>2926</v>
      </c>
      <c r="AP3287">
        <v>12000</v>
      </c>
      <c r="AV3287">
        <v>1.45</v>
      </c>
      <c r="AW3287" t="s">
        <v>364</v>
      </c>
      <c r="AX3287" t="s">
        <v>3044</v>
      </c>
    </row>
    <row r="3288" spans="1:50">
      <c r="A3288" s="1" t="s">
        <v>50</v>
      </c>
      <c r="B3288" t="s">
        <v>71</v>
      </c>
      <c r="C3288" t="s">
        <v>163</v>
      </c>
      <c r="D3288" t="s">
        <v>6590</v>
      </c>
      <c r="E3288" t="s">
        <v>186</v>
      </c>
      <c r="G3288" t="s">
        <v>7214</v>
      </c>
      <c r="H3288" t="s">
        <v>8214</v>
      </c>
      <c r="I3288" t="s">
        <v>1175</v>
      </c>
      <c r="J3288" t="s">
        <v>1520</v>
      </c>
      <c r="K3288" t="s">
        <v>1646</v>
      </c>
      <c r="L3288">
        <v>10304</v>
      </c>
      <c r="M3288" t="s">
        <v>1670</v>
      </c>
      <c r="P3288" t="s">
        <v>12993</v>
      </c>
      <c r="Q3288" t="s">
        <v>1940</v>
      </c>
      <c r="R3288" t="s">
        <v>1960</v>
      </c>
      <c r="T3288" t="s">
        <v>1671</v>
      </c>
      <c r="V3288" t="s">
        <v>1973</v>
      </c>
      <c r="W3288" t="s">
        <v>1984</v>
      </c>
      <c r="X3288" t="s">
        <v>239</v>
      </c>
      <c r="Y3288">
        <v>232</v>
      </c>
      <c r="Z3288" t="s">
        <v>2010</v>
      </c>
      <c r="AA3288" t="s">
        <v>2020</v>
      </c>
      <c r="AC3288" t="s">
        <v>15598</v>
      </c>
      <c r="AE3288" t="s">
        <v>15077</v>
      </c>
      <c r="AF3288">
        <v>150</v>
      </c>
      <c r="AG3288" t="s">
        <v>2909</v>
      </c>
      <c r="AH3288" t="s">
        <v>2915</v>
      </c>
      <c r="AI3288">
        <v>1</v>
      </c>
      <c r="AJ3288">
        <v>1</v>
      </c>
      <c r="AK3288">
        <v>1</v>
      </c>
      <c r="AL3288">
        <v>58.47</v>
      </c>
      <c r="AO3288" t="s">
        <v>2926</v>
      </c>
      <c r="AP3288">
        <v>9888</v>
      </c>
      <c r="AR3288" t="s">
        <v>2977</v>
      </c>
      <c r="AV3288">
        <v>10.7</v>
      </c>
      <c r="AW3288" t="s">
        <v>1994</v>
      </c>
      <c r="AX3288" t="s">
        <v>3050</v>
      </c>
    </row>
    <row r="3289" spans="1:50">
      <c r="A3289" s="1" t="s">
        <v>51</v>
      </c>
      <c r="B3289" t="s">
        <v>89</v>
      </c>
      <c r="C3289" t="s">
        <v>164</v>
      </c>
      <c r="D3289" t="s">
        <v>6591</v>
      </c>
      <c r="E3289" t="s">
        <v>171</v>
      </c>
      <c r="F3289" t="s">
        <v>171</v>
      </c>
      <c r="G3289" t="s">
        <v>9311</v>
      </c>
      <c r="H3289" t="s">
        <v>10875</v>
      </c>
      <c r="I3289" t="s">
        <v>11686</v>
      </c>
      <c r="J3289" t="s">
        <v>10957</v>
      </c>
      <c r="K3289" t="s">
        <v>11754</v>
      </c>
      <c r="L3289">
        <v>11428</v>
      </c>
      <c r="M3289" t="s">
        <v>1670</v>
      </c>
      <c r="P3289" t="s">
        <v>1691</v>
      </c>
      <c r="Q3289" t="s">
        <v>1675</v>
      </c>
      <c r="R3289" t="s">
        <v>1958</v>
      </c>
      <c r="S3289" t="s">
        <v>1965</v>
      </c>
      <c r="T3289" t="s">
        <v>1671</v>
      </c>
      <c r="V3289" t="s">
        <v>1972</v>
      </c>
      <c r="W3289" t="s">
        <v>1984</v>
      </c>
      <c r="X3289" t="s">
        <v>171</v>
      </c>
      <c r="Y3289">
        <v>1250</v>
      </c>
      <c r="Z3289" t="s">
        <v>2007</v>
      </c>
      <c r="AA3289" t="s">
        <v>2012</v>
      </c>
      <c r="AB3289" t="s">
        <v>2029</v>
      </c>
      <c r="AC3289" t="s">
        <v>15599</v>
      </c>
      <c r="AE3289" t="s">
        <v>15077</v>
      </c>
      <c r="AF3289">
        <v>3</v>
      </c>
      <c r="AG3289" t="s">
        <v>2903</v>
      </c>
      <c r="AH3289" t="s">
        <v>1754</v>
      </c>
      <c r="AI3289">
        <v>2</v>
      </c>
      <c r="AJ3289">
        <v>3</v>
      </c>
      <c r="AK3289">
        <v>2</v>
      </c>
      <c r="AL3289" t="s">
        <v>13051</v>
      </c>
      <c r="AO3289" t="s">
        <v>2926</v>
      </c>
      <c r="AP3289" t="s">
        <v>13051</v>
      </c>
      <c r="AV3289">
        <v>1.6</v>
      </c>
      <c r="AW3289" t="s">
        <v>3036</v>
      </c>
      <c r="AX3289" t="s">
        <v>89</v>
      </c>
    </row>
    <row r="3290" spans="1:50">
      <c r="A3290" s="1" t="s">
        <v>50</v>
      </c>
      <c r="B3290" t="s">
        <v>71</v>
      </c>
      <c r="C3290" t="s">
        <v>164</v>
      </c>
      <c r="D3290" t="s">
        <v>6592</v>
      </c>
      <c r="E3290" t="s">
        <v>6186</v>
      </c>
      <c r="F3290" t="s">
        <v>338</v>
      </c>
      <c r="G3290" t="s">
        <v>9312</v>
      </c>
      <c r="H3290" t="s">
        <v>945</v>
      </c>
      <c r="I3290" t="s">
        <v>11687</v>
      </c>
      <c r="J3290">
        <v>1</v>
      </c>
      <c r="K3290" t="s">
        <v>1646</v>
      </c>
      <c r="L3290">
        <v>10301</v>
      </c>
      <c r="M3290" t="s">
        <v>1670</v>
      </c>
      <c r="P3290" t="s">
        <v>12994</v>
      </c>
      <c r="Q3290" t="s">
        <v>1940</v>
      </c>
      <c r="R3290" t="s">
        <v>1960</v>
      </c>
      <c r="S3290" t="s">
        <v>13024</v>
      </c>
      <c r="T3290" t="s">
        <v>1671</v>
      </c>
      <c r="V3290" t="s">
        <v>1972</v>
      </c>
      <c r="W3290" t="s">
        <v>1983</v>
      </c>
      <c r="X3290" t="s">
        <v>6186</v>
      </c>
      <c r="Y3290">
        <v>561</v>
      </c>
      <c r="Z3290" t="s">
        <v>2010</v>
      </c>
      <c r="AA3290" t="s">
        <v>2013</v>
      </c>
      <c r="AB3290" t="s">
        <v>2033</v>
      </c>
      <c r="AC3290" t="s">
        <v>15600</v>
      </c>
      <c r="AE3290" t="s">
        <v>15077</v>
      </c>
      <c r="AF3290">
        <v>3</v>
      </c>
      <c r="AG3290" t="s">
        <v>2903</v>
      </c>
      <c r="AH3290" t="s">
        <v>2915</v>
      </c>
      <c r="AI3290">
        <v>1</v>
      </c>
      <c r="AJ3290">
        <v>1</v>
      </c>
      <c r="AK3290">
        <v>2</v>
      </c>
      <c r="AL3290">
        <v>17.27</v>
      </c>
      <c r="AO3290" t="s">
        <v>2926</v>
      </c>
      <c r="AP3290">
        <v>3588</v>
      </c>
      <c r="AQ3290" t="s">
        <v>18442</v>
      </c>
      <c r="AR3290" t="s">
        <v>18424</v>
      </c>
      <c r="AS3290" t="s">
        <v>2984</v>
      </c>
      <c r="AT3290" t="s">
        <v>2993</v>
      </c>
      <c r="AU3290" t="s">
        <v>3025</v>
      </c>
      <c r="AV3290">
        <v>16.3</v>
      </c>
      <c r="AW3290" t="s">
        <v>353</v>
      </c>
      <c r="AX3290" t="s">
        <v>3072</v>
      </c>
    </row>
    <row r="3291" spans="1:50">
      <c r="A3291" s="1" t="s">
        <v>50</v>
      </c>
      <c r="B3291" t="s">
        <v>95</v>
      </c>
      <c r="C3291" t="s">
        <v>164</v>
      </c>
      <c r="D3291" t="s">
        <v>6593</v>
      </c>
      <c r="E3291" t="s">
        <v>295</v>
      </c>
      <c r="F3291" t="s">
        <v>220</v>
      </c>
      <c r="G3291" t="s">
        <v>9313</v>
      </c>
      <c r="H3291" t="s">
        <v>835</v>
      </c>
      <c r="I3291" t="s">
        <v>11688</v>
      </c>
      <c r="J3291" t="s">
        <v>1488</v>
      </c>
      <c r="K3291" t="s">
        <v>1641</v>
      </c>
      <c r="L3291">
        <v>10468</v>
      </c>
      <c r="M3291" t="s">
        <v>1670</v>
      </c>
      <c r="Q3291" t="s">
        <v>1675</v>
      </c>
      <c r="R3291" t="s">
        <v>1958</v>
      </c>
      <c r="S3291" t="s">
        <v>1965</v>
      </c>
      <c r="T3291" t="s">
        <v>1671</v>
      </c>
      <c r="V3291" t="s">
        <v>1972</v>
      </c>
      <c r="X3291" t="s">
        <v>295</v>
      </c>
      <c r="Y3291">
        <v>893.95</v>
      </c>
      <c r="Z3291" t="s">
        <v>2006</v>
      </c>
      <c r="AA3291" t="s">
        <v>2015</v>
      </c>
      <c r="AB3291" t="s">
        <v>2029</v>
      </c>
      <c r="AC3291" t="s">
        <v>15601</v>
      </c>
      <c r="AE3291" t="s">
        <v>15077</v>
      </c>
      <c r="AF3291" t="s">
        <v>13051</v>
      </c>
      <c r="AG3291" t="s">
        <v>2902</v>
      </c>
      <c r="AI3291">
        <v>37</v>
      </c>
      <c r="AJ3291">
        <v>2</v>
      </c>
      <c r="AK3291">
        <v>2</v>
      </c>
      <c r="AL3291">
        <v>83.68000000000001</v>
      </c>
      <c r="AO3291" t="s">
        <v>2926</v>
      </c>
      <c r="AP3291">
        <v>21548</v>
      </c>
      <c r="AV3291">
        <v>1.25</v>
      </c>
      <c r="AW3291" t="s">
        <v>339</v>
      </c>
      <c r="AX3291" t="s">
        <v>95</v>
      </c>
    </row>
    <row r="3292" spans="1:50">
      <c r="A3292" s="1" t="s">
        <v>50</v>
      </c>
      <c r="B3292" t="s">
        <v>101</v>
      </c>
      <c r="C3292" t="s">
        <v>163</v>
      </c>
      <c r="D3292" t="s">
        <v>6594</v>
      </c>
      <c r="E3292" t="s">
        <v>401</v>
      </c>
      <c r="G3292" t="s">
        <v>516</v>
      </c>
      <c r="H3292" t="s">
        <v>10876</v>
      </c>
      <c r="I3292" t="s">
        <v>1199</v>
      </c>
      <c r="J3292">
        <v>509</v>
      </c>
      <c r="K3292" t="s">
        <v>1643</v>
      </c>
      <c r="L3292">
        <v>10029</v>
      </c>
      <c r="M3292" t="s">
        <v>1670</v>
      </c>
      <c r="Q3292" t="s">
        <v>1939</v>
      </c>
      <c r="R3292" t="s">
        <v>1960</v>
      </c>
      <c r="T3292" t="s">
        <v>1670</v>
      </c>
      <c r="V3292" t="s">
        <v>1972</v>
      </c>
      <c r="W3292" t="s">
        <v>1984</v>
      </c>
      <c r="X3292" t="s">
        <v>400</v>
      </c>
      <c r="Y3292">
        <v>905</v>
      </c>
      <c r="Z3292" t="s">
        <v>2008</v>
      </c>
      <c r="AA3292" t="s">
        <v>2020</v>
      </c>
      <c r="AC3292" t="s">
        <v>15602</v>
      </c>
      <c r="AE3292" t="s">
        <v>18010</v>
      </c>
      <c r="AF3292">
        <v>108</v>
      </c>
      <c r="AG3292" t="s">
        <v>2909</v>
      </c>
      <c r="AH3292" t="s">
        <v>2915</v>
      </c>
      <c r="AI3292">
        <v>7</v>
      </c>
      <c r="AJ3292">
        <v>1</v>
      </c>
      <c r="AK3292">
        <v>2</v>
      </c>
      <c r="AL3292">
        <v>192.22</v>
      </c>
      <c r="AO3292" t="s">
        <v>2926</v>
      </c>
      <c r="AP3292">
        <v>41000</v>
      </c>
      <c r="AQ3292" t="s">
        <v>18257</v>
      </c>
      <c r="AV3292">
        <v>7</v>
      </c>
      <c r="AW3292" t="s">
        <v>399</v>
      </c>
      <c r="AX3292" t="s">
        <v>3051</v>
      </c>
    </row>
    <row r="3293" spans="1:50">
      <c r="A3293" s="1" t="s">
        <v>50</v>
      </c>
      <c r="B3293" t="s">
        <v>101</v>
      </c>
      <c r="C3293" t="s">
        <v>164</v>
      </c>
      <c r="D3293" t="s">
        <v>6595</v>
      </c>
      <c r="E3293" t="s">
        <v>6210</v>
      </c>
      <c r="F3293" t="s">
        <v>243</v>
      </c>
      <c r="G3293" t="s">
        <v>6931</v>
      </c>
      <c r="H3293" t="s">
        <v>10877</v>
      </c>
      <c r="I3293" t="s">
        <v>11689</v>
      </c>
      <c r="J3293" t="s">
        <v>1484</v>
      </c>
      <c r="K3293" t="s">
        <v>1643</v>
      </c>
      <c r="L3293">
        <v>10035</v>
      </c>
      <c r="M3293" t="s">
        <v>1670</v>
      </c>
      <c r="P3293" t="s">
        <v>12995</v>
      </c>
      <c r="Q3293" t="s">
        <v>1940</v>
      </c>
      <c r="R3293" t="s">
        <v>1960</v>
      </c>
      <c r="S3293" t="s">
        <v>1969</v>
      </c>
      <c r="T3293" t="s">
        <v>1671</v>
      </c>
      <c r="V3293" t="s">
        <v>1972</v>
      </c>
      <c r="W3293" t="s">
        <v>1984</v>
      </c>
      <c r="X3293" t="s">
        <v>2003</v>
      </c>
      <c r="Y3293">
        <v>333</v>
      </c>
      <c r="Z3293" t="s">
        <v>2008</v>
      </c>
      <c r="AA3293" t="s">
        <v>13055</v>
      </c>
      <c r="AB3293" t="s">
        <v>2032</v>
      </c>
      <c r="AC3293" t="s">
        <v>15603</v>
      </c>
      <c r="AE3293" t="s">
        <v>18011</v>
      </c>
      <c r="AF3293">
        <v>15</v>
      </c>
      <c r="AG3293" t="s">
        <v>2902</v>
      </c>
      <c r="AH3293" t="s">
        <v>1754</v>
      </c>
      <c r="AI3293">
        <v>29</v>
      </c>
      <c r="AJ3293">
        <v>3</v>
      </c>
      <c r="AK3293">
        <v>3</v>
      </c>
      <c r="AL3293">
        <v>27.49</v>
      </c>
      <c r="AO3293" t="s">
        <v>2926</v>
      </c>
      <c r="AP3293">
        <v>9276</v>
      </c>
      <c r="AQ3293" t="s">
        <v>18443</v>
      </c>
      <c r="AS3293" t="s">
        <v>2983</v>
      </c>
      <c r="AT3293" t="s">
        <v>2992</v>
      </c>
      <c r="AU3293" t="s">
        <v>18611</v>
      </c>
      <c r="AV3293">
        <v>11.6</v>
      </c>
      <c r="AW3293" t="s">
        <v>278</v>
      </c>
      <c r="AX3293" t="s">
        <v>3071</v>
      </c>
    </row>
    <row r="3294" spans="1:50">
      <c r="A3294" s="1" t="s">
        <v>51</v>
      </c>
      <c r="B3294" t="s">
        <v>126</v>
      </c>
      <c r="C3294" t="s">
        <v>164</v>
      </c>
      <c r="D3294" t="s">
        <v>6596</v>
      </c>
      <c r="E3294" t="s">
        <v>292</v>
      </c>
      <c r="F3294" t="s">
        <v>292</v>
      </c>
      <c r="G3294" t="s">
        <v>9314</v>
      </c>
      <c r="H3294" t="s">
        <v>10878</v>
      </c>
      <c r="I3294" t="s">
        <v>11690</v>
      </c>
      <c r="J3294" t="s">
        <v>11800</v>
      </c>
      <c r="K3294" t="s">
        <v>1641</v>
      </c>
      <c r="L3294">
        <v>10455</v>
      </c>
      <c r="M3294" t="s">
        <v>1670</v>
      </c>
      <c r="Q3294" t="s">
        <v>1942</v>
      </c>
      <c r="R3294" t="s">
        <v>1958</v>
      </c>
      <c r="S3294" t="s">
        <v>1965</v>
      </c>
      <c r="V3294" t="s">
        <v>1979</v>
      </c>
      <c r="X3294" t="s">
        <v>1991</v>
      </c>
      <c r="Y3294" t="s">
        <v>13051</v>
      </c>
      <c r="Z3294" t="s">
        <v>2006</v>
      </c>
      <c r="AB3294" t="s">
        <v>2029</v>
      </c>
      <c r="AC3294" t="s">
        <v>14627</v>
      </c>
      <c r="AE3294" t="s">
        <v>18012</v>
      </c>
      <c r="AF3294" t="s">
        <v>13051</v>
      </c>
      <c r="AG3294" t="s">
        <v>2912</v>
      </c>
      <c r="AH3294" t="s">
        <v>2915</v>
      </c>
      <c r="AI3294">
        <v>0</v>
      </c>
      <c r="AJ3294">
        <v>2</v>
      </c>
      <c r="AK3294">
        <v>3</v>
      </c>
      <c r="AL3294">
        <v>49.49</v>
      </c>
      <c r="AO3294" t="s">
        <v>2926</v>
      </c>
      <c r="AP3294">
        <v>14560</v>
      </c>
      <c r="AV3294">
        <v>0.5</v>
      </c>
      <c r="AW3294" t="s">
        <v>292</v>
      </c>
      <c r="AX3294" t="s">
        <v>126</v>
      </c>
    </row>
    <row r="3295" spans="1:50">
      <c r="A3295" s="1" t="s">
        <v>50</v>
      </c>
      <c r="B3295" t="s">
        <v>111</v>
      </c>
      <c r="C3295" t="s">
        <v>163</v>
      </c>
      <c r="D3295" t="s">
        <v>6597</v>
      </c>
      <c r="E3295" t="s">
        <v>338</v>
      </c>
      <c r="G3295" t="s">
        <v>9315</v>
      </c>
      <c r="H3295" t="s">
        <v>8499</v>
      </c>
      <c r="I3295" t="s">
        <v>11691</v>
      </c>
      <c r="J3295" t="s">
        <v>1507</v>
      </c>
      <c r="K3295" t="s">
        <v>1641</v>
      </c>
      <c r="L3295">
        <v>10453</v>
      </c>
      <c r="M3295" t="s">
        <v>1670</v>
      </c>
      <c r="Q3295" t="s">
        <v>1938</v>
      </c>
      <c r="R3295" t="s">
        <v>1961</v>
      </c>
      <c r="T3295" t="s">
        <v>1670</v>
      </c>
      <c r="V3295" t="s">
        <v>1972</v>
      </c>
      <c r="X3295" t="s">
        <v>283</v>
      </c>
      <c r="Y3295" t="s">
        <v>13051</v>
      </c>
      <c r="Z3295" t="s">
        <v>2006</v>
      </c>
      <c r="AA3295" t="s">
        <v>2015</v>
      </c>
      <c r="AC3295" t="s">
        <v>13414</v>
      </c>
      <c r="AE3295" t="s">
        <v>18013</v>
      </c>
      <c r="AF3295">
        <v>44</v>
      </c>
      <c r="AG3295" t="s">
        <v>2902</v>
      </c>
      <c r="AH3295" t="s">
        <v>1754</v>
      </c>
      <c r="AI3295">
        <v>8</v>
      </c>
      <c r="AJ3295">
        <v>1</v>
      </c>
      <c r="AK3295">
        <v>2</v>
      </c>
      <c r="AL3295">
        <v>161.75</v>
      </c>
      <c r="AO3295" t="s">
        <v>2926</v>
      </c>
      <c r="AP3295">
        <v>34502</v>
      </c>
      <c r="AV3295" t="s">
        <v>13051</v>
      </c>
      <c r="AX3295" t="s">
        <v>3047</v>
      </c>
    </row>
    <row r="3296" spans="1:50">
      <c r="A3296" s="1" t="s">
        <v>50</v>
      </c>
      <c r="B3296" t="s">
        <v>111</v>
      </c>
      <c r="C3296" t="s">
        <v>163</v>
      </c>
      <c r="D3296" t="s">
        <v>6598</v>
      </c>
      <c r="E3296" t="s">
        <v>338</v>
      </c>
      <c r="G3296" t="s">
        <v>9315</v>
      </c>
      <c r="H3296" t="s">
        <v>8499</v>
      </c>
      <c r="I3296" t="s">
        <v>11691</v>
      </c>
      <c r="J3296" t="s">
        <v>1507</v>
      </c>
      <c r="K3296" t="s">
        <v>1641</v>
      </c>
      <c r="L3296">
        <v>10453</v>
      </c>
      <c r="M3296" t="s">
        <v>1670</v>
      </c>
      <c r="Q3296" t="s">
        <v>1675</v>
      </c>
      <c r="R3296" t="s">
        <v>1959</v>
      </c>
      <c r="T3296" t="s">
        <v>1670</v>
      </c>
      <c r="V3296" t="s">
        <v>1972</v>
      </c>
      <c r="X3296" t="s">
        <v>283</v>
      </c>
      <c r="Y3296" t="s">
        <v>13051</v>
      </c>
      <c r="Z3296" t="s">
        <v>2006</v>
      </c>
      <c r="AA3296" t="s">
        <v>2015</v>
      </c>
      <c r="AC3296" t="s">
        <v>13414</v>
      </c>
      <c r="AE3296" t="s">
        <v>18013</v>
      </c>
      <c r="AF3296">
        <v>44</v>
      </c>
      <c r="AG3296" t="s">
        <v>2902</v>
      </c>
      <c r="AH3296" t="s">
        <v>1754</v>
      </c>
      <c r="AI3296">
        <v>8</v>
      </c>
      <c r="AJ3296">
        <v>1</v>
      </c>
      <c r="AK3296">
        <v>2</v>
      </c>
      <c r="AL3296">
        <v>161.78</v>
      </c>
      <c r="AO3296" t="s">
        <v>2926</v>
      </c>
      <c r="AP3296">
        <v>34507.2</v>
      </c>
      <c r="AV3296" t="s">
        <v>13051</v>
      </c>
      <c r="AX3296" t="s">
        <v>3047</v>
      </c>
    </row>
    <row r="3297" spans="1:50">
      <c r="A3297" s="1" t="s">
        <v>50</v>
      </c>
      <c r="B3297" t="s">
        <v>111</v>
      </c>
      <c r="C3297" t="s">
        <v>163</v>
      </c>
      <c r="D3297" t="s">
        <v>6599</v>
      </c>
      <c r="E3297" t="s">
        <v>338</v>
      </c>
      <c r="G3297" t="s">
        <v>9315</v>
      </c>
      <c r="H3297" t="s">
        <v>8499</v>
      </c>
      <c r="I3297" t="s">
        <v>11691</v>
      </c>
      <c r="J3297" t="s">
        <v>1507</v>
      </c>
      <c r="K3297" t="s">
        <v>1641</v>
      </c>
      <c r="L3297">
        <v>10453</v>
      </c>
      <c r="M3297" t="s">
        <v>1670</v>
      </c>
      <c r="P3297" t="s">
        <v>1778</v>
      </c>
      <c r="Q3297" t="s">
        <v>1939</v>
      </c>
      <c r="R3297" t="s">
        <v>1960</v>
      </c>
      <c r="T3297" t="s">
        <v>1670</v>
      </c>
      <c r="V3297" t="s">
        <v>1972</v>
      </c>
      <c r="X3297" t="s">
        <v>283</v>
      </c>
      <c r="Y3297" t="s">
        <v>13051</v>
      </c>
      <c r="Z3297" t="s">
        <v>2006</v>
      </c>
      <c r="AA3297" t="s">
        <v>2015</v>
      </c>
      <c r="AC3297" t="s">
        <v>13414</v>
      </c>
      <c r="AE3297" t="s">
        <v>18013</v>
      </c>
      <c r="AF3297">
        <v>44</v>
      </c>
      <c r="AG3297" t="s">
        <v>2902</v>
      </c>
      <c r="AH3297" t="s">
        <v>1754</v>
      </c>
      <c r="AI3297">
        <v>8</v>
      </c>
      <c r="AJ3297">
        <v>1</v>
      </c>
      <c r="AK3297">
        <v>2</v>
      </c>
      <c r="AL3297">
        <v>161.78</v>
      </c>
      <c r="AO3297" t="s">
        <v>2926</v>
      </c>
      <c r="AP3297">
        <v>34507.2</v>
      </c>
      <c r="AV3297" t="s">
        <v>13051</v>
      </c>
      <c r="AX3297" t="s">
        <v>3047</v>
      </c>
    </row>
    <row r="3298" spans="1:50">
      <c r="A3298" s="1" t="s">
        <v>51</v>
      </c>
      <c r="B3298" t="s">
        <v>90</v>
      </c>
      <c r="C3298" t="s">
        <v>164</v>
      </c>
      <c r="D3298" t="s">
        <v>6600</v>
      </c>
      <c r="E3298" t="s">
        <v>3038</v>
      </c>
      <c r="F3298" t="s">
        <v>269</v>
      </c>
      <c r="G3298" t="s">
        <v>9316</v>
      </c>
      <c r="H3298" t="s">
        <v>890</v>
      </c>
      <c r="I3298" t="s">
        <v>11692</v>
      </c>
      <c r="J3298" t="s">
        <v>1542</v>
      </c>
      <c r="K3298" t="s">
        <v>1646</v>
      </c>
      <c r="L3298">
        <v>10301</v>
      </c>
      <c r="M3298" t="s">
        <v>1670</v>
      </c>
      <c r="P3298" t="s">
        <v>12996</v>
      </c>
      <c r="R3298" t="s">
        <v>1960</v>
      </c>
      <c r="S3298" t="s">
        <v>13024</v>
      </c>
      <c r="T3298" t="s">
        <v>1671</v>
      </c>
      <c r="V3298" t="s">
        <v>1972</v>
      </c>
      <c r="W3298" t="s">
        <v>1984</v>
      </c>
      <c r="X3298" t="s">
        <v>3038</v>
      </c>
      <c r="Y3298">
        <v>433</v>
      </c>
      <c r="Z3298" t="s">
        <v>2010</v>
      </c>
      <c r="AA3298" t="s">
        <v>2012</v>
      </c>
      <c r="AB3298" t="s">
        <v>2032</v>
      </c>
      <c r="AC3298" t="s">
        <v>15604</v>
      </c>
      <c r="AD3298" t="s">
        <v>17454</v>
      </c>
      <c r="AE3298" t="s">
        <v>13051</v>
      </c>
      <c r="AH3298">
        <v>1</v>
      </c>
      <c r="AI3298">
        <v>1</v>
      </c>
      <c r="AJ3298">
        <v>2</v>
      </c>
      <c r="AK3298">
        <v>43.38</v>
      </c>
      <c r="AL3298" t="s">
        <v>2923</v>
      </c>
      <c r="AM3298" t="s">
        <v>2924</v>
      </c>
      <c r="AN3298" t="s">
        <v>2926</v>
      </c>
      <c r="AO3298">
        <v>9252</v>
      </c>
      <c r="AQ3298" t="s">
        <v>18444</v>
      </c>
      <c r="AS3298" t="s">
        <v>2992</v>
      </c>
      <c r="AT3298" t="s">
        <v>18613</v>
      </c>
      <c r="AU3298">
        <v>14.7</v>
      </c>
      <c r="AV3298" t="s">
        <v>327</v>
      </c>
      <c r="AW3298" t="s">
        <v>90</v>
      </c>
    </row>
    <row r="3299" spans="1:50">
      <c r="A3299" s="1" t="s">
        <v>50</v>
      </c>
      <c r="B3299" t="s">
        <v>88</v>
      </c>
      <c r="C3299" t="s">
        <v>163</v>
      </c>
      <c r="D3299" t="s">
        <v>6601</v>
      </c>
      <c r="E3299" t="s">
        <v>3038</v>
      </c>
      <c r="G3299" t="s">
        <v>9317</v>
      </c>
      <c r="H3299" t="s">
        <v>7891</v>
      </c>
      <c r="I3299" t="s">
        <v>11693</v>
      </c>
      <c r="J3299" t="s">
        <v>11765</v>
      </c>
      <c r="K3299" t="s">
        <v>1644</v>
      </c>
      <c r="L3299">
        <v>11231</v>
      </c>
      <c r="M3299" t="s">
        <v>1670</v>
      </c>
      <c r="P3299" t="s">
        <v>12997</v>
      </c>
      <c r="Q3299" t="s">
        <v>1940</v>
      </c>
      <c r="R3299" t="s">
        <v>1960</v>
      </c>
      <c r="T3299" t="s">
        <v>1671</v>
      </c>
      <c r="V3299" t="s">
        <v>1972</v>
      </c>
      <c r="W3299" t="s">
        <v>1984</v>
      </c>
      <c r="X3299" t="s">
        <v>3038</v>
      </c>
      <c r="Y3299" t="s">
        <v>13051</v>
      </c>
      <c r="Z3299" t="s">
        <v>2009</v>
      </c>
      <c r="AA3299" t="s">
        <v>2012</v>
      </c>
      <c r="AC3299" t="s">
        <v>15605</v>
      </c>
      <c r="AE3299">
        <v>3</v>
      </c>
      <c r="AF3299" t="s">
        <v>2903</v>
      </c>
      <c r="AG3299" t="s">
        <v>1754</v>
      </c>
      <c r="AH3299" t="s">
        <v>13051</v>
      </c>
      <c r="AI3299">
        <v>1</v>
      </c>
      <c r="AJ3299">
        <v>1</v>
      </c>
      <c r="AK3299">
        <v>7.1</v>
      </c>
      <c r="AN3299" t="s">
        <v>18035</v>
      </c>
      <c r="AO3299">
        <v>1200</v>
      </c>
      <c r="AQ3299" t="s">
        <v>2979</v>
      </c>
      <c r="AR3299" t="s">
        <v>2982</v>
      </c>
      <c r="AS3299" t="s">
        <v>2992</v>
      </c>
      <c r="AT3299" t="s">
        <v>2999</v>
      </c>
      <c r="AU3299">
        <v>6.5</v>
      </c>
      <c r="AV3299" t="s">
        <v>3038</v>
      </c>
      <c r="AW3299" t="s">
        <v>3059</v>
      </c>
    </row>
    <row r="3300" spans="1:50">
      <c r="A3300" s="1" t="s">
        <v>51</v>
      </c>
      <c r="B3300" t="s">
        <v>88</v>
      </c>
      <c r="C3300" t="s">
        <v>164</v>
      </c>
      <c r="D3300" t="s">
        <v>6602</v>
      </c>
      <c r="E3300" t="s">
        <v>332</v>
      </c>
      <c r="F3300" t="s">
        <v>379</v>
      </c>
      <c r="G3300" t="s">
        <v>9317</v>
      </c>
      <c r="H3300" t="s">
        <v>7891</v>
      </c>
      <c r="I3300" t="s">
        <v>11693</v>
      </c>
      <c r="J3300" t="s">
        <v>11765</v>
      </c>
      <c r="K3300" t="s">
        <v>1644</v>
      </c>
      <c r="L3300">
        <v>11231</v>
      </c>
      <c r="M3300" t="s">
        <v>1670</v>
      </c>
      <c r="P3300" t="s">
        <v>12998</v>
      </c>
      <c r="Q3300" t="s">
        <v>1940</v>
      </c>
      <c r="R3300" t="s">
        <v>1960</v>
      </c>
      <c r="S3300" t="s">
        <v>1969</v>
      </c>
      <c r="T3300" t="s">
        <v>1671</v>
      </c>
      <c r="V3300" t="s">
        <v>1972</v>
      </c>
      <c r="W3300" t="s">
        <v>1984</v>
      </c>
      <c r="X3300" t="s">
        <v>3038</v>
      </c>
      <c r="Y3300" t="s">
        <v>13051</v>
      </c>
      <c r="Z3300" t="s">
        <v>2009</v>
      </c>
      <c r="AA3300" t="s">
        <v>2012</v>
      </c>
      <c r="AB3300" t="s">
        <v>2032</v>
      </c>
      <c r="AC3300" t="s">
        <v>15605</v>
      </c>
      <c r="AE3300">
        <v>3</v>
      </c>
      <c r="AF3300" t="s">
        <v>2903</v>
      </c>
      <c r="AG3300" t="s">
        <v>1754</v>
      </c>
      <c r="AH3300">
        <v>2</v>
      </c>
      <c r="AI3300">
        <v>1</v>
      </c>
      <c r="AJ3300">
        <v>1</v>
      </c>
      <c r="AK3300">
        <v>7.29</v>
      </c>
      <c r="AL3300" t="s">
        <v>2923</v>
      </c>
      <c r="AM3300" t="s">
        <v>2924</v>
      </c>
      <c r="AN3300" t="s">
        <v>18035</v>
      </c>
      <c r="AO3300">
        <v>1200</v>
      </c>
      <c r="AQ3300" t="s">
        <v>2977</v>
      </c>
      <c r="AR3300" t="s">
        <v>2982</v>
      </c>
      <c r="AS3300" t="s">
        <v>2992</v>
      </c>
      <c r="AT3300" t="s">
        <v>2999</v>
      </c>
      <c r="AU3300">
        <v>26.2</v>
      </c>
      <c r="AV3300" t="s">
        <v>254</v>
      </c>
      <c r="AW3300" t="s">
        <v>3059</v>
      </c>
    </row>
    <row r="3301" spans="1:50">
      <c r="A3301" s="1" t="s">
        <v>50</v>
      </c>
      <c r="B3301" t="s">
        <v>82</v>
      </c>
      <c r="C3301" t="s">
        <v>163</v>
      </c>
      <c r="D3301" t="s">
        <v>6603</v>
      </c>
      <c r="E3301" t="s">
        <v>253</v>
      </c>
      <c r="G3301" t="s">
        <v>573</v>
      </c>
      <c r="H3301" t="s">
        <v>909</v>
      </c>
      <c r="I3301" t="s">
        <v>1144</v>
      </c>
      <c r="J3301" t="s">
        <v>1621</v>
      </c>
      <c r="K3301" t="s">
        <v>1644</v>
      </c>
      <c r="L3301">
        <v>11233</v>
      </c>
      <c r="M3301" t="s">
        <v>1670</v>
      </c>
      <c r="P3301" t="s">
        <v>1754</v>
      </c>
      <c r="Q3301" t="s">
        <v>1937</v>
      </c>
      <c r="R3301" t="s">
        <v>1962</v>
      </c>
      <c r="T3301" t="s">
        <v>1670</v>
      </c>
      <c r="V3301" t="s">
        <v>1972</v>
      </c>
      <c r="W3301" t="s">
        <v>1984</v>
      </c>
      <c r="X3301" t="s">
        <v>221</v>
      </c>
      <c r="Y3301">
        <v>986</v>
      </c>
      <c r="Z3301" t="s">
        <v>2009</v>
      </c>
      <c r="AA3301" t="s">
        <v>2017</v>
      </c>
      <c r="AC3301" t="s">
        <v>15606</v>
      </c>
      <c r="AE3301">
        <v>359</v>
      </c>
      <c r="AF3301" t="s">
        <v>2902</v>
      </c>
      <c r="AG3301" t="s">
        <v>1754</v>
      </c>
      <c r="AH3301">
        <v>16</v>
      </c>
      <c r="AI3301">
        <v>2</v>
      </c>
      <c r="AJ3301">
        <v>1</v>
      </c>
      <c r="AK3301">
        <v>171.84</v>
      </c>
      <c r="AN3301" t="s">
        <v>2926</v>
      </c>
      <c r="AO3301">
        <v>36653</v>
      </c>
      <c r="AP3301" t="s">
        <v>18390</v>
      </c>
      <c r="AU3301" t="s">
        <v>13051</v>
      </c>
      <c r="AW3301" t="s">
        <v>3059</v>
      </c>
    </row>
    <row r="3302" spans="1:50">
      <c r="A3302" s="1" t="s">
        <v>50</v>
      </c>
      <c r="B3302" t="s">
        <v>82</v>
      </c>
      <c r="C3302" t="s">
        <v>163</v>
      </c>
      <c r="D3302" t="s">
        <v>6604</v>
      </c>
      <c r="E3302" t="s">
        <v>253</v>
      </c>
      <c r="G3302" t="s">
        <v>573</v>
      </c>
      <c r="H3302" t="s">
        <v>909</v>
      </c>
      <c r="I3302" t="s">
        <v>1144</v>
      </c>
      <c r="J3302" t="s">
        <v>1621</v>
      </c>
      <c r="K3302" t="s">
        <v>1644</v>
      </c>
      <c r="L3302">
        <v>11233</v>
      </c>
      <c r="M3302" t="s">
        <v>1670</v>
      </c>
      <c r="P3302" t="s">
        <v>1691</v>
      </c>
      <c r="Q3302" t="s">
        <v>1938</v>
      </c>
      <c r="R3302" t="s">
        <v>1961</v>
      </c>
      <c r="T3302" t="s">
        <v>1670</v>
      </c>
      <c r="V3302" t="s">
        <v>1972</v>
      </c>
      <c r="W3302" t="s">
        <v>1984</v>
      </c>
      <c r="X3302" t="s">
        <v>248</v>
      </c>
      <c r="Y3302">
        <v>986</v>
      </c>
      <c r="Z3302" t="s">
        <v>2009</v>
      </c>
      <c r="AA3302" t="s">
        <v>2017</v>
      </c>
      <c r="AC3302" t="s">
        <v>15606</v>
      </c>
      <c r="AE3302">
        <v>359</v>
      </c>
      <c r="AF3302" t="s">
        <v>2902</v>
      </c>
      <c r="AG3302" t="s">
        <v>1754</v>
      </c>
      <c r="AH3302">
        <v>16</v>
      </c>
      <c r="AI3302">
        <v>2</v>
      </c>
      <c r="AJ3302">
        <v>1</v>
      </c>
      <c r="AK3302">
        <v>171.84</v>
      </c>
      <c r="AN3302" t="s">
        <v>2926</v>
      </c>
      <c r="AO3302">
        <v>36653</v>
      </c>
      <c r="AP3302" t="s">
        <v>18139</v>
      </c>
      <c r="AU3302" t="s">
        <v>13051</v>
      </c>
      <c r="AW3302" t="s">
        <v>3059</v>
      </c>
    </row>
    <row r="3303" spans="1:50">
      <c r="A3303" s="1" t="s">
        <v>50</v>
      </c>
      <c r="B3303" t="s">
        <v>129</v>
      </c>
      <c r="C3303" t="s">
        <v>164</v>
      </c>
      <c r="D3303" t="s">
        <v>6605</v>
      </c>
      <c r="E3303" t="s">
        <v>6191</v>
      </c>
      <c r="F3303" t="s">
        <v>361</v>
      </c>
      <c r="G3303" t="s">
        <v>415</v>
      </c>
      <c r="H3303" t="s">
        <v>10879</v>
      </c>
      <c r="I3303" t="s">
        <v>11694</v>
      </c>
      <c r="J3303" t="s">
        <v>1553</v>
      </c>
      <c r="K3303" t="s">
        <v>1644</v>
      </c>
      <c r="L3303">
        <v>11207</v>
      </c>
      <c r="M3303" t="s">
        <v>1670</v>
      </c>
      <c r="P3303" t="s">
        <v>12999</v>
      </c>
      <c r="Q3303" t="s">
        <v>1940</v>
      </c>
      <c r="R3303" t="s">
        <v>1960</v>
      </c>
      <c r="S3303" t="s">
        <v>1966</v>
      </c>
      <c r="T3303" t="s">
        <v>1671</v>
      </c>
      <c r="V3303" t="s">
        <v>1972</v>
      </c>
      <c r="W3303" t="s">
        <v>1984</v>
      </c>
      <c r="X3303" t="s">
        <v>310</v>
      </c>
      <c r="Y3303">
        <v>1200</v>
      </c>
      <c r="Z3303" t="s">
        <v>2009</v>
      </c>
      <c r="AA3303" t="s">
        <v>2017</v>
      </c>
      <c r="AB3303" t="s">
        <v>2033</v>
      </c>
      <c r="AC3303" t="s">
        <v>15607</v>
      </c>
      <c r="AE3303">
        <v>2</v>
      </c>
      <c r="AF3303" t="s">
        <v>2903</v>
      </c>
      <c r="AG3303" t="s">
        <v>1754</v>
      </c>
      <c r="AH3303">
        <v>7</v>
      </c>
      <c r="AI3303">
        <v>2</v>
      </c>
      <c r="AJ3303">
        <v>2</v>
      </c>
      <c r="AK3303">
        <v>50.49</v>
      </c>
      <c r="AN3303" t="s">
        <v>2926</v>
      </c>
      <c r="AO3303">
        <v>13000</v>
      </c>
      <c r="AP3303" t="s">
        <v>18134</v>
      </c>
      <c r="AQ3303" t="s">
        <v>2976</v>
      </c>
      <c r="AR3303" t="s">
        <v>2017</v>
      </c>
      <c r="AS3303" t="s">
        <v>2994</v>
      </c>
      <c r="AT3303" t="s">
        <v>18614</v>
      </c>
      <c r="AU3303">
        <v>10.65</v>
      </c>
      <c r="AV3303" t="s">
        <v>322</v>
      </c>
      <c r="AW3303" t="s">
        <v>3059</v>
      </c>
    </row>
    <row r="3304" spans="1:50">
      <c r="A3304" s="1" t="s">
        <v>50</v>
      </c>
      <c r="B3304" t="s">
        <v>135</v>
      </c>
      <c r="C3304" t="s">
        <v>163</v>
      </c>
      <c r="D3304" t="s">
        <v>6606</v>
      </c>
      <c r="E3304" t="s">
        <v>249</v>
      </c>
      <c r="G3304" t="s">
        <v>9318</v>
      </c>
      <c r="H3304" t="s">
        <v>8264</v>
      </c>
      <c r="I3304" t="s">
        <v>9674</v>
      </c>
      <c r="J3304" t="s">
        <v>1488</v>
      </c>
      <c r="K3304" t="s">
        <v>1644</v>
      </c>
      <c r="L3304">
        <v>11212</v>
      </c>
      <c r="M3304" t="s">
        <v>1670</v>
      </c>
      <c r="P3304" t="s">
        <v>13000</v>
      </c>
      <c r="Q3304" t="s">
        <v>1936</v>
      </c>
      <c r="R3304" t="s">
        <v>1960</v>
      </c>
      <c r="T3304" t="s">
        <v>1671</v>
      </c>
      <c r="V3304" t="s">
        <v>1972</v>
      </c>
      <c r="W3304" t="s">
        <v>1984</v>
      </c>
      <c r="X3304" t="s">
        <v>249</v>
      </c>
      <c r="Y3304">
        <v>1326</v>
      </c>
      <c r="Z3304" t="s">
        <v>2009</v>
      </c>
      <c r="AA3304" t="s">
        <v>2017</v>
      </c>
      <c r="AC3304" t="s">
        <v>15608</v>
      </c>
      <c r="AE3304">
        <v>16</v>
      </c>
      <c r="AF3304" t="s">
        <v>2902</v>
      </c>
      <c r="AG3304" t="s">
        <v>2918</v>
      </c>
      <c r="AH3304">
        <v>3</v>
      </c>
      <c r="AI3304">
        <v>1</v>
      </c>
      <c r="AJ3304">
        <v>1</v>
      </c>
      <c r="AK3304">
        <v>116.88</v>
      </c>
      <c r="AN3304" t="s">
        <v>2926</v>
      </c>
      <c r="AO3304">
        <v>19764</v>
      </c>
      <c r="AP3304" t="s">
        <v>18391</v>
      </c>
      <c r="AU3304">
        <v>4</v>
      </c>
      <c r="AV3304" t="s">
        <v>397</v>
      </c>
      <c r="AW3304" t="s">
        <v>3060</v>
      </c>
    </row>
    <row r="3305" spans="1:50">
      <c r="A3305" s="1" t="s">
        <v>50</v>
      </c>
      <c r="B3305" t="s">
        <v>79</v>
      </c>
      <c r="C3305" t="s">
        <v>163</v>
      </c>
      <c r="D3305" t="s">
        <v>6607</v>
      </c>
      <c r="E3305" t="s">
        <v>396</v>
      </c>
      <c r="G3305" t="s">
        <v>9319</v>
      </c>
      <c r="H3305" t="s">
        <v>10880</v>
      </c>
      <c r="I3305" t="s">
        <v>9517</v>
      </c>
      <c r="J3305" t="s">
        <v>1508</v>
      </c>
      <c r="K3305" t="s">
        <v>1644</v>
      </c>
      <c r="L3305">
        <v>11212</v>
      </c>
      <c r="M3305" t="s">
        <v>1670</v>
      </c>
      <c r="P3305" t="s">
        <v>1754</v>
      </c>
      <c r="Q3305" t="s">
        <v>1936</v>
      </c>
      <c r="R3305" t="s">
        <v>1960</v>
      </c>
      <c r="T3305" t="s">
        <v>1671</v>
      </c>
      <c r="V3305" t="s">
        <v>1972</v>
      </c>
      <c r="W3305" t="s">
        <v>1984</v>
      </c>
      <c r="X3305" t="s">
        <v>171</v>
      </c>
      <c r="Y3305" t="s">
        <v>13051</v>
      </c>
      <c r="Z3305" t="s">
        <v>2009</v>
      </c>
      <c r="AC3305" t="s">
        <v>15609</v>
      </c>
      <c r="AE3305" t="s">
        <v>13051</v>
      </c>
      <c r="AF3305" t="s">
        <v>2902</v>
      </c>
      <c r="AG3305" t="s">
        <v>1754</v>
      </c>
      <c r="AH3305" t="s">
        <v>13051</v>
      </c>
      <c r="AI3305">
        <v>3</v>
      </c>
      <c r="AJ3305">
        <v>2</v>
      </c>
      <c r="AK3305">
        <v>34.47</v>
      </c>
      <c r="AN3305" t="s">
        <v>2929</v>
      </c>
      <c r="AO3305">
        <v>10400</v>
      </c>
      <c r="AU3305" t="s">
        <v>13051</v>
      </c>
      <c r="AW3305" t="s">
        <v>3060</v>
      </c>
    </row>
    <row r="3306" spans="1:50">
      <c r="A3306" s="1" t="s">
        <v>50</v>
      </c>
      <c r="B3306" t="s">
        <v>88</v>
      </c>
      <c r="C3306" t="s">
        <v>163</v>
      </c>
      <c r="D3306" t="s">
        <v>6608</v>
      </c>
      <c r="E3306" t="s">
        <v>3038</v>
      </c>
      <c r="G3306" t="s">
        <v>9317</v>
      </c>
      <c r="H3306" t="s">
        <v>7891</v>
      </c>
      <c r="I3306" t="s">
        <v>11693</v>
      </c>
      <c r="J3306" t="s">
        <v>11765</v>
      </c>
      <c r="K3306" t="s">
        <v>1644</v>
      </c>
      <c r="L3306">
        <v>11231</v>
      </c>
      <c r="M3306" t="s">
        <v>1670</v>
      </c>
      <c r="P3306" t="s">
        <v>13001</v>
      </c>
      <c r="Q3306" t="s">
        <v>1940</v>
      </c>
      <c r="R3306" t="s">
        <v>1960</v>
      </c>
      <c r="T3306" t="s">
        <v>1671</v>
      </c>
      <c r="V3306" t="s">
        <v>1972</v>
      </c>
      <c r="W3306" t="s">
        <v>1984</v>
      </c>
      <c r="X3306" t="s">
        <v>3038</v>
      </c>
      <c r="Y3306" t="s">
        <v>13051</v>
      </c>
      <c r="Z3306" t="s">
        <v>2009</v>
      </c>
      <c r="AA3306" t="s">
        <v>2012</v>
      </c>
      <c r="AC3306" t="s">
        <v>15605</v>
      </c>
      <c r="AE3306">
        <v>3</v>
      </c>
      <c r="AF3306" t="s">
        <v>2903</v>
      </c>
      <c r="AG3306" t="s">
        <v>1754</v>
      </c>
      <c r="AH3306" t="s">
        <v>13051</v>
      </c>
      <c r="AI3306">
        <v>1</v>
      </c>
      <c r="AJ3306">
        <v>1</v>
      </c>
      <c r="AK3306">
        <v>7.1</v>
      </c>
      <c r="AN3306" t="s">
        <v>18035</v>
      </c>
      <c r="AO3306">
        <v>1200</v>
      </c>
      <c r="AU3306">
        <v>34.3</v>
      </c>
      <c r="AV3306" t="s">
        <v>3036</v>
      </c>
      <c r="AW3306" t="s">
        <v>3059</v>
      </c>
    </row>
    <row r="3307" spans="1:50">
      <c r="A3307" s="1" t="s">
        <v>50</v>
      </c>
      <c r="B3307" t="s">
        <v>105</v>
      </c>
      <c r="C3307" t="s">
        <v>164</v>
      </c>
      <c r="D3307" t="s">
        <v>6609</v>
      </c>
      <c r="E3307" t="s">
        <v>316</v>
      </c>
      <c r="F3307" t="s">
        <v>295</v>
      </c>
      <c r="G3307" t="s">
        <v>6842</v>
      </c>
      <c r="H3307" t="s">
        <v>10881</v>
      </c>
      <c r="I3307" t="s">
        <v>11695</v>
      </c>
      <c r="J3307" t="s">
        <v>11312</v>
      </c>
      <c r="K3307" t="s">
        <v>1641</v>
      </c>
      <c r="L3307">
        <v>10459</v>
      </c>
      <c r="M3307" t="s">
        <v>1670</v>
      </c>
      <c r="P3307" t="s">
        <v>13002</v>
      </c>
      <c r="Q3307" t="s">
        <v>1940</v>
      </c>
      <c r="R3307" t="s">
        <v>1958</v>
      </c>
      <c r="S3307" t="s">
        <v>1965</v>
      </c>
      <c r="T3307" t="s">
        <v>1671</v>
      </c>
      <c r="V3307" t="s">
        <v>1972</v>
      </c>
      <c r="W3307" t="s">
        <v>1984</v>
      </c>
      <c r="X3307" t="s">
        <v>316</v>
      </c>
      <c r="Y3307">
        <v>900</v>
      </c>
      <c r="Z3307" t="s">
        <v>2006</v>
      </c>
      <c r="AA3307" t="s">
        <v>2016</v>
      </c>
      <c r="AB3307" t="s">
        <v>2029</v>
      </c>
      <c r="AC3307" t="s">
        <v>15610</v>
      </c>
      <c r="AE3307" t="s">
        <v>13051</v>
      </c>
      <c r="AF3307" t="s">
        <v>2905</v>
      </c>
      <c r="AG3307" t="s">
        <v>1754</v>
      </c>
      <c r="AH3307">
        <v>2</v>
      </c>
      <c r="AI3307">
        <v>2</v>
      </c>
      <c r="AJ3307">
        <v>1</v>
      </c>
      <c r="AK3307">
        <v>8.44</v>
      </c>
      <c r="AN3307" t="s">
        <v>2927</v>
      </c>
      <c r="AO3307">
        <v>1800</v>
      </c>
      <c r="AU3307">
        <v>0.1</v>
      </c>
      <c r="AV3307" t="s">
        <v>384</v>
      </c>
      <c r="AW3307" t="s">
        <v>74</v>
      </c>
    </row>
    <row r="3308" spans="1:50">
      <c r="A3308" s="1" t="s">
        <v>50</v>
      </c>
      <c r="B3308" t="s">
        <v>54</v>
      </c>
      <c r="C3308" t="s">
        <v>164</v>
      </c>
      <c r="D3308" t="s">
        <v>6610</v>
      </c>
      <c r="E3308" t="s">
        <v>187</v>
      </c>
      <c r="F3308" t="s">
        <v>371</v>
      </c>
      <c r="G3308" t="s">
        <v>9320</v>
      </c>
      <c r="H3308" t="s">
        <v>843</v>
      </c>
      <c r="I3308" t="s">
        <v>11696</v>
      </c>
      <c r="J3308">
        <v>24</v>
      </c>
      <c r="K3308" t="s">
        <v>1643</v>
      </c>
      <c r="L3308">
        <v>10034</v>
      </c>
      <c r="M3308" t="s">
        <v>1670</v>
      </c>
      <c r="R3308" t="s">
        <v>1958</v>
      </c>
      <c r="S3308" t="s">
        <v>1965</v>
      </c>
      <c r="T3308" t="s">
        <v>1671</v>
      </c>
      <c r="V3308" t="s">
        <v>1972</v>
      </c>
      <c r="X3308" t="s">
        <v>187</v>
      </c>
      <c r="Y3308">
        <v>1264.81</v>
      </c>
      <c r="Z3308" t="s">
        <v>2008</v>
      </c>
      <c r="AA3308" t="s">
        <v>2013</v>
      </c>
      <c r="AB3308" t="s">
        <v>2029</v>
      </c>
      <c r="AC3308" t="s">
        <v>15611</v>
      </c>
      <c r="AE3308">
        <v>31</v>
      </c>
      <c r="AF3308" t="s">
        <v>2902</v>
      </c>
      <c r="AG3308" t="s">
        <v>1754</v>
      </c>
      <c r="AH3308">
        <v>31</v>
      </c>
      <c r="AI3308">
        <v>5</v>
      </c>
      <c r="AJ3308">
        <v>1</v>
      </c>
      <c r="AK3308">
        <v>11.74</v>
      </c>
      <c r="AN3308" t="s">
        <v>2927</v>
      </c>
      <c r="AO3308">
        <v>3960</v>
      </c>
      <c r="AU3308">
        <v>0.25</v>
      </c>
      <c r="AV3308" t="s">
        <v>371</v>
      </c>
      <c r="AW3308" t="s">
        <v>3042</v>
      </c>
    </row>
    <row r="3309" spans="1:50">
      <c r="A3309" s="1" t="s">
        <v>50</v>
      </c>
      <c r="B3309" t="s">
        <v>3199</v>
      </c>
      <c r="C3309" t="s">
        <v>164</v>
      </c>
      <c r="D3309" t="s">
        <v>6611</v>
      </c>
      <c r="E3309" t="s">
        <v>360</v>
      </c>
      <c r="F3309" t="s">
        <v>250</v>
      </c>
      <c r="G3309" t="s">
        <v>9321</v>
      </c>
      <c r="H3309" t="s">
        <v>10882</v>
      </c>
      <c r="I3309" t="s">
        <v>11697</v>
      </c>
      <c r="K3309" t="s">
        <v>1646</v>
      </c>
      <c r="L3309">
        <v>10308</v>
      </c>
      <c r="M3309" t="s">
        <v>1671</v>
      </c>
      <c r="Q3309" t="s">
        <v>1940</v>
      </c>
      <c r="R3309" t="s">
        <v>1958</v>
      </c>
      <c r="S3309" t="s">
        <v>1965</v>
      </c>
      <c r="T3309" t="s">
        <v>1671</v>
      </c>
      <c r="V3309" t="s">
        <v>1972</v>
      </c>
      <c r="X3309" t="s">
        <v>360</v>
      </c>
      <c r="Y3309">
        <v>1850</v>
      </c>
      <c r="Z3309" t="s">
        <v>2010</v>
      </c>
      <c r="AA3309" t="s">
        <v>2013</v>
      </c>
      <c r="AB3309" t="s">
        <v>2029</v>
      </c>
      <c r="AC3309" t="s">
        <v>15612</v>
      </c>
      <c r="AE3309">
        <v>2</v>
      </c>
      <c r="AF3309" t="s">
        <v>2903</v>
      </c>
      <c r="AG3309" t="s">
        <v>1754</v>
      </c>
      <c r="AH3309">
        <v>2</v>
      </c>
      <c r="AI3309">
        <v>2</v>
      </c>
      <c r="AJ3309">
        <v>1</v>
      </c>
      <c r="AK3309">
        <v>23.1</v>
      </c>
      <c r="AN3309" t="s">
        <v>2926</v>
      </c>
      <c r="AO3309">
        <v>4800</v>
      </c>
      <c r="AR3309" t="s">
        <v>2017</v>
      </c>
      <c r="AT3309" t="s">
        <v>18551</v>
      </c>
      <c r="AU3309">
        <v>0.8</v>
      </c>
      <c r="AV3309" t="s">
        <v>250</v>
      </c>
      <c r="AW3309" t="s">
        <v>3062</v>
      </c>
    </row>
    <row r="3310" spans="1:50">
      <c r="A3310" s="1" t="s">
        <v>50</v>
      </c>
      <c r="B3310" t="s">
        <v>82</v>
      </c>
      <c r="C3310" t="s">
        <v>163</v>
      </c>
      <c r="D3310" t="s">
        <v>6612</v>
      </c>
      <c r="E3310" t="s">
        <v>179</v>
      </c>
      <c r="G3310" t="s">
        <v>7519</v>
      </c>
      <c r="H3310" t="s">
        <v>10883</v>
      </c>
      <c r="I3310" t="s">
        <v>9420</v>
      </c>
      <c r="J3310" t="s">
        <v>11801</v>
      </c>
      <c r="K3310" t="s">
        <v>1644</v>
      </c>
      <c r="L3310">
        <v>11233</v>
      </c>
      <c r="M3310" t="s">
        <v>1670</v>
      </c>
      <c r="P3310" t="s">
        <v>1675</v>
      </c>
      <c r="Q3310" t="s">
        <v>1937</v>
      </c>
      <c r="R3310" t="s">
        <v>1962</v>
      </c>
      <c r="T3310" t="s">
        <v>1670</v>
      </c>
      <c r="V3310" t="s">
        <v>1972</v>
      </c>
      <c r="X3310" t="s">
        <v>221</v>
      </c>
      <c r="Y3310">
        <v>1350</v>
      </c>
      <c r="Z3310" t="s">
        <v>2009</v>
      </c>
      <c r="AA3310" t="s">
        <v>2017</v>
      </c>
      <c r="AC3310" t="s">
        <v>15613</v>
      </c>
      <c r="AE3310">
        <v>359</v>
      </c>
      <c r="AF3310" t="s">
        <v>2902</v>
      </c>
      <c r="AH3310">
        <v>20</v>
      </c>
      <c r="AI3310">
        <v>3</v>
      </c>
      <c r="AJ3310">
        <v>1</v>
      </c>
      <c r="AK3310">
        <v>35.93</v>
      </c>
      <c r="AN3310" t="s">
        <v>2926</v>
      </c>
      <c r="AO3310">
        <v>9252</v>
      </c>
      <c r="AP3310" t="s">
        <v>18392</v>
      </c>
      <c r="AU3310" t="s">
        <v>13051</v>
      </c>
      <c r="AW3310" t="s">
        <v>3059</v>
      </c>
    </row>
    <row r="3311" spans="1:50">
      <c r="A3311" s="1" t="s">
        <v>50</v>
      </c>
      <c r="B3311" t="s">
        <v>82</v>
      </c>
      <c r="C3311" t="s">
        <v>163</v>
      </c>
      <c r="D3311" t="s">
        <v>6613</v>
      </c>
      <c r="E3311" t="s">
        <v>179</v>
      </c>
      <c r="G3311" t="s">
        <v>7519</v>
      </c>
      <c r="H3311" t="s">
        <v>10883</v>
      </c>
      <c r="I3311" t="s">
        <v>9420</v>
      </c>
      <c r="J3311" t="s">
        <v>11801</v>
      </c>
      <c r="K3311" t="s">
        <v>1644</v>
      </c>
      <c r="L3311">
        <v>11233</v>
      </c>
      <c r="M3311" t="s">
        <v>1670</v>
      </c>
      <c r="P3311" t="s">
        <v>1754</v>
      </c>
      <c r="Q3311" t="s">
        <v>1938</v>
      </c>
      <c r="R3311" t="s">
        <v>1961</v>
      </c>
      <c r="T3311" t="s">
        <v>1670</v>
      </c>
      <c r="V3311" t="s">
        <v>1972</v>
      </c>
      <c r="X3311" t="s">
        <v>248</v>
      </c>
      <c r="Y3311">
        <v>1350</v>
      </c>
      <c r="Z3311" t="s">
        <v>2009</v>
      </c>
      <c r="AA3311" t="s">
        <v>2017</v>
      </c>
      <c r="AC3311" t="s">
        <v>15613</v>
      </c>
      <c r="AE3311">
        <v>359</v>
      </c>
      <c r="AF3311" t="s">
        <v>2902</v>
      </c>
      <c r="AH3311">
        <v>20</v>
      </c>
      <c r="AI3311">
        <v>3</v>
      </c>
      <c r="AJ3311">
        <v>1</v>
      </c>
      <c r="AK3311">
        <v>35.93</v>
      </c>
      <c r="AN3311" t="s">
        <v>2926</v>
      </c>
      <c r="AO3311">
        <v>9252</v>
      </c>
      <c r="AP3311" t="s">
        <v>18071</v>
      </c>
      <c r="AU3311" t="s">
        <v>13051</v>
      </c>
      <c r="AW3311" t="s">
        <v>3059</v>
      </c>
    </row>
    <row r="3312" spans="1:50">
      <c r="A3312" s="1" t="s">
        <v>50</v>
      </c>
      <c r="B3312" t="s">
        <v>118</v>
      </c>
      <c r="C3312" t="s">
        <v>164</v>
      </c>
      <c r="D3312" t="s">
        <v>6614</v>
      </c>
      <c r="E3312" t="s">
        <v>360</v>
      </c>
      <c r="F3312" t="s">
        <v>359</v>
      </c>
      <c r="G3312" t="s">
        <v>578</v>
      </c>
      <c r="H3312" t="s">
        <v>7111</v>
      </c>
      <c r="I3312" t="s">
        <v>9700</v>
      </c>
      <c r="J3312" t="s">
        <v>11802</v>
      </c>
      <c r="K3312" t="s">
        <v>1641</v>
      </c>
      <c r="L3312">
        <v>10452</v>
      </c>
      <c r="M3312" t="s">
        <v>1670</v>
      </c>
      <c r="Q3312" t="s">
        <v>1939</v>
      </c>
      <c r="R3312" t="s">
        <v>1958</v>
      </c>
      <c r="S3312" t="s">
        <v>1965</v>
      </c>
      <c r="T3312" t="s">
        <v>1671</v>
      </c>
      <c r="V3312" t="s">
        <v>1972</v>
      </c>
      <c r="X3312" t="s">
        <v>250</v>
      </c>
      <c r="Y3312">
        <v>1600</v>
      </c>
      <c r="Z3312" t="s">
        <v>2006</v>
      </c>
      <c r="AA3312" t="s">
        <v>2015</v>
      </c>
      <c r="AB3312" t="s">
        <v>2029</v>
      </c>
      <c r="AC3312" t="s">
        <v>15614</v>
      </c>
      <c r="AE3312">
        <v>149</v>
      </c>
      <c r="AF3312" t="s">
        <v>2902</v>
      </c>
      <c r="AG3312" t="s">
        <v>2017</v>
      </c>
      <c r="AH3312">
        <v>12</v>
      </c>
      <c r="AI3312">
        <v>1</v>
      </c>
      <c r="AJ3312">
        <v>1</v>
      </c>
      <c r="AK3312">
        <v>36.09</v>
      </c>
      <c r="AN3312" t="s">
        <v>2926</v>
      </c>
      <c r="AO3312">
        <v>5940</v>
      </c>
      <c r="AU3312">
        <v>0.2</v>
      </c>
      <c r="AV3312" t="s">
        <v>271</v>
      </c>
      <c r="AW3312" t="s">
        <v>3054</v>
      </c>
    </row>
    <row r="3313" spans="1:49">
      <c r="A3313" s="1" t="s">
        <v>50</v>
      </c>
      <c r="B3313" t="s">
        <v>3151</v>
      </c>
      <c r="C3313" t="s">
        <v>164</v>
      </c>
      <c r="D3313" t="s">
        <v>6615</v>
      </c>
      <c r="E3313" t="s">
        <v>194</v>
      </c>
      <c r="F3313" t="s">
        <v>224</v>
      </c>
      <c r="G3313" t="s">
        <v>7737</v>
      </c>
      <c r="H3313" t="s">
        <v>10884</v>
      </c>
      <c r="I3313" t="s">
        <v>10343</v>
      </c>
      <c r="J3313" t="s">
        <v>1550</v>
      </c>
      <c r="K3313" t="s">
        <v>1644</v>
      </c>
      <c r="L3313">
        <v>11212</v>
      </c>
      <c r="M3313" t="s">
        <v>1670</v>
      </c>
      <c r="Q3313" t="s">
        <v>1955</v>
      </c>
      <c r="R3313" t="s">
        <v>1958</v>
      </c>
      <c r="S3313" t="s">
        <v>1965</v>
      </c>
      <c r="V3313" t="s">
        <v>1973</v>
      </c>
      <c r="X3313" t="s">
        <v>194</v>
      </c>
      <c r="Y3313" t="s">
        <v>13051</v>
      </c>
      <c r="Z3313" t="s">
        <v>2009</v>
      </c>
      <c r="AB3313" t="s">
        <v>2029</v>
      </c>
      <c r="AC3313" t="s">
        <v>13840</v>
      </c>
      <c r="AE3313" t="s">
        <v>13051</v>
      </c>
      <c r="AH3313" t="s">
        <v>13051</v>
      </c>
      <c r="AI3313">
        <v>2</v>
      </c>
      <c r="AJ3313">
        <v>1</v>
      </c>
      <c r="AK3313">
        <v>44.64</v>
      </c>
      <c r="AN3313" t="s">
        <v>2927</v>
      </c>
      <c r="AO3313">
        <v>9276</v>
      </c>
      <c r="AU3313">
        <v>1</v>
      </c>
      <c r="AV3313" t="s">
        <v>194</v>
      </c>
      <c r="AW3313" t="s">
        <v>3151</v>
      </c>
    </row>
    <row r="3314" spans="1:49">
      <c r="A3314" s="1" t="s">
        <v>50</v>
      </c>
      <c r="B3314" t="s">
        <v>61</v>
      </c>
      <c r="C3314" t="s">
        <v>163</v>
      </c>
      <c r="D3314" t="s">
        <v>6616</v>
      </c>
      <c r="E3314" t="s">
        <v>364</v>
      </c>
      <c r="G3314" t="s">
        <v>9322</v>
      </c>
      <c r="H3314" t="s">
        <v>10885</v>
      </c>
      <c r="I3314" t="s">
        <v>9387</v>
      </c>
      <c r="J3314" t="s">
        <v>11443</v>
      </c>
      <c r="K3314" t="s">
        <v>1644</v>
      </c>
      <c r="L3314">
        <v>11226</v>
      </c>
      <c r="M3314" t="s">
        <v>1670</v>
      </c>
      <c r="P3314" t="s">
        <v>11999</v>
      </c>
      <c r="Q3314" t="s">
        <v>1939</v>
      </c>
      <c r="R3314" t="s">
        <v>1960</v>
      </c>
      <c r="T3314" t="s">
        <v>1670</v>
      </c>
      <c r="V3314" t="s">
        <v>1972</v>
      </c>
      <c r="W3314" t="s">
        <v>1984</v>
      </c>
      <c r="X3314" t="s">
        <v>13036</v>
      </c>
      <c r="Y3314">
        <v>1050.15</v>
      </c>
      <c r="Z3314" t="s">
        <v>2009</v>
      </c>
      <c r="AA3314" t="s">
        <v>2016</v>
      </c>
      <c r="AC3314" t="s">
        <v>15615</v>
      </c>
      <c r="AE3314">
        <v>36</v>
      </c>
      <c r="AF3314" t="s">
        <v>2902</v>
      </c>
      <c r="AH3314">
        <v>21</v>
      </c>
      <c r="AI3314">
        <v>2</v>
      </c>
      <c r="AJ3314">
        <v>1</v>
      </c>
      <c r="AK3314">
        <v>48.76</v>
      </c>
      <c r="AN3314" t="s">
        <v>2927</v>
      </c>
      <c r="AO3314">
        <v>10400</v>
      </c>
      <c r="AU3314">
        <v>0.2</v>
      </c>
      <c r="AV3314" t="s">
        <v>364</v>
      </c>
      <c r="AW3314" t="s">
        <v>69</v>
      </c>
    </row>
    <row r="3315" spans="1:49">
      <c r="A3315" s="1" t="s">
        <v>50</v>
      </c>
      <c r="B3315" t="s">
        <v>132</v>
      </c>
      <c r="C3315" t="s">
        <v>163</v>
      </c>
      <c r="D3315" t="s">
        <v>6617</v>
      </c>
      <c r="E3315" t="s">
        <v>365</v>
      </c>
      <c r="G3315" t="s">
        <v>9323</v>
      </c>
      <c r="H3315" t="s">
        <v>767</v>
      </c>
      <c r="I3315" t="s">
        <v>1385</v>
      </c>
      <c r="J3315" t="s">
        <v>1543</v>
      </c>
      <c r="K3315" t="s">
        <v>1644</v>
      </c>
      <c r="L3315">
        <v>11213</v>
      </c>
      <c r="M3315" t="s">
        <v>1670</v>
      </c>
      <c r="P3315" t="s">
        <v>1675</v>
      </c>
      <c r="Q3315" t="s">
        <v>1937</v>
      </c>
      <c r="R3315" t="s">
        <v>1962</v>
      </c>
      <c r="T3315" t="s">
        <v>1670</v>
      </c>
      <c r="V3315" t="s">
        <v>1972</v>
      </c>
      <c r="X3315" t="s">
        <v>345</v>
      </c>
      <c r="Y3315">
        <v>855.86</v>
      </c>
      <c r="Z3315" t="s">
        <v>2009</v>
      </c>
      <c r="AA3315" t="s">
        <v>2015</v>
      </c>
      <c r="AC3315" t="s">
        <v>15616</v>
      </c>
      <c r="AE3315">
        <v>6</v>
      </c>
      <c r="AF3315" t="s">
        <v>2902</v>
      </c>
      <c r="AG3315" t="s">
        <v>1754</v>
      </c>
      <c r="AH3315">
        <v>26</v>
      </c>
      <c r="AI3315">
        <v>1</v>
      </c>
      <c r="AJ3315">
        <v>1</v>
      </c>
      <c r="AK3315">
        <v>52.58</v>
      </c>
      <c r="AN3315" t="s">
        <v>2926</v>
      </c>
      <c r="AO3315">
        <v>8892</v>
      </c>
      <c r="AU3315" t="s">
        <v>13051</v>
      </c>
      <c r="AW3315" t="s">
        <v>3059</v>
      </c>
    </row>
    <row r="3316" spans="1:49">
      <c r="A3316" s="1" t="s">
        <v>50</v>
      </c>
      <c r="B3316" t="s">
        <v>132</v>
      </c>
      <c r="C3316" t="s">
        <v>163</v>
      </c>
      <c r="D3316" t="s">
        <v>6618</v>
      </c>
      <c r="E3316" t="s">
        <v>365</v>
      </c>
      <c r="G3316" t="s">
        <v>9323</v>
      </c>
      <c r="H3316" t="s">
        <v>767</v>
      </c>
      <c r="I3316" t="s">
        <v>1385</v>
      </c>
      <c r="J3316" t="s">
        <v>1543</v>
      </c>
      <c r="K3316" t="s">
        <v>1644</v>
      </c>
      <c r="L3316">
        <v>11213</v>
      </c>
      <c r="M3316" t="s">
        <v>1670</v>
      </c>
      <c r="P3316" t="s">
        <v>1675</v>
      </c>
      <c r="Q3316" t="s">
        <v>1937</v>
      </c>
      <c r="R3316" t="s">
        <v>1962</v>
      </c>
      <c r="T3316" t="s">
        <v>1670</v>
      </c>
      <c r="V3316" t="s">
        <v>1972</v>
      </c>
      <c r="X3316" t="s">
        <v>255</v>
      </c>
      <c r="Y3316">
        <v>855.86</v>
      </c>
      <c r="Z3316" t="s">
        <v>2009</v>
      </c>
      <c r="AA3316" t="s">
        <v>2015</v>
      </c>
      <c r="AC3316" t="s">
        <v>15616</v>
      </c>
      <c r="AE3316">
        <v>6</v>
      </c>
      <c r="AF3316" t="s">
        <v>2902</v>
      </c>
      <c r="AG3316" t="s">
        <v>1754</v>
      </c>
      <c r="AH3316">
        <v>26</v>
      </c>
      <c r="AI3316">
        <v>1</v>
      </c>
      <c r="AJ3316">
        <v>1</v>
      </c>
      <c r="AK3316">
        <v>52.58</v>
      </c>
      <c r="AN3316" t="s">
        <v>2926</v>
      </c>
      <c r="AO3316">
        <v>8892</v>
      </c>
      <c r="AP3316" t="s">
        <v>18393</v>
      </c>
      <c r="AU3316" t="s">
        <v>13051</v>
      </c>
      <c r="AW3316" t="s">
        <v>3059</v>
      </c>
    </row>
    <row r="3317" spans="1:49">
      <c r="A3317" s="1" t="s">
        <v>50</v>
      </c>
      <c r="B3317" t="s">
        <v>132</v>
      </c>
      <c r="C3317" t="s">
        <v>163</v>
      </c>
      <c r="D3317" t="s">
        <v>6619</v>
      </c>
      <c r="E3317" t="s">
        <v>365</v>
      </c>
      <c r="G3317" t="s">
        <v>9323</v>
      </c>
      <c r="H3317" t="s">
        <v>767</v>
      </c>
      <c r="I3317" t="s">
        <v>1385</v>
      </c>
      <c r="J3317" t="s">
        <v>1543</v>
      </c>
      <c r="K3317" t="s">
        <v>1644</v>
      </c>
      <c r="L3317">
        <v>11213</v>
      </c>
      <c r="M3317" t="s">
        <v>1670</v>
      </c>
      <c r="P3317" t="s">
        <v>1870</v>
      </c>
      <c r="Q3317" t="s">
        <v>1938</v>
      </c>
      <c r="R3317" t="s">
        <v>1961</v>
      </c>
      <c r="T3317" t="s">
        <v>1670</v>
      </c>
      <c r="V3317" t="s">
        <v>1972</v>
      </c>
      <c r="X3317" t="s">
        <v>266</v>
      </c>
      <c r="Y3317">
        <v>855.86</v>
      </c>
      <c r="Z3317" t="s">
        <v>2009</v>
      </c>
      <c r="AA3317" t="s">
        <v>2015</v>
      </c>
      <c r="AC3317" t="s">
        <v>15616</v>
      </c>
      <c r="AE3317">
        <v>6</v>
      </c>
      <c r="AF3317" t="s">
        <v>2902</v>
      </c>
      <c r="AG3317" t="s">
        <v>1754</v>
      </c>
      <c r="AH3317">
        <v>26</v>
      </c>
      <c r="AI3317">
        <v>1</v>
      </c>
      <c r="AJ3317">
        <v>1</v>
      </c>
      <c r="AK3317">
        <v>52.58</v>
      </c>
      <c r="AN3317" t="s">
        <v>2926</v>
      </c>
      <c r="AO3317">
        <v>8892</v>
      </c>
      <c r="AP3317" t="s">
        <v>18394</v>
      </c>
      <c r="AU3317" t="s">
        <v>13051</v>
      </c>
      <c r="AW3317" t="s">
        <v>3059</v>
      </c>
    </row>
    <row r="3318" spans="1:49">
      <c r="A3318" s="1" t="s">
        <v>50</v>
      </c>
      <c r="B3318" t="s">
        <v>132</v>
      </c>
      <c r="C3318" t="s">
        <v>163</v>
      </c>
      <c r="D3318" t="s">
        <v>6620</v>
      </c>
      <c r="E3318" t="s">
        <v>365</v>
      </c>
      <c r="G3318" t="s">
        <v>9323</v>
      </c>
      <c r="H3318" t="s">
        <v>767</v>
      </c>
      <c r="I3318" t="s">
        <v>1385</v>
      </c>
      <c r="J3318" t="s">
        <v>1543</v>
      </c>
      <c r="K3318" t="s">
        <v>1644</v>
      </c>
      <c r="L3318">
        <v>11213</v>
      </c>
      <c r="M3318" t="s">
        <v>1670</v>
      </c>
      <c r="P3318" t="s">
        <v>1871</v>
      </c>
      <c r="Q3318" t="s">
        <v>1939</v>
      </c>
      <c r="R3318" t="s">
        <v>1960</v>
      </c>
      <c r="T3318" t="s">
        <v>1670</v>
      </c>
      <c r="V3318" t="s">
        <v>1972</v>
      </c>
      <c r="X3318" t="s">
        <v>266</v>
      </c>
      <c r="Y3318">
        <v>855.86</v>
      </c>
      <c r="Z3318" t="s">
        <v>2009</v>
      </c>
      <c r="AA3318" t="s">
        <v>2015</v>
      </c>
      <c r="AC3318" t="s">
        <v>15616</v>
      </c>
      <c r="AE3318">
        <v>6</v>
      </c>
      <c r="AF3318" t="s">
        <v>2902</v>
      </c>
      <c r="AG3318" t="s">
        <v>1754</v>
      </c>
      <c r="AH3318">
        <v>26</v>
      </c>
      <c r="AI3318">
        <v>1</v>
      </c>
      <c r="AJ3318">
        <v>1</v>
      </c>
      <c r="AK3318">
        <v>52.58</v>
      </c>
      <c r="AN3318" t="s">
        <v>2926</v>
      </c>
      <c r="AO3318">
        <v>8892</v>
      </c>
      <c r="AP3318" t="s">
        <v>18394</v>
      </c>
      <c r="AU3318" t="s">
        <v>13051</v>
      </c>
      <c r="AW3318" t="s">
        <v>3059</v>
      </c>
    </row>
    <row r="3319" spans="1:49">
      <c r="A3319" s="1" t="s">
        <v>50</v>
      </c>
      <c r="B3319" t="s">
        <v>88</v>
      </c>
      <c r="C3319" t="s">
        <v>163</v>
      </c>
      <c r="D3319" t="s">
        <v>6621</v>
      </c>
      <c r="E3319" t="s">
        <v>364</v>
      </c>
      <c r="G3319" t="s">
        <v>9323</v>
      </c>
      <c r="H3319" t="s">
        <v>767</v>
      </c>
      <c r="I3319" t="s">
        <v>1385</v>
      </c>
      <c r="J3319" t="s">
        <v>1543</v>
      </c>
      <c r="K3319" t="s">
        <v>1644</v>
      </c>
      <c r="L3319">
        <v>11213</v>
      </c>
      <c r="M3319" t="s">
        <v>1670</v>
      </c>
      <c r="P3319" t="s">
        <v>13003</v>
      </c>
      <c r="Q3319" t="s">
        <v>1936</v>
      </c>
      <c r="R3319" t="s">
        <v>1960</v>
      </c>
      <c r="T3319" t="s">
        <v>1671</v>
      </c>
      <c r="V3319" t="s">
        <v>1972</v>
      </c>
      <c r="W3319" t="s">
        <v>1984</v>
      </c>
      <c r="X3319" t="s">
        <v>327</v>
      </c>
      <c r="Y3319">
        <v>855.86</v>
      </c>
      <c r="Z3319" t="s">
        <v>2009</v>
      </c>
      <c r="AA3319" t="s">
        <v>2020</v>
      </c>
      <c r="AC3319" t="s">
        <v>15616</v>
      </c>
      <c r="AE3319">
        <v>6</v>
      </c>
      <c r="AF3319" t="s">
        <v>2902</v>
      </c>
      <c r="AG3319" t="s">
        <v>1754</v>
      </c>
      <c r="AH3319">
        <v>26</v>
      </c>
      <c r="AI3319">
        <v>1</v>
      </c>
      <c r="AJ3319">
        <v>1</v>
      </c>
      <c r="AK3319">
        <v>52.58</v>
      </c>
      <c r="AN3319" t="s">
        <v>2926</v>
      </c>
      <c r="AO3319">
        <v>8892</v>
      </c>
      <c r="AP3319" t="s">
        <v>18395</v>
      </c>
      <c r="AU3319">
        <v>0.2</v>
      </c>
      <c r="AV3319" t="s">
        <v>389</v>
      </c>
      <c r="AW3319" t="s">
        <v>3060</v>
      </c>
    </row>
    <row r="3320" spans="1:49">
      <c r="A3320" s="1" t="s">
        <v>51</v>
      </c>
      <c r="B3320" t="s">
        <v>74</v>
      </c>
      <c r="C3320" t="s">
        <v>164</v>
      </c>
      <c r="D3320" t="s">
        <v>6622</v>
      </c>
      <c r="E3320" t="s">
        <v>170</v>
      </c>
      <c r="F3320" t="s">
        <v>272</v>
      </c>
      <c r="G3320" t="s">
        <v>7459</v>
      </c>
      <c r="H3320" t="s">
        <v>10886</v>
      </c>
      <c r="I3320" t="s">
        <v>11698</v>
      </c>
      <c r="J3320" t="s">
        <v>1506</v>
      </c>
      <c r="K3320" t="s">
        <v>1641</v>
      </c>
      <c r="L3320">
        <v>10472</v>
      </c>
      <c r="M3320" t="s">
        <v>1670</v>
      </c>
      <c r="P3320" t="s">
        <v>13004</v>
      </c>
      <c r="Q3320" t="s">
        <v>1936</v>
      </c>
      <c r="R3320" t="s">
        <v>1959</v>
      </c>
      <c r="S3320" t="s">
        <v>1965</v>
      </c>
      <c r="T3320" t="s">
        <v>1671</v>
      </c>
      <c r="V3320" t="s">
        <v>1972</v>
      </c>
      <c r="X3320" t="s">
        <v>316</v>
      </c>
      <c r="Y3320">
        <v>838</v>
      </c>
      <c r="Z3320" t="s">
        <v>2006</v>
      </c>
      <c r="AA3320" t="s">
        <v>2012</v>
      </c>
      <c r="AB3320" t="s">
        <v>2033</v>
      </c>
      <c r="AC3320" t="s">
        <v>15617</v>
      </c>
      <c r="AE3320">
        <v>54</v>
      </c>
      <c r="AF3320" t="s">
        <v>2904</v>
      </c>
      <c r="AG3320" t="s">
        <v>2915</v>
      </c>
      <c r="AH3320">
        <v>2</v>
      </c>
      <c r="AI3320">
        <v>1</v>
      </c>
      <c r="AJ3320">
        <v>1</v>
      </c>
      <c r="AK3320">
        <v>54.86</v>
      </c>
      <c r="AL3320" t="s">
        <v>18030</v>
      </c>
      <c r="AM3320" t="s">
        <v>2924</v>
      </c>
      <c r="AN3320" t="s">
        <v>2927</v>
      </c>
      <c r="AO3320">
        <v>9276</v>
      </c>
      <c r="AU3320">
        <v>10.4</v>
      </c>
      <c r="AV3320" t="s">
        <v>193</v>
      </c>
      <c r="AW3320" t="s">
        <v>3046</v>
      </c>
    </row>
    <row r="3321" spans="1:49">
      <c r="A3321" s="1" t="s">
        <v>50</v>
      </c>
      <c r="B3321" t="s">
        <v>104</v>
      </c>
      <c r="C3321" t="s">
        <v>164</v>
      </c>
      <c r="D3321" t="s">
        <v>6623</v>
      </c>
      <c r="E3321" t="s">
        <v>378</v>
      </c>
      <c r="F3321" t="s">
        <v>401</v>
      </c>
      <c r="G3321" t="s">
        <v>7214</v>
      </c>
      <c r="H3321" t="s">
        <v>8214</v>
      </c>
      <c r="I3321" t="s">
        <v>1175</v>
      </c>
      <c r="J3321" t="s">
        <v>1520</v>
      </c>
      <c r="K3321" t="s">
        <v>1646</v>
      </c>
      <c r="L3321">
        <v>10304</v>
      </c>
      <c r="M3321" t="s">
        <v>1670</v>
      </c>
      <c r="P3321" t="s">
        <v>13005</v>
      </c>
      <c r="Q3321" t="s">
        <v>1940</v>
      </c>
      <c r="R3321" t="s">
        <v>1960</v>
      </c>
      <c r="S3321" t="s">
        <v>13024</v>
      </c>
      <c r="T3321" t="s">
        <v>1671</v>
      </c>
      <c r="V3321" t="s">
        <v>1972</v>
      </c>
      <c r="W3321" t="s">
        <v>1984</v>
      </c>
      <c r="X3321" t="s">
        <v>378</v>
      </c>
      <c r="Y3321">
        <v>147</v>
      </c>
      <c r="Z3321" t="s">
        <v>2010</v>
      </c>
      <c r="AA3321" t="s">
        <v>2013</v>
      </c>
      <c r="AB3321" t="s">
        <v>2032</v>
      </c>
      <c r="AC3321" t="s">
        <v>15598</v>
      </c>
      <c r="AE3321">
        <v>150</v>
      </c>
      <c r="AF3321" t="s">
        <v>2909</v>
      </c>
      <c r="AG3321" t="s">
        <v>2915</v>
      </c>
      <c r="AH3321">
        <v>-1</v>
      </c>
      <c r="AI3321">
        <v>1</v>
      </c>
      <c r="AJ3321">
        <v>1</v>
      </c>
      <c r="AK3321">
        <v>60.07</v>
      </c>
      <c r="AN3321" t="s">
        <v>2926</v>
      </c>
      <c r="AO3321">
        <v>9888</v>
      </c>
      <c r="AP3321" t="s">
        <v>18396</v>
      </c>
      <c r="AQ3321" t="s">
        <v>2977</v>
      </c>
      <c r="AR3321" t="s">
        <v>2983</v>
      </c>
      <c r="AS3321" t="s">
        <v>2992</v>
      </c>
      <c r="AT3321" t="s">
        <v>18593</v>
      </c>
      <c r="AU3321">
        <v>51.68</v>
      </c>
      <c r="AV3321" t="s">
        <v>401</v>
      </c>
      <c r="AW3321" t="s">
        <v>3062</v>
      </c>
    </row>
    <row r="3322" spans="1:49">
      <c r="A3322" s="1" t="s">
        <v>50</v>
      </c>
      <c r="B3322" t="s">
        <v>115</v>
      </c>
      <c r="C3322" t="s">
        <v>163</v>
      </c>
      <c r="D3322" t="s">
        <v>6624</v>
      </c>
      <c r="E3322" t="s">
        <v>274</v>
      </c>
      <c r="G3322" t="s">
        <v>7603</v>
      </c>
      <c r="H3322" t="s">
        <v>870</v>
      </c>
      <c r="I3322" t="s">
        <v>1366</v>
      </c>
      <c r="J3322" t="s">
        <v>1534</v>
      </c>
      <c r="K3322" t="s">
        <v>1641</v>
      </c>
      <c r="L3322">
        <v>10452</v>
      </c>
      <c r="M3322" t="s">
        <v>1670</v>
      </c>
      <c r="Q3322" t="s">
        <v>1675</v>
      </c>
      <c r="R3322" t="s">
        <v>1958</v>
      </c>
      <c r="T3322" t="s">
        <v>1671</v>
      </c>
      <c r="V3322" t="s">
        <v>1972</v>
      </c>
      <c r="X3322" t="s">
        <v>274</v>
      </c>
      <c r="Y3322">
        <v>1384.46</v>
      </c>
      <c r="Z3322" t="s">
        <v>2006</v>
      </c>
      <c r="AA3322" t="s">
        <v>2015</v>
      </c>
      <c r="AC3322" t="s">
        <v>15618</v>
      </c>
      <c r="AE3322">
        <v>58</v>
      </c>
      <c r="AF3322" t="s">
        <v>2902</v>
      </c>
      <c r="AG3322" t="s">
        <v>1754</v>
      </c>
      <c r="AH3322">
        <v>12</v>
      </c>
      <c r="AI3322">
        <v>3</v>
      </c>
      <c r="AJ3322">
        <v>1</v>
      </c>
      <c r="AK3322">
        <v>60.58</v>
      </c>
      <c r="AN3322" t="s">
        <v>2927</v>
      </c>
      <c r="AO3322">
        <v>15600</v>
      </c>
      <c r="AU3322">
        <v>1.5</v>
      </c>
      <c r="AV3322" t="s">
        <v>195</v>
      </c>
      <c r="AW3322" t="s">
        <v>115</v>
      </c>
    </row>
    <row r="3323" spans="1:49">
      <c r="A3323" s="1" t="s">
        <v>50</v>
      </c>
      <c r="B3323" t="s">
        <v>63</v>
      </c>
      <c r="C3323" t="s">
        <v>163</v>
      </c>
      <c r="D3323" t="s">
        <v>6625</v>
      </c>
      <c r="E3323" t="s">
        <v>239</v>
      </c>
      <c r="G3323" t="s">
        <v>9324</v>
      </c>
      <c r="H3323" t="s">
        <v>8682</v>
      </c>
      <c r="I3323" t="s">
        <v>11699</v>
      </c>
      <c r="J3323" t="s">
        <v>1475</v>
      </c>
      <c r="K3323" t="s">
        <v>1641</v>
      </c>
      <c r="L3323">
        <v>10453</v>
      </c>
      <c r="M3323" t="s">
        <v>1670</v>
      </c>
      <c r="R3323" t="s">
        <v>1958</v>
      </c>
      <c r="T3323" t="s">
        <v>1671</v>
      </c>
      <c r="V3323" t="s">
        <v>1972</v>
      </c>
      <c r="X3323" t="s">
        <v>337</v>
      </c>
      <c r="Y3323">
        <v>178</v>
      </c>
      <c r="Z3323" t="s">
        <v>2006</v>
      </c>
      <c r="AA3323" t="s">
        <v>2015</v>
      </c>
      <c r="AC3323" t="s">
        <v>15619</v>
      </c>
      <c r="AE3323">
        <v>56</v>
      </c>
      <c r="AF3323" t="s">
        <v>2905</v>
      </c>
      <c r="AG3323" t="s">
        <v>2017</v>
      </c>
      <c r="AH3323">
        <v>20</v>
      </c>
      <c r="AI3323">
        <v>1</v>
      </c>
      <c r="AJ3323">
        <v>1</v>
      </c>
      <c r="AK3323">
        <v>60.86</v>
      </c>
      <c r="AN3323" t="s">
        <v>2926</v>
      </c>
      <c r="AO3323">
        <v>10292</v>
      </c>
      <c r="AU3323">
        <v>1.2</v>
      </c>
      <c r="AV3323" t="s">
        <v>230</v>
      </c>
      <c r="AW3323" t="s">
        <v>3046</v>
      </c>
    </row>
    <row r="3324" spans="1:49">
      <c r="A3324" s="1" t="s">
        <v>50</v>
      </c>
      <c r="B3324" t="s">
        <v>72</v>
      </c>
      <c r="C3324" t="s">
        <v>163</v>
      </c>
      <c r="D3324" t="s">
        <v>6626</v>
      </c>
      <c r="E3324" t="s">
        <v>328</v>
      </c>
      <c r="G3324" t="s">
        <v>511</v>
      </c>
      <c r="H3324" t="s">
        <v>1048</v>
      </c>
      <c r="I3324" t="s">
        <v>9586</v>
      </c>
      <c r="J3324" t="s">
        <v>11284</v>
      </c>
      <c r="K3324" t="s">
        <v>1643</v>
      </c>
      <c r="L3324">
        <v>10029</v>
      </c>
      <c r="M3324" t="s">
        <v>1670</v>
      </c>
      <c r="Q3324" t="s">
        <v>1939</v>
      </c>
      <c r="R3324" t="s">
        <v>1963</v>
      </c>
      <c r="T3324" t="s">
        <v>1671</v>
      </c>
      <c r="V3324" t="s">
        <v>1972</v>
      </c>
      <c r="W3324" t="s">
        <v>1984</v>
      </c>
      <c r="X3324" t="s">
        <v>3031</v>
      </c>
      <c r="Y3324">
        <v>1085</v>
      </c>
      <c r="Z3324" t="s">
        <v>2008</v>
      </c>
      <c r="AA3324" t="s">
        <v>2016</v>
      </c>
      <c r="AC3324" t="s">
        <v>15620</v>
      </c>
      <c r="AE3324">
        <v>10</v>
      </c>
      <c r="AF3324" t="s">
        <v>2902</v>
      </c>
      <c r="AG3324" t="s">
        <v>1754</v>
      </c>
      <c r="AH3324">
        <v>21</v>
      </c>
      <c r="AI3324">
        <v>4</v>
      </c>
      <c r="AJ3324">
        <v>1</v>
      </c>
      <c r="AK3324">
        <v>68.94</v>
      </c>
      <c r="AN3324" t="s">
        <v>2927</v>
      </c>
      <c r="AO3324">
        <v>20800</v>
      </c>
      <c r="AU3324">
        <v>14.5</v>
      </c>
      <c r="AV3324" t="s">
        <v>268</v>
      </c>
      <c r="AW3324" t="s">
        <v>3051</v>
      </c>
    </row>
    <row r="3325" spans="1:49">
      <c r="A3325" s="1" t="s">
        <v>50</v>
      </c>
      <c r="B3325" t="s">
        <v>82</v>
      </c>
      <c r="C3325" t="s">
        <v>163</v>
      </c>
      <c r="D3325" t="s">
        <v>6627</v>
      </c>
      <c r="E3325" t="s">
        <v>226</v>
      </c>
      <c r="G3325" t="s">
        <v>9325</v>
      </c>
      <c r="H3325" t="s">
        <v>8845</v>
      </c>
      <c r="I3325" t="s">
        <v>9442</v>
      </c>
      <c r="J3325" t="s">
        <v>11803</v>
      </c>
      <c r="K3325" t="s">
        <v>1644</v>
      </c>
      <c r="L3325">
        <v>11233</v>
      </c>
      <c r="M3325" t="s">
        <v>1670</v>
      </c>
      <c r="Q3325" t="s">
        <v>1937</v>
      </c>
      <c r="R3325" t="s">
        <v>1962</v>
      </c>
      <c r="T3325" t="s">
        <v>1670</v>
      </c>
      <c r="V3325" t="s">
        <v>1972</v>
      </c>
      <c r="W3325" t="s">
        <v>1984</v>
      </c>
      <c r="X3325" t="s">
        <v>221</v>
      </c>
      <c r="Y3325">
        <v>615</v>
      </c>
      <c r="Z3325" t="s">
        <v>2009</v>
      </c>
      <c r="AA3325" t="s">
        <v>2017</v>
      </c>
      <c r="AC3325" t="s">
        <v>15621</v>
      </c>
      <c r="AE3325">
        <v>359</v>
      </c>
      <c r="AF3325" t="s">
        <v>2902</v>
      </c>
      <c r="AH3325">
        <v>10</v>
      </c>
      <c r="AI3325">
        <v>1</v>
      </c>
      <c r="AJ3325">
        <v>1</v>
      </c>
      <c r="AK3325">
        <v>70.95999999999999</v>
      </c>
      <c r="AN3325" t="s">
        <v>2926</v>
      </c>
      <c r="AO3325">
        <v>12000</v>
      </c>
      <c r="AP3325" t="s">
        <v>18397</v>
      </c>
      <c r="AU3325" t="s">
        <v>13051</v>
      </c>
      <c r="AW3325" t="s">
        <v>3059</v>
      </c>
    </row>
    <row r="3326" spans="1:49">
      <c r="A3326" s="1" t="s">
        <v>50</v>
      </c>
      <c r="B3326" t="s">
        <v>82</v>
      </c>
      <c r="C3326" t="s">
        <v>163</v>
      </c>
      <c r="D3326" t="s">
        <v>6628</v>
      </c>
      <c r="E3326" t="s">
        <v>322</v>
      </c>
      <c r="G3326" t="s">
        <v>9325</v>
      </c>
      <c r="H3326" t="s">
        <v>8845</v>
      </c>
      <c r="I3326" t="s">
        <v>9442</v>
      </c>
      <c r="J3326" t="s">
        <v>11803</v>
      </c>
      <c r="K3326" t="s">
        <v>1644</v>
      </c>
      <c r="L3326">
        <v>11233</v>
      </c>
      <c r="M3326" t="s">
        <v>1670</v>
      </c>
      <c r="Q3326" t="s">
        <v>1938</v>
      </c>
      <c r="R3326" t="s">
        <v>1961</v>
      </c>
      <c r="T3326" t="s">
        <v>1670</v>
      </c>
      <c r="V3326" t="s">
        <v>1972</v>
      </c>
      <c r="W3326" t="s">
        <v>1984</v>
      </c>
      <c r="X3326" t="s">
        <v>248</v>
      </c>
      <c r="Y3326">
        <v>615</v>
      </c>
      <c r="Z3326" t="s">
        <v>2009</v>
      </c>
      <c r="AA3326" t="s">
        <v>2017</v>
      </c>
      <c r="AC3326" t="s">
        <v>15621</v>
      </c>
      <c r="AE3326">
        <v>359</v>
      </c>
      <c r="AF3326" t="s">
        <v>2902</v>
      </c>
      <c r="AH3326">
        <v>10</v>
      </c>
      <c r="AI3326">
        <v>1</v>
      </c>
      <c r="AJ3326">
        <v>1</v>
      </c>
      <c r="AK3326">
        <v>70.95999999999999</v>
      </c>
      <c r="AN3326" t="s">
        <v>2926</v>
      </c>
      <c r="AO3326">
        <v>12000</v>
      </c>
      <c r="AP3326" t="s">
        <v>18071</v>
      </c>
      <c r="AU3326" t="s">
        <v>13051</v>
      </c>
      <c r="AW3326" t="s">
        <v>3059</v>
      </c>
    </row>
    <row r="3327" spans="1:49">
      <c r="A3327" s="1" t="s">
        <v>50</v>
      </c>
      <c r="B3327" t="s">
        <v>65</v>
      </c>
      <c r="C3327" t="s">
        <v>163</v>
      </c>
      <c r="D3327" t="s">
        <v>6629</v>
      </c>
      <c r="E3327" t="s">
        <v>222</v>
      </c>
      <c r="G3327" t="s">
        <v>567</v>
      </c>
      <c r="H3327" t="s">
        <v>10887</v>
      </c>
      <c r="I3327" t="s">
        <v>11700</v>
      </c>
      <c r="K3327" t="s">
        <v>1644</v>
      </c>
      <c r="L3327">
        <v>11220</v>
      </c>
      <c r="M3327" t="s">
        <v>1670</v>
      </c>
      <c r="R3327" t="s">
        <v>1960</v>
      </c>
      <c r="T3327" t="s">
        <v>1671</v>
      </c>
      <c r="V3327" t="s">
        <v>1972</v>
      </c>
      <c r="X3327" t="s">
        <v>222</v>
      </c>
      <c r="Y3327" t="s">
        <v>13051</v>
      </c>
      <c r="Z3327" t="s">
        <v>2009</v>
      </c>
      <c r="AC3327" t="s">
        <v>15622</v>
      </c>
      <c r="AE3327" t="s">
        <v>13051</v>
      </c>
      <c r="AH3327" t="s">
        <v>13051</v>
      </c>
      <c r="AI3327">
        <v>1</v>
      </c>
      <c r="AJ3327">
        <v>1</v>
      </c>
      <c r="AK3327">
        <v>74.87</v>
      </c>
      <c r="AN3327" t="s">
        <v>2926</v>
      </c>
      <c r="AO3327">
        <v>12660</v>
      </c>
      <c r="AU3327">
        <v>1.2</v>
      </c>
      <c r="AV3327" t="s">
        <v>346</v>
      </c>
      <c r="AW3327" t="s">
        <v>158</v>
      </c>
    </row>
    <row r="3328" spans="1:49">
      <c r="A3328" s="1" t="s">
        <v>51</v>
      </c>
      <c r="B3328" t="s">
        <v>3199</v>
      </c>
      <c r="C3328" t="s">
        <v>164</v>
      </c>
      <c r="D3328" t="s">
        <v>6630</v>
      </c>
      <c r="E3328" t="s">
        <v>267</v>
      </c>
      <c r="F3328" t="s">
        <v>248</v>
      </c>
      <c r="G3328" t="s">
        <v>668</v>
      </c>
      <c r="H3328" t="s">
        <v>10888</v>
      </c>
      <c r="I3328" t="s">
        <v>11701</v>
      </c>
      <c r="J3328" t="s">
        <v>11804</v>
      </c>
      <c r="K3328" t="s">
        <v>1646</v>
      </c>
      <c r="L3328">
        <v>10301</v>
      </c>
      <c r="M3328" t="s">
        <v>1670</v>
      </c>
      <c r="P3328" t="s">
        <v>1754</v>
      </c>
      <c r="Q3328" t="s">
        <v>1950</v>
      </c>
      <c r="R3328" t="s">
        <v>1959</v>
      </c>
      <c r="S3328" t="s">
        <v>1968</v>
      </c>
      <c r="T3328" t="s">
        <v>1671</v>
      </c>
      <c r="V3328" t="s">
        <v>1979</v>
      </c>
      <c r="W3328" t="s">
        <v>1984</v>
      </c>
      <c r="X3328" t="s">
        <v>267</v>
      </c>
      <c r="Y3328">
        <v>2025</v>
      </c>
      <c r="Z3328" t="s">
        <v>2010</v>
      </c>
      <c r="AA3328" t="s">
        <v>2012</v>
      </c>
      <c r="AB3328" t="s">
        <v>2029</v>
      </c>
      <c r="AC3328" t="s">
        <v>15623</v>
      </c>
      <c r="AE3328">
        <v>3</v>
      </c>
      <c r="AF3328" t="s">
        <v>2903</v>
      </c>
      <c r="AG3328" t="s">
        <v>1754</v>
      </c>
      <c r="AH3328">
        <v>2</v>
      </c>
      <c r="AI3328">
        <v>2</v>
      </c>
      <c r="AJ3328">
        <v>1</v>
      </c>
      <c r="AK3328">
        <v>75.06999999999999</v>
      </c>
      <c r="AL3328" t="s">
        <v>2923</v>
      </c>
      <c r="AM3328" t="s">
        <v>2924</v>
      </c>
      <c r="AN3328" t="s">
        <v>2926</v>
      </c>
      <c r="AO3328">
        <v>15600</v>
      </c>
      <c r="AR3328" t="s">
        <v>2017</v>
      </c>
      <c r="AS3328" t="s">
        <v>2992</v>
      </c>
      <c r="AT3328" t="s">
        <v>18571</v>
      </c>
      <c r="AU3328">
        <v>1.35</v>
      </c>
      <c r="AV3328" t="s">
        <v>1993</v>
      </c>
      <c r="AW3328" t="s">
        <v>3072</v>
      </c>
    </row>
    <row r="3329" spans="1:49">
      <c r="A3329" s="1" t="s">
        <v>50</v>
      </c>
      <c r="B3329" t="s">
        <v>52</v>
      </c>
      <c r="C3329" t="s">
        <v>164</v>
      </c>
      <c r="D3329" t="s">
        <v>6631</v>
      </c>
      <c r="E3329" t="s">
        <v>376</v>
      </c>
      <c r="F3329" t="s">
        <v>330</v>
      </c>
      <c r="G3329" t="s">
        <v>9326</v>
      </c>
      <c r="H3329" t="s">
        <v>10889</v>
      </c>
      <c r="I3329" t="s">
        <v>11702</v>
      </c>
      <c r="J3329" t="s">
        <v>11259</v>
      </c>
      <c r="K3329" t="s">
        <v>1641</v>
      </c>
      <c r="L3329">
        <v>10455</v>
      </c>
      <c r="M3329" t="s">
        <v>1670</v>
      </c>
      <c r="P3329" t="s">
        <v>13006</v>
      </c>
      <c r="Q3329" t="s">
        <v>1936</v>
      </c>
      <c r="R3329" t="s">
        <v>1962</v>
      </c>
      <c r="S3329" t="s">
        <v>1968</v>
      </c>
      <c r="T3329" t="s">
        <v>1671</v>
      </c>
      <c r="V3329" t="s">
        <v>1972</v>
      </c>
      <c r="W3329" t="s">
        <v>1987</v>
      </c>
      <c r="X3329" t="s">
        <v>376</v>
      </c>
      <c r="Y3329">
        <v>499</v>
      </c>
      <c r="Z3329" t="s">
        <v>2006</v>
      </c>
      <c r="AA3329" t="s">
        <v>2015</v>
      </c>
      <c r="AB3329" t="s">
        <v>2029</v>
      </c>
      <c r="AC3329" t="s">
        <v>15624</v>
      </c>
      <c r="AE3329">
        <v>50</v>
      </c>
      <c r="AF3329" t="s">
        <v>2902</v>
      </c>
      <c r="AG3329" t="s">
        <v>2017</v>
      </c>
      <c r="AH3329">
        <v>29</v>
      </c>
      <c r="AI3329">
        <v>2</v>
      </c>
      <c r="AJ3329">
        <v>1</v>
      </c>
      <c r="AK3329">
        <v>75.06999999999999</v>
      </c>
      <c r="AN3329" t="s">
        <v>2926</v>
      </c>
      <c r="AO3329">
        <v>15600</v>
      </c>
      <c r="AU3329">
        <v>1</v>
      </c>
      <c r="AV3329" t="s">
        <v>376</v>
      </c>
      <c r="AW3329" t="s">
        <v>52</v>
      </c>
    </row>
    <row r="3330" spans="1:49">
      <c r="A3330" s="1" t="s">
        <v>50</v>
      </c>
      <c r="B3330" t="s">
        <v>62</v>
      </c>
      <c r="C3330" t="s">
        <v>163</v>
      </c>
      <c r="D3330" t="s">
        <v>6632</v>
      </c>
      <c r="E3330" t="s">
        <v>6775</v>
      </c>
      <c r="G3330" t="s">
        <v>6948</v>
      </c>
      <c r="H3330" t="s">
        <v>10890</v>
      </c>
      <c r="I3330" t="s">
        <v>10161</v>
      </c>
      <c r="J3330" t="s">
        <v>11805</v>
      </c>
      <c r="K3330" t="s">
        <v>1644</v>
      </c>
      <c r="L3330">
        <v>11226</v>
      </c>
      <c r="M3330" t="s">
        <v>1670</v>
      </c>
      <c r="Q3330" t="s">
        <v>1939</v>
      </c>
      <c r="R3330" t="s">
        <v>1959</v>
      </c>
      <c r="T3330" t="s">
        <v>1670</v>
      </c>
      <c r="V3330" t="s">
        <v>1972</v>
      </c>
      <c r="X3330" t="s">
        <v>1992</v>
      </c>
      <c r="Y3330">
        <v>884</v>
      </c>
      <c r="Z3330" t="s">
        <v>2009</v>
      </c>
      <c r="AA3330" t="s">
        <v>2015</v>
      </c>
      <c r="AC3330" t="s">
        <v>15625</v>
      </c>
      <c r="AE3330">
        <v>6</v>
      </c>
      <c r="AF3330" t="s">
        <v>2902</v>
      </c>
      <c r="AG3330" t="s">
        <v>1754</v>
      </c>
      <c r="AH3330">
        <v>16</v>
      </c>
      <c r="AI3330">
        <v>2</v>
      </c>
      <c r="AJ3330">
        <v>1</v>
      </c>
      <c r="AK3330">
        <v>75.06999999999999</v>
      </c>
      <c r="AN3330" t="s">
        <v>2926</v>
      </c>
      <c r="AO3330">
        <v>15600</v>
      </c>
      <c r="AU3330">
        <v>2</v>
      </c>
      <c r="AV3330" t="s">
        <v>254</v>
      </c>
      <c r="AW3330" t="s">
        <v>3079</v>
      </c>
    </row>
    <row r="3331" spans="1:49">
      <c r="A3331" s="1" t="s">
        <v>50</v>
      </c>
      <c r="B3331" t="s">
        <v>62</v>
      </c>
      <c r="C3331" t="s">
        <v>163</v>
      </c>
      <c r="D3331" t="s">
        <v>6633</v>
      </c>
      <c r="E3331" t="s">
        <v>6182</v>
      </c>
      <c r="G3331" t="s">
        <v>6948</v>
      </c>
      <c r="H3331" t="s">
        <v>10890</v>
      </c>
      <c r="I3331" t="s">
        <v>10161</v>
      </c>
      <c r="J3331" t="s">
        <v>11805</v>
      </c>
      <c r="K3331" t="s">
        <v>1644</v>
      </c>
      <c r="L3331">
        <v>11226</v>
      </c>
      <c r="M3331" t="s">
        <v>1670</v>
      </c>
      <c r="Q3331" t="s">
        <v>1941</v>
      </c>
      <c r="R3331" t="s">
        <v>1959</v>
      </c>
      <c r="T3331" t="s">
        <v>1670</v>
      </c>
      <c r="V3331" t="s">
        <v>1972</v>
      </c>
      <c r="X3331" t="s">
        <v>238</v>
      </c>
      <c r="Y3331">
        <v>884</v>
      </c>
      <c r="Z3331" t="s">
        <v>2009</v>
      </c>
      <c r="AA3331" t="s">
        <v>2015</v>
      </c>
      <c r="AC3331" t="s">
        <v>15625</v>
      </c>
      <c r="AE3331">
        <v>6</v>
      </c>
      <c r="AF3331" t="s">
        <v>2902</v>
      </c>
      <c r="AG3331" t="s">
        <v>1754</v>
      </c>
      <c r="AH3331">
        <v>16</v>
      </c>
      <c r="AI3331">
        <v>2</v>
      </c>
      <c r="AJ3331">
        <v>1</v>
      </c>
      <c r="AK3331">
        <v>75.06999999999999</v>
      </c>
      <c r="AN3331" t="s">
        <v>2926</v>
      </c>
      <c r="AO3331">
        <v>15600</v>
      </c>
      <c r="AU3331">
        <v>0.6</v>
      </c>
      <c r="AV3331" t="s">
        <v>241</v>
      </c>
      <c r="AW3331" t="s">
        <v>3079</v>
      </c>
    </row>
    <row r="3332" spans="1:49">
      <c r="A3332" s="1" t="s">
        <v>50</v>
      </c>
      <c r="B3332" t="s">
        <v>139</v>
      </c>
      <c r="C3332" t="s">
        <v>164</v>
      </c>
      <c r="D3332" t="s">
        <v>6634</v>
      </c>
      <c r="E3332" t="s">
        <v>322</v>
      </c>
      <c r="F3332" t="s">
        <v>364</v>
      </c>
      <c r="G3332" t="s">
        <v>7058</v>
      </c>
      <c r="H3332" t="s">
        <v>914</v>
      </c>
      <c r="I3332" t="s">
        <v>9845</v>
      </c>
      <c r="J3332" t="s">
        <v>11806</v>
      </c>
      <c r="K3332" t="s">
        <v>1643</v>
      </c>
      <c r="L3332">
        <v>10029</v>
      </c>
      <c r="M3332" t="s">
        <v>1670</v>
      </c>
      <c r="Q3332" t="s">
        <v>1675</v>
      </c>
      <c r="R3332" t="s">
        <v>1958</v>
      </c>
      <c r="S3332" t="s">
        <v>1965</v>
      </c>
      <c r="T3332" t="s">
        <v>1671</v>
      </c>
      <c r="V3332" t="s">
        <v>1972</v>
      </c>
      <c r="W3332" t="s">
        <v>1984</v>
      </c>
      <c r="X3332" t="s">
        <v>322</v>
      </c>
      <c r="Y3332">
        <v>480</v>
      </c>
      <c r="Z3332" t="s">
        <v>2008</v>
      </c>
      <c r="AA3332" t="s">
        <v>2016</v>
      </c>
      <c r="AB3332" t="s">
        <v>2029</v>
      </c>
      <c r="AC3332" t="s">
        <v>13482</v>
      </c>
      <c r="AE3332">
        <v>1267</v>
      </c>
      <c r="AF3332" t="s">
        <v>2906</v>
      </c>
      <c r="AG3332" t="s">
        <v>2915</v>
      </c>
      <c r="AH3332">
        <v>37</v>
      </c>
      <c r="AI3332">
        <v>2</v>
      </c>
      <c r="AJ3332">
        <v>1</v>
      </c>
      <c r="AK3332">
        <v>75.89</v>
      </c>
      <c r="AN3332" t="s">
        <v>2926</v>
      </c>
      <c r="AO3332">
        <v>16188</v>
      </c>
      <c r="AU3332">
        <v>0.1</v>
      </c>
      <c r="AV3332" t="s">
        <v>364</v>
      </c>
      <c r="AW3332" t="s">
        <v>3061</v>
      </c>
    </row>
    <row r="3333" spans="1:49">
      <c r="A3333" s="1" t="s">
        <v>50</v>
      </c>
      <c r="B3333" t="s">
        <v>82</v>
      </c>
      <c r="C3333" t="s">
        <v>163</v>
      </c>
      <c r="D3333" t="s">
        <v>6635</v>
      </c>
      <c r="E3333" t="s">
        <v>190</v>
      </c>
      <c r="G3333" t="s">
        <v>7802</v>
      </c>
      <c r="H3333" t="s">
        <v>10891</v>
      </c>
      <c r="I3333" t="s">
        <v>1144</v>
      </c>
      <c r="J3333" t="s">
        <v>1541</v>
      </c>
      <c r="K3333" t="s">
        <v>1644</v>
      </c>
      <c r="L3333">
        <v>11233</v>
      </c>
      <c r="M3333" t="s">
        <v>1670</v>
      </c>
      <c r="Q3333" t="s">
        <v>1937</v>
      </c>
      <c r="R3333" t="s">
        <v>1962</v>
      </c>
      <c r="T3333" t="s">
        <v>1670</v>
      </c>
      <c r="V3333" t="s">
        <v>1972</v>
      </c>
      <c r="W3333" t="s">
        <v>1984</v>
      </c>
      <c r="X3333" t="s">
        <v>221</v>
      </c>
      <c r="Y3333">
        <v>654.65</v>
      </c>
      <c r="Z3333" t="s">
        <v>2009</v>
      </c>
      <c r="AA3333" t="s">
        <v>2017</v>
      </c>
      <c r="AC3333" t="s">
        <v>15626</v>
      </c>
      <c r="AE3333">
        <v>359</v>
      </c>
      <c r="AF3333" t="s">
        <v>2902</v>
      </c>
      <c r="AG3333" t="s">
        <v>1754</v>
      </c>
      <c r="AH3333">
        <v>17</v>
      </c>
      <c r="AI3333">
        <v>1</v>
      </c>
      <c r="AJ3333">
        <v>1</v>
      </c>
      <c r="AK3333">
        <v>76.88</v>
      </c>
      <c r="AN3333" t="s">
        <v>2926</v>
      </c>
      <c r="AO3333">
        <v>13000</v>
      </c>
      <c r="AP3333" t="s">
        <v>18398</v>
      </c>
      <c r="AU3333" t="s">
        <v>13051</v>
      </c>
      <c r="AW3333" t="s">
        <v>3059</v>
      </c>
    </row>
    <row r="3334" spans="1:49">
      <c r="A3334" s="1" t="s">
        <v>50</v>
      </c>
      <c r="B3334" t="s">
        <v>82</v>
      </c>
      <c r="C3334" t="s">
        <v>163</v>
      </c>
      <c r="D3334" t="s">
        <v>6636</v>
      </c>
      <c r="E3334" t="s">
        <v>190</v>
      </c>
      <c r="G3334" t="s">
        <v>7802</v>
      </c>
      <c r="H3334" t="s">
        <v>10891</v>
      </c>
      <c r="I3334" t="s">
        <v>1144</v>
      </c>
      <c r="J3334" t="s">
        <v>1541</v>
      </c>
      <c r="K3334" t="s">
        <v>1644</v>
      </c>
      <c r="L3334">
        <v>11233</v>
      </c>
      <c r="M3334" t="s">
        <v>1670</v>
      </c>
      <c r="Q3334" t="s">
        <v>1938</v>
      </c>
      <c r="R3334" t="s">
        <v>1961</v>
      </c>
      <c r="T3334" t="s">
        <v>1670</v>
      </c>
      <c r="V3334" t="s">
        <v>1972</v>
      </c>
      <c r="W3334" t="s">
        <v>1984</v>
      </c>
      <c r="X3334" t="s">
        <v>248</v>
      </c>
      <c r="Y3334">
        <v>654.65</v>
      </c>
      <c r="Z3334" t="s">
        <v>2009</v>
      </c>
      <c r="AA3334" t="s">
        <v>2017</v>
      </c>
      <c r="AC3334" t="s">
        <v>15626</v>
      </c>
      <c r="AE3334">
        <v>359</v>
      </c>
      <c r="AF3334" t="s">
        <v>2902</v>
      </c>
      <c r="AG3334" t="s">
        <v>1754</v>
      </c>
      <c r="AH3334">
        <v>17</v>
      </c>
      <c r="AI3334">
        <v>1</v>
      </c>
      <c r="AJ3334">
        <v>1</v>
      </c>
      <c r="AK3334">
        <v>76.88</v>
      </c>
      <c r="AN3334" t="s">
        <v>2926</v>
      </c>
      <c r="AO3334">
        <v>13000</v>
      </c>
      <c r="AP3334" t="s">
        <v>18068</v>
      </c>
      <c r="AU3334" t="s">
        <v>13051</v>
      </c>
      <c r="AW3334" t="s">
        <v>3059</v>
      </c>
    </row>
    <row r="3335" spans="1:49">
      <c r="A3335" s="1" t="s">
        <v>50</v>
      </c>
      <c r="B3335" t="s">
        <v>82</v>
      </c>
      <c r="C3335" t="s">
        <v>163</v>
      </c>
      <c r="D3335" t="s">
        <v>6637</v>
      </c>
      <c r="E3335" t="s">
        <v>256</v>
      </c>
      <c r="G3335" t="s">
        <v>6867</v>
      </c>
      <c r="H3335" t="s">
        <v>10892</v>
      </c>
      <c r="I3335" t="s">
        <v>9482</v>
      </c>
      <c r="J3335" t="s">
        <v>11807</v>
      </c>
      <c r="K3335" t="s">
        <v>1644</v>
      </c>
      <c r="L3335">
        <v>11233</v>
      </c>
      <c r="M3335" t="s">
        <v>1670</v>
      </c>
      <c r="Q3335" t="s">
        <v>1937</v>
      </c>
      <c r="R3335" t="s">
        <v>1962</v>
      </c>
      <c r="T3335" t="s">
        <v>1670</v>
      </c>
      <c r="V3335" t="s">
        <v>1972</v>
      </c>
      <c r="W3335" t="s">
        <v>1984</v>
      </c>
      <c r="X3335" t="s">
        <v>221</v>
      </c>
      <c r="Y3335" t="s">
        <v>13051</v>
      </c>
      <c r="Z3335" t="s">
        <v>2009</v>
      </c>
      <c r="AA3335" t="s">
        <v>2017</v>
      </c>
      <c r="AC3335" t="s">
        <v>15627</v>
      </c>
      <c r="AE3335">
        <v>359</v>
      </c>
      <c r="AF3335" t="s">
        <v>2902</v>
      </c>
      <c r="AH3335">
        <v>1</v>
      </c>
      <c r="AI3335">
        <v>1</v>
      </c>
      <c r="AJ3335">
        <v>1</v>
      </c>
      <c r="AK3335">
        <v>86.08</v>
      </c>
      <c r="AN3335" t="s">
        <v>2926</v>
      </c>
      <c r="AO3335">
        <v>14556</v>
      </c>
      <c r="AP3335" t="s">
        <v>18399</v>
      </c>
      <c r="AU3335" t="s">
        <v>13051</v>
      </c>
      <c r="AW3335" t="s">
        <v>3059</v>
      </c>
    </row>
    <row r="3336" spans="1:49">
      <c r="A3336" s="1" t="s">
        <v>50</v>
      </c>
      <c r="B3336" t="s">
        <v>82</v>
      </c>
      <c r="C3336" t="s">
        <v>163</v>
      </c>
      <c r="D3336" t="s">
        <v>6638</v>
      </c>
      <c r="E3336" t="s">
        <v>256</v>
      </c>
      <c r="G3336" t="s">
        <v>6867</v>
      </c>
      <c r="H3336" t="s">
        <v>10892</v>
      </c>
      <c r="I3336" t="s">
        <v>9482</v>
      </c>
      <c r="J3336" t="s">
        <v>11807</v>
      </c>
      <c r="K3336" t="s">
        <v>1644</v>
      </c>
      <c r="L3336">
        <v>11233</v>
      </c>
      <c r="M3336" t="s">
        <v>1670</v>
      </c>
      <c r="Q3336" t="s">
        <v>1938</v>
      </c>
      <c r="R3336" t="s">
        <v>1961</v>
      </c>
      <c r="T3336" t="s">
        <v>1670</v>
      </c>
      <c r="V3336" t="s">
        <v>1972</v>
      </c>
      <c r="W3336" t="s">
        <v>1984</v>
      </c>
      <c r="X3336" t="s">
        <v>248</v>
      </c>
      <c r="Y3336" t="s">
        <v>13051</v>
      </c>
      <c r="Z3336" t="s">
        <v>2009</v>
      </c>
      <c r="AA3336" t="s">
        <v>2017</v>
      </c>
      <c r="AC3336" t="s">
        <v>15627</v>
      </c>
      <c r="AE3336">
        <v>359</v>
      </c>
      <c r="AF3336" t="s">
        <v>2902</v>
      </c>
      <c r="AH3336">
        <v>1</v>
      </c>
      <c r="AI3336">
        <v>1</v>
      </c>
      <c r="AJ3336">
        <v>1</v>
      </c>
      <c r="AK3336">
        <v>86.08</v>
      </c>
      <c r="AN3336" t="s">
        <v>2926</v>
      </c>
      <c r="AO3336">
        <v>14556</v>
      </c>
      <c r="AP3336" t="s">
        <v>18139</v>
      </c>
      <c r="AU3336" t="s">
        <v>13051</v>
      </c>
      <c r="AW3336" t="s">
        <v>3059</v>
      </c>
    </row>
    <row r="3337" spans="1:49">
      <c r="A3337" s="1" t="s">
        <v>50</v>
      </c>
      <c r="B3337" t="s">
        <v>152</v>
      </c>
      <c r="C3337" t="s">
        <v>163</v>
      </c>
      <c r="D3337" t="s">
        <v>6639</v>
      </c>
      <c r="E3337" t="s">
        <v>372</v>
      </c>
      <c r="G3337" t="s">
        <v>743</v>
      </c>
      <c r="H3337" t="s">
        <v>10881</v>
      </c>
      <c r="I3337" t="s">
        <v>11703</v>
      </c>
      <c r="J3337">
        <v>1</v>
      </c>
      <c r="K3337" t="s">
        <v>1643</v>
      </c>
      <c r="L3337">
        <v>10033</v>
      </c>
      <c r="M3337" t="s">
        <v>1670</v>
      </c>
      <c r="P3337" t="s">
        <v>13007</v>
      </c>
      <c r="Q3337" t="s">
        <v>1936</v>
      </c>
      <c r="R3337" t="s">
        <v>1958</v>
      </c>
      <c r="T3337" t="s">
        <v>1671</v>
      </c>
      <c r="V3337" t="s">
        <v>1972</v>
      </c>
      <c r="X3337" t="s">
        <v>242</v>
      </c>
      <c r="Y3337">
        <v>1157.5</v>
      </c>
      <c r="Z3337" t="s">
        <v>2008</v>
      </c>
      <c r="AA3337" t="s">
        <v>2019</v>
      </c>
      <c r="AC3337" t="s">
        <v>15628</v>
      </c>
      <c r="AE3337" t="s">
        <v>13051</v>
      </c>
      <c r="AF3337" t="s">
        <v>2902</v>
      </c>
      <c r="AG3337" t="s">
        <v>1754</v>
      </c>
      <c r="AH3337">
        <v>14</v>
      </c>
      <c r="AI3337">
        <v>2</v>
      </c>
      <c r="AJ3337">
        <v>1</v>
      </c>
      <c r="AK3337">
        <v>87.58</v>
      </c>
      <c r="AN3337" t="s">
        <v>2927</v>
      </c>
      <c r="AO3337">
        <v>18200</v>
      </c>
      <c r="AU3337">
        <v>1.8</v>
      </c>
      <c r="AV3337" t="s">
        <v>247</v>
      </c>
      <c r="AW3337" t="s">
        <v>3051</v>
      </c>
    </row>
    <row r="3338" spans="1:49">
      <c r="A3338" s="1" t="s">
        <v>50</v>
      </c>
      <c r="B3338" t="s">
        <v>153</v>
      </c>
      <c r="C3338" t="s">
        <v>163</v>
      </c>
      <c r="D3338" t="s">
        <v>6640</v>
      </c>
      <c r="E3338" t="s">
        <v>291</v>
      </c>
      <c r="G3338" t="s">
        <v>427</v>
      </c>
      <c r="H3338" t="s">
        <v>856</v>
      </c>
      <c r="I3338" t="s">
        <v>11704</v>
      </c>
      <c r="J3338">
        <v>6</v>
      </c>
      <c r="K3338" t="s">
        <v>1641</v>
      </c>
      <c r="L3338">
        <v>10452</v>
      </c>
      <c r="M3338" t="s">
        <v>1670</v>
      </c>
      <c r="Q3338" t="s">
        <v>1951</v>
      </c>
      <c r="R3338" t="s">
        <v>1958</v>
      </c>
      <c r="T3338" t="s">
        <v>1671</v>
      </c>
      <c r="V3338" t="s">
        <v>1972</v>
      </c>
      <c r="X3338" t="s">
        <v>1991</v>
      </c>
      <c r="Y3338">
        <v>2000</v>
      </c>
      <c r="Z3338" t="s">
        <v>2006</v>
      </c>
      <c r="AA3338" t="s">
        <v>2016</v>
      </c>
      <c r="AC3338" t="s">
        <v>15629</v>
      </c>
      <c r="AE3338">
        <v>2</v>
      </c>
      <c r="AF3338" t="s">
        <v>2904</v>
      </c>
      <c r="AG3338" t="s">
        <v>1754</v>
      </c>
      <c r="AH3338">
        <v>1</v>
      </c>
      <c r="AI3338">
        <v>3</v>
      </c>
      <c r="AJ3338">
        <v>1</v>
      </c>
      <c r="AK3338">
        <v>91.68000000000001</v>
      </c>
      <c r="AN3338" t="s">
        <v>2927</v>
      </c>
      <c r="AO3338">
        <v>23608</v>
      </c>
      <c r="AU3338">
        <v>0.25</v>
      </c>
      <c r="AV3338" t="s">
        <v>230</v>
      </c>
      <c r="AW3338" t="s">
        <v>3046</v>
      </c>
    </row>
    <row r="3339" spans="1:49">
      <c r="A3339" s="1" t="s">
        <v>50</v>
      </c>
      <c r="B3339" t="s">
        <v>82</v>
      </c>
      <c r="C3339" t="s">
        <v>163</v>
      </c>
      <c r="D3339" t="s">
        <v>6641</v>
      </c>
      <c r="E3339" t="s">
        <v>239</v>
      </c>
      <c r="G3339" t="s">
        <v>6888</v>
      </c>
      <c r="H3339" t="s">
        <v>984</v>
      </c>
      <c r="I3339" t="s">
        <v>1144</v>
      </c>
      <c r="J3339" t="s">
        <v>11808</v>
      </c>
      <c r="K3339" t="s">
        <v>1644</v>
      </c>
      <c r="L3339">
        <v>11233</v>
      </c>
      <c r="M3339" t="s">
        <v>1670</v>
      </c>
      <c r="Q3339" t="s">
        <v>1937</v>
      </c>
      <c r="R3339" t="s">
        <v>1962</v>
      </c>
      <c r="T3339" t="s">
        <v>1670</v>
      </c>
      <c r="V3339" t="s">
        <v>1972</v>
      </c>
      <c r="W3339" t="s">
        <v>1984</v>
      </c>
      <c r="X3339" t="s">
        <v>221</v>
      </c>
      <c r="Y3339">
        <v>1300</v>
      </c>
      <c r="Z3339" t="s">
        <v>2009</v>
      </c>
      <c r="AA3339" t="s">
        <v>2017</v>
      </c>
      <c r="AC3339" t="s">
        <v>15630</v>
      </c>
      <c r="AE3339">
        <v>359</v>
      </c>
      <c r="AF3339" t="s">
        <v>2902</v>
      </c>
      <c r="AH3339">
        <v>3</v>
      </c>
      <c r="AI3339">
        <v>2</v>
      </c>
      <c r="AJ3339">
        <v>1</v>
      </c>
      <c r="AK3339">
        <v>93.76000000000001</v>
      </c>
      <c r="AN3339" t="s">
        <v>2926</v>
      </c>
      <c r="AO3339">
        <v>20000</v>
      </c>
      <c r="AP3339" t="s">
        <v>18400</v>
      </c>
      <c r="AU3339" t="s">
        <v>13051</v>
      </c>
      <c r="AW3339" t="s">
        <v>3059</v>
      </c>
    </row>
    <row r="3340" spans="1:49">
      <c r="A3340" s="1" t="s">
        <v>50</v>
      </c>
      <c r="B3340" t="s">
        <v>82</v>
      </c>
      <c r="C3340" t="s">
        <v>163</v>
      </c>
      <c r="D3340" t="s">
        <v>6642</v>
      </c>
      <c r="E3340" t="s">
        <v>385</v>
      </c>
      <c r="G3340" t="s">
        <v>6888</v>
      </c>
      <c r="H3340" t="s">
        <v>984</v>
      </c>
      <c r="I3340" t="s">
        <v>1144</v>
      </c>
      <c r="J3340" t="s">
        <v>11808</v>
      </c>
      <c r="K3340" t="s">
        <v>1644</v>
      </c>
      <c r="L3340">
        <v>11233</v>
      </c>
      <c r="M3340" t="s">
        <v>1670</v>
      </c>
      <c r="Q3340" t="s">
        <v>1938</v>
      </c>
      <c r="R3340" t="s">
        <v>1961</v>
      </c>
      <c r="T3340" t="s">
        <v>1670</v>
      </c>
      <c r="V3340" t="s">
        <v>1972</v>
      </c>
      <c r="W3340" t="s">
        <v>1984</v>
      </c>
      <c r="X3340" t="s">
        <v>248</v>
      </c>
      <c r="Y3340">
        <v>1300</v>
      </c>
      <c r="Z3340" t="s">
        <v>2009</v>
      </c>
      <c r="AA3340" t="s">
        <v>2017</v>
      </c>
      <c r="AC3340" t="s">
        <v>15630</v>
      </c>
      <c r="AE3340">
        <v>359</v>
      </c>
      <c r="AF3340" t="s">
        <v>2902</v>
      </c>
      <c r="AH3340">
        <v>3</v>
      </c>
      <c r="AI3340">
        <v>2</v>
      </c>
      <c r="AJ3340">
        <v>1</v>
      </c>
      <c r="AK3340">
        <v>93.76000000000001</v>
      </c>
      <c r="AN3340" t="s">
        <v>2926</v>
      </c>
      <c r="AO3340">
        <v>20000</v>
      </c>
      <c r="AP3340" t="s">
        <v>18071</v>
      </c>
      <c r="AU3340" t="s">
        <v>13051</v>
      </c>
      <c r="AW3340" t="s">
        <v>3059</v>
      </c>
    </row>
    <row r="3341" spans="1:49">
      <c r="A3341" s="1" t="s">
        <v>50</v>
      </c>
      <c r="B3341" t="s">
        <v>82</v>
      </c>
      <c r="C3341" t="s">
        <v>163</v>
      </c>
      <c r="D3341" t="s">
        <v>6643</v>
      </c>
      <c r="E3341" t="s">
        <v>186</v>
      </c>
      <c r="G3341" t="s">
        <v>9327</v>
      </c>
      <c r="H3341" t="s">
        <v>767</v>
      </c>
      <c r="I3341" t="s">
        <v>1144</v>
      </c>
      <c r="J3341" t="s">
        <v>1479</v>
      </c>
      <c r="K3341" t="s">
        <v>1644</v>
      </c>
      <c r="L3341">
        <v>11233</v>
      </c>
      <c r="M3341" t="s">
        <v>1670</v>
      </c>
      <c r="Q3341" t="s">
        <v>1937</v>
      </c>
      <c r="R3341" t="s">
        <v>1962</v>
      </c>
      <c r="T3341" t="s">
        <v>1670</v>
      </c>
      <c r="V3341" t="s">
        <v>1972</v>
      </c>
      <c r="W3341" t="s">
        <v>1984</v>
      </c>
      <c r="X3341" t="s">
        <v>221</v>
      </c>
      <c r="Y3341">
        <v>1100</v>
      </c>
      <c r="Z3341" t="s">
        <v>2009</v>
      </c>
      <c r="AA3341" t="s">
        <v>2017</v>
      </c>
      <c r="AC3341" t="s">
        <v>15631</v>
      </c>
      <c r="AE3341">
        <v>359</v>
      </c>
      <c r="AF3341" t="s">
        <v>2902</v>
      </c>
      <c r="AG3341" t="s">
        <v>1754</v>
      </c>
      <c r="AH3341">
        <v>32</v>
      </c>
      <c r="AI3341">
        <v>1</v>
      </c>
      <c r="AJ3341">
        <v>1</v>
      </c>
      <c r="AK3341">
        <v>95.8</v>
      </c>
      <c r="AN3341" t="s">
        <v>2926</v>
      </c>
      <c r="AO3341">
        <v>16200</v>
      </c>
      <c r="AP3341" t="s">
        <v>18401</v>
      </c>
      <c r="AU3341" t="s">
        <v>13051</v>
      </c>
      <c r="AW3341" t="s">
        <v>3059</v>
      </c>
    </row>
    <row r="3342" spans="1:49">
      <c r="A3342" s="1" t="s">
        <v>50</v>
      </c>
      <c r="B3342" t="s">
        <v>82</v>
      </c>
      <c r="C3342" t="s">
        <v>163</v>
      </c>
      <c r="D3342" t="s">
        <v>6644</v>
      </c>
      <c r="E3342" t="s">
        <v>186</v>
      </c>
      <c r="G3342" t="s">
        <v>9327</v>
      </c>
      <c r="H3342" t="s">
        <v>767</v>
      </c>
      <c r="I3342" t="s">
        <v>1144</v>
      </c>
      <c r="J3342" t="s">
        <v>1479</v>
      </c>
      <c r="K3342" t="s">
        <v>1644</v>
      </c>
      <c r="L3342">
        <v>11233</v>
      </c>
      <c r="M3342" t="s">
        <v>1670</v>
      </c>
      <c r="Q3342" t="s">
        <v>1938</v>
      </c>
      <c r="R3342" t="s">
        <v>1961</v>
      </c>
      <c r="T3342" t="s">
        <v>1670</v>
      </c>
      <c r="V3342" t="s">
        <v>1972</v>
      </c>
      <c r="W3342" t="s">
        <v>1984</v>
      </c>
      <c r="X3342" t="s">
        <v>248</v>
      </c>
      <c r="Y3342">
        <v>1100</v>
      </c>
      <c r="Z3342" t="s">
        <v>2009</v>
      </c>
      <c r="AA3342" t="s">
        <v>2017</v>
      </c>
      <c r="AC3342" t="s">
        <v>15631</v>
      </c>
      <c r="AE3342">
        <v>359</v>
      </c>
      <c r="AF3342" t="s">
        <v>2902</v>
      </c>
      <c r="AG3342" t="s">
        <v>1754</v>
      </c>
      <c r="AH3342">
        <v>32</v>
      </c>
      <c r="AI3342">
        <v>1</v>
      </c>
      <c r="AJ3342">
        <v>1</v>
      </c>
      <c r="AK3342">
        <v>95.8</v>
      </c>
      <c r="AN3342" t="s">
        <v>2926</v>
      </c>
      <c r="AO3342">
        <v>16200</v>
      </c>
      <c r="AP3342" t="s">
        <v>18071</v>
      </c>
      <c r="AU3342" t="s">
        <v>13051</v>
      </c>
      <c r="AW3342" t="s">
        <v>3059</v>
      </c>
    </row>
    <row r="3343" spans="1:49">
      <c r="A3343" s="1" t="s">
        <v>50</v>
      </c>
      <c r="B3343" t="s">
        <v>130</v>
      </c>
      <c r="C3343" t="s">
        <v>164</v>
      </c>
      <c r="D3343" t="s">
        <v>6645</v>
      </c>
      <c r="E3343" t="s">
        <v>288</v>
      </c>
      <c r="F3343" t="s">
        <v>165</v>
      </c>
      <c r="G3343" t="s">
        <v>7020</v>
      </c>
      <c r="H3343" t="s">
        <v>7111</v>
      </c>
      <c r="I3343" t="s">
        <v>1380</v>
      </c>
      <c r="J3343" t="s">
        <v>1570</v>
      </c>
      <c r="K3343" t="s">
        <v>1644</v>
      </c>
      <c r="L3343">
        <v>11213</v>
      </c>
      <c r="M3343" t="s">
        <v>1670</v>
      </c>
      <c r="Q3343" t="s">
        <v>1675</v>
      </c>
      <c r="R3343" t="s">
        <v>1962</v>
      </c>
      <c r="S3343" t="s">
        <v>1968</v>
      </c>
      <c r="T3343" t="s">
        <v>1670</v>
      </c>
      <c r="V3343" t="s">
        <v>1972</v>
      </c>
      <c r="W3343" t="s">
        <v>1984</v>
      </c>
      <c r="X3343" t="s">
        <v>342</v>
      </c>
      <c r="Y3343">
        <v>789.13</v>
      </c>
      <c r="Z3343" t="s">
        <v>2009</v>
      </c>
      <c r="AA3343" t="s">
        <v>2016</v>
      </c>
      <c r="AB3343" t="s">
        <v>2029</v>
      </c>
      <c r="AC3343" t="s">
        <v>15632</v>
      </c>
      <c r="AE3343">
        <v>35</v>
      </c>
      <c r="AF3343" t="s">
        <v>2902</v>
      </c>
      <c r="AH3343">
        <v>30</v>
      </c>
      <c r="AI3343">
        <v>2</v>
      </c>
      <c r="AJ3343">
        <v>1</v>
      </c>
      <c r="AK3343">
        <v>100.1</v>
      </c>
      <c r="AN3343" t="s">
        <v>2926</v>
      </c>
      <c r="AO3343">
        <v>20800</v>
      </c>
      <c r="AU3343">
        <v>3.1</v>
      </c>
      <c r="AV3343" t="s">
        <v>256</v>
      </c>
      <c r="AW3343" t="s">
        <v>3059</v>
      </c>
    </row>
    <row r="3344" spans="1:49">
      <c r="A3344" s="1" t="s">
        <v>50</v>
      </c>
      <c r="B3344" t="s">
        <v>91</v>
      </c>
      <c r="C3344" t="s">
        <v>163</v>
      </c>
      <c r="D3344" t="s">
        <v>6646</v>
      </c>
      <c r="E3344" t="s">
        <v>3039</v>
      </c>
      <c r="G3344" t="s">
        <v>7210</v>
      </c>
      <c r="H3344" t="s">
        <v>10893</v>
      </c>
      <c r="I3344" t="s">
        <v>1318</v>
      </c>
      <c r="J3344" t="s">
        <v>1560</v>
      </c>
      <c r="K3344" t="s">
        <v>1643</v>
      </c>
      <c r="L3344">
        <v>10032</v>
      </c>
      <c r="M3344" t="s">
        <v>1670</v>
      </c>
      <c r="R3344" t="s">
        <v>1960</v>
      </c>
      <c r="T3344" t="s">
        <v>1671</v>
      </c>
      <c r="V3344" t="s">
        <v>1972</v>
      </c>
      <c r="X3344" t="s">
        <v>3039</v>
      </c>
      <c r="Y3344">
        <v>858.16</v>
      </c>
      <c r="Z3344" t="s">
        <v>2008</v>
      </c>
      <c r="AC3344" t="s">
        <v>15633</v>
      </c>
      <c r="AE3344">
        <v>42</v>
      </c>
      <c r="AF3344" t="s">
        <v>2902</v>
      </c>
      <c r="AG3344" t="s">
        <v>1754</v>
      </c>
      <c r="AH3344">
        <v>35</v>
      </c>
      <c r="AI3344">
        <v>1</v>
      </c>
      <c r="AJ3344">
        <v>1</v>
      </c>
      <c r="AK3344">
        <v>100.25</v>
      </c>
      <c r="AN3344" t="s">
        <v>2927</v>
      </c>
      <c r="AO3344">
        <v>16952</v>
      </c>
      <c r="AU3344">
        <v>19.25</v>
      </c>
      <c r="AV3344" t="s">
        <v>346</v>
      </c>
      <c r="AW3344" t="s">
        <v>3042</v>
      </c>
    </row>
    <row r="3345" spans="1:49">
      <c r="A3345" s="1" t="s">
        <v>50</v>
      </c>
      <c r="B3345" t="s">
        <v>70</v>
      </c>
      <c r="C3345" t="s">
        <v>164</v>
      </c>
      <c r="D3345" t="s">
        <v>6647</v>
      </c>
      <c r="E3345" t="s">
        <v>349</v>
      </c>
      <c r="F3345" t="s">
        <v>273</v>
      </c>
      <c r="G3345" t="s">
        <v>9328</v>
      </c>
      <c r="H3345" t="s">
        <v>769</v>
      </c>
      <c r="I3345" t="s">
        <v>11705</v>
      </c>
      <c r="J3345" t="s">
        <v>1558</v>
      </c>
      <c r="K3345" t="s">
        <v>1641</v>
      </c>
      <c r="L3345">
        <v>10452</v>
      </c>
      <c r="M3345" t="s">
        <v>1670</v>
      </c>
      <c r="Q3345" t="s">
        <v>1936</v>
      </c>
      <c r="R3345" t="s">
        <v>1958</v>
      </c>
      <c r="S3345" t="s">
        <v>1965</v>
      </c>
      <c r="T3345" t="s">
        <v>1671</v>
      </c>
      <c r="V3345" t="s">
        <v>1972</v>
      </c>
      <c r="X3345" t="s">
        <v>349</v>
      </c>
      <c r="Y3345">
        <v>1310.05</v>
      </c>
      <c r="Z3345" t="s">
        <v>2006</v>
      </c>
      <c r="AA3345" t="s">
        <v>2015</v>
      </c>
      <c r="AB3345" t="s">
        <v>2029</v>
      </c>
      <c r="AC3345" t="s">
        <v>15634</v>
      </c>
      <c r="AE3345">
        <v>73</v>
      </c>
      <c r="AH3345">
        <v>5</v>
      </c>
      <c r="AI3345">
        <v>2</v>
      </c>
      <c r="AJ3345">
        <v>1</v>
      </c>
      <c r="AK3345">
        <v>101.06</v>
      </c>
      <c r="AN3345" t="s">
        <v>2927</v>
      </c>
      <c r="AO3345">
        <v>21000</v>
      </c>
      <c r="AU3345">
        <v>0.25</v>
      </c>
      <c r="AV3345" t="s">
        <v>273</v>
      </c>
      <c r="AW3345" t="s">
        <v>3047</v>
      </c>
    </row>
    <row r="3346" spans="1:49">
      <c r="A3346" s="1" t="s">
        <v>50</v>
      </c>
      <c r="B3346" t="s">
        <v>91</v>
      </c>
      <c r="C3346" t="s">
        <v>163</v>
      </c>
      <c r="D3346" t="s">
        <v>6648</v>
      </c>
      <c r="E3346" t="s">
        <v>367</v>
      </c>
      <c r="G3346" t="s">
        <v>7210</v>
      </c>
      <c r="H3346" t="s">
        <v>10893</v>
      </c>
      <c r="I3346" t="s">
        <v>1318</v>
      </c>
      <c r="J3346" t="s">
        <v>1560</v>
      </c>
      <c r="K3346" t="s">
        <v>1643</v>
      </c>
      <c r="L3346">
        <v>10032</v>
      </c>
      <c r="M3346" t="s">
        <v>1670</v>
      </c>
      <c r="R3346" t="s">
        <v>1960</v>
      </c>
      <c r="T3346" t="s">
        <v>1670</v>
      </c>
      <c r="V3346" t="s">
        <v>1972</v>
      </c>
      <c r="X3346" t="s">
        <v>367</v>
      </c>
      <c r="Y3346">
        <v>858.16</v>
      </c>
      <c r="Z3346" t="s">
        <v>2008</v>
      </c>
      <c r="AA3346" t="s">
        <v>2013</v>
      </c>
      <c r="AC3346" t="s">
        <v>15633</v>
      </c>
      <c r="AE3346">
        <v>42</v>
      </c>
      <c r="AF3346" t="s">
        <v>2902</v>
      </c>
      <c r="AG3346" t="s">
        <v>1754</v>
      </c>
      <c r="AH3346">
        <v>35</v>
      </c>
      <c r="AI3346">
        <v>1</v>
      </c>
      <c r="AJ3346">
        <v>1</v>
      </c>
      <c r="AK3346">
        <v>102.99</v>
      </c>
      <c r="AN3346" t="s">
        <v>2927</v>
      </c>
      <c r="AO3346">
        <v>16952</v>
      </c>
      <c r="AU3346">
        <v>0.6</v>
      </c>
      <c r="AV3346" t="s">
        <v>404</v>
      </c>
      <c r="AW3346" t="s">
        <v>3042</v>
      </c>
    </row>
    <row r="3347" spans="1:49">
      <c r="A3347" s="1" t="s">
        <v>50</v>
      </c>
      <c r="B3347" t="s">
        <v>3203</v>
      </c>
      <c r="C3347" t="s">
        <v>164</v>
      </c>
      <c r="D3347" t="s">
        <v>6649</v>
      </c>
      <c r="E3347" t="s">
        <v>305</v>
      </c>
      <c r="F3347" t="s">
        <v>245</v>
      </c>
      <c r="G3347" t="s">
        <v>547</v>
      </c>
      <c r="H3347" t="s">
        <v>7956</v>
      </c>
      <c r="I3347" t="s">
        <v>11706</v>
      </c>
      <c r="J3347" t="s">
        <v>1600</v>
      </c>
      <c r="K3347" t="s">
        <v>1641</v>
      </c>
      <c r="L3347">
        <v>10459</v>
      </c>
      <c r="M3347" t="s">
        <v>1670</v>
      </c>
      <c r="Q3347" t="s">
        <v>1941</v>
      </c>
      <c r="R3347" t="s">
        <v>1962</v>
      </c>
      <c r="S3347" t="s">
        <v>1965</v>
      </c>
      <c r="T3347" t="s">
        <v>1671</v>
      </c>
      <c r="V3347" t="s">
        <v>1972</v>
      </c>
      <c r="X3347" t="s">
        <v>330</v>
      </c>
      <c r="Y3347">
        <v>880</v>
      </c>
      <c r="Z3347" t="s">
        <v>2006</v>
      </c>
      <c r="AA3347" t="s">
        <v>2015</v>
      </c>
      <c r="AB3347" t="s">
        <v>2029</v>
      </c>
      <c r="AC3347" t="s">
        <v>15635</v>
      </c>
      <c r="AE3347" t="s">
        <v>13051</v>
      </c>
      <c r="AF3347" t="s">
        <v>2902</v>
      </c>
      <c r="AH3347">
        <v>36</v>
      </c>
      <c r="AI3347">
        <v>2</v>
      </c>
      <c r="AJ3347">
        <v>1</v>
      </c>
      <c r="AK3347">
        <v>109.72</v>
      </c>
      <c r="AN3347" t="s">
        <v>2927</v>
      </c>
      <c r="AO3347">
        <v>22800</v>
      </c>
      <c r="AU3347">
        <v>0.2</v>
      </c>
      <c r="AV3347" t="s">
        <v>330</v>
      </c>
      <c r="AW3347" t="s">
        <v>3203</v>
      </c>
    </row>
    <row r="3348" spans="1:49">
      <c r="A3348" s="1" t="s">
        <v>50</v>
      </c>
      <c r="B3348" t="s">
        <v>133</v>
      </c>
      <c r="C3348" t="s">
        <v>163</v>
      </c>
      <c r="D3348" t="s">
        <v>6650</v>
      </c>
      <c r="E3348" t="s">
        <v>249</v>
      </c>
      <c r="G3348" t="s">
        <v>9318</v>
      </c>
      <c r="H3348" t="s">
        <v>8264</v>
      </c>
      <c r="I3348" t="s">
        <v>9674</v>
      </c>
      <c r="J3348" t="s">
        <v>1488</v>
      </c>
      <c r="K3348" t="s">
        <v>1644</v>
      </c>
      <c r="L3348">
        <v>11212</v>
      </c>
      <c r="M3348" t="s">
        <v>1670</v>
      </c>
      <c r="P3348" t="s">
        <v>12009</v>
      </c>
      <c r="R3348" t="s">
        <v>1964</v>
      </c>
      <c r="T3348" t="s">
        <v>1670</v>
      </c>
      <c r="V3348" t="s">
        <v>1972</v>
      </c>
      <c r="W3348" t="s">
        <v>1984</v>
      </c>
      <c r="X3348" t="s">
        <v>326</v>
      </c>
      <c r="Y3348">
        <v>1326</v>
      </c>
      <c r="Z3348" t="s">
        <v>2009</v>
      </c>
      <c r="AA3348" t="s">
        <v>2017</v>
      </c>
      <c r="AC3348" t="s">
        <v>15608</v>
      </c>
      <c r="AE3348">
        <v>16</v>
      </c>
      <c r="AF3348" t="s">
        <v>2902</v>
      </c>
      <c r="AG3348" t="s">
        <v>2918</v>
      </c>
      <c r="AH3348">
        <v>3</v>
      </c>
      <c r="AI3348">
        <v>1</v>
      </c>
      <c r="AJ3348">
        <v>1</v>
      </c>
      <c r="AK3348">
        <v>116.88</v>
      </c>
      <c r="AN3348" t="s">
        <v>2926</v>
      </c>
      <c r="AO3348">
        <v>19764</v>
      </c>
      <c r="AP3348" t="s">
        <v>18391</v>
      </c>
      <c r="AU3348" t="s">
        <v>13051</v>
      </c>
      <c r="AW3348" t="s">
        <v>3060</v>
      </c>
    </row>
    <row r="3349" spans="1:49">
      <c r="A3349" s="1" t="s">
        <v>50</v>
      </c>
      <c r="B3349" t="s">
        <v>79</v>
      </c>
      <c r="C3349" t="s">
        <v>163</v>
      </c>
      <c r="D3349" t="s">
        <v>6651</v>
      </c>
      <c r="E3349" t="s">
        <v>266</v>
      </c>
      <c r="G3349" t="s">
        <v>9329</v>
      </c>
      <c r="H3349" t="s">
        <v>10894</v>
      </c>
      <c r="I3349" t="s">
        <v>11707</v>
      </c>
      <c r="J3349" t="s">
        <v>1525</v>
      </c>
      <c r="K3349" t="s">
        <v>1644</v>
      </c>
      <c r="L3349">
        <v>11212</v>
      </c>
      <c r="M3349" t="s">
        <v>1670</v>
      </c>
      <c r="P3349" t="s">
        <v>1754</v>
      </c>
      <c r="Q3349" t="s">
        <v>1937</v>
      </c>
      <c r="R3349" t="s">
        <v>1958</v>
      </c>
      <c r="V3349" t="s">
        <v>1972</v>
      </c>
      <c r="X3349" t="s">
        <v>266</v>
      </c>
      <c r="Y3349" t="s">
        <v>13051</v>
      </c>
      <c r="Z3349" t="s">
        <v>2009</v>
      </c>
      <c r="AC3349" t="s">
        <v>15636</v>
      </c>
      <c r="AE3349" t="s">
        <v>13051</v>
      </c>
      <c r="AG3349" t="s">
        <v>1754</v>
      </c>
      <c r="AH3349" t="s">
        <v>13051</v>
      </c>
      <c r="AI3349">
        <v>2</v>
      </c>
      <c r="AJ3349">
        <v>1</v>
      </c>
      <c r="AK3349">
        <v>117.21</v>
      </c>
      <c r="AN3349" t="s">
        <v>2926</v>
      </c>
      <c r="AO3349">
        <v>25000</v>
      </c>
      <c r="AU3349">
        <v>5</v>
      </c>
      <c r="AV3349" t="s">
        <v>240</v>
      </c>
      <c r="AW3349" t="s">
        <v>3060</v>
      </c>
    </row>
    <row r="3350" spans="1:49">
      <c r="A3350" s="1" t="s">
        <v>50</v>
      </c>
      <c r="B3350" t="s">
        <v>95</v>
      </c>
      <c r="C3350" t="s">
        <v>164</v>
      </c>
      <c r="D3350" t="s">
        <v>6652</v>
      </c>
      <c r="E3350" t="s">
        <v>406</v>
      </c>
      <c r="F3350" t="s">
        <v>258</v>
      </c>
      <c r="G3350" t="s">
        <v>758</v>
      </c>
      <c r="H3350" t="s">
        <v>10895</v>
      </c>
      <c r="I3350" t="s">
        <v>11708</v>
      </c>
      <c r="J3350" t="s">
        <v>11058</v>
      </c>
      <c r="K3350" t="s">
        <v>1641</v>
      </c>
      <c r="L3350">
        <v>10452</v>
      </c>
      <c r="M3350" t="s">
        <v>1670</v>
      </c>
      <c r="Q3350" t="s">
        <v>1675</v>
      </c>
      <c r="R3350" t="s">
        <v>1962</v>
      </c>
      <c r="S3350" t="s">
        <v>1968</v>
      </c>
      <c r="T3350" t="s">
        <v>1671</v>
      </c>
      <c r="V3350" t="s">
        <v>1972</v>
      </c>
      <c r="X3350" t="s">
        <v>406</v>
      </c>
      <c r="Y3350">
        <v>1354</v>
      </c>
      <c r="Z3350" t="s">
        <v>2006</v>
      </c>
      <c r="AA3350" t="s">
        <v>2015</v>
      </c>
      <c r="AB3350" t="s">
        <v>2029</v>
      </c>
      <c r="AC3350" t="s">
        <v>15637</v>
      </c>
      <c r="AE3350" t="s">
        <v>13051</v>
      </c>
      <c r="AF3350" t="s">
        <v>2902</v>
      </c>
      <c r="AG3350" t="s">
        <v>1754</v>
      </c>
      <c r="AH3350">
        <v>5</v>
      </c>
      <c r="AI3350">
        <v>2</v>
      </c>
      <c r="AJ3350">
        <v>1</v>
      </c>
      <c r="AK3350">
        <v>118.48</v>
      </c>
      <c r="AN3350" t="s">
        <v>2926</v>
      </c>
      <c r="AO3350">
        <v>25272</v>
      </c>
      <c r="AU3350">
        <v>1</v>
      </c>
      <c r="AV3350" t="s">
        <v>406</v>
      </c>
      <c r="AW3350" t="s">
        <v>95</v>
      </c>
    </row>
    <row r="3351" spans="1:49">
      <c r="A3351" s="1" t="s">
        <v>50</v>
      </c>
      <c r="B3351" t="s">
        <v>64</v>
      </c>
      <c r="C3351" t="s">
        <v>164</v>
      </c>
      <c r="D3351" t="s">
        <v>6653</v>
      </c>
      <c r="E3351" t="s">
        <v>258</v>
      </c>
      <c r="F3351" t="s">
        <v>230</v>
      </c>
      <c r="G3351" t="s">
        <v>7078</v>
      </c>
      <c r="H3351" t="s">
        <v>8641</v>
      </c>
      <c r="I3351" t="s">
        <v>11709</v>
      </c>
      <c r="J3351" t="s">
        <v>1507</v>
      </c>
      <c r="K3351" t="s">
        <v>1643</v>
      </c>
      <c r="L3351">
        <v>10034</v>
      </c>
      <c r="M3351" t="s">
        <v>1670</v>
      </c>
      <c r="P3351" t="s">
        <v>13008</v>
      </c>
      <c r="Q3351" t="s">
        <v>1941</v>
      </c>
      <c r="R3351" t="s">
        <v>1958</v>
      </c>
      <c r="S3351" t="s">
        <v>1965</v>
      </c>
      <c r="T3351" t="s">
        <v>1671</v>
      </c>
      <c r="V3351" t="s">
        <v>1972</v>
      </c>
      <c r="X3351" t="s">
        <v>258</v>
      </c>
      <c r="Y3351">
        <v>1475</v>
      </c>
      <c r="Z3351" t="s">
        <v>2008</v>
      </c>
      <c r="AA3351" t="s">
        <v>2013</v>
      </c>
      <c r="AB3351" t="s">
        <v>2029</v>
      </c>
      <c r="AC3351" t="s">
        <v>15638</v>
      </c>
      <c r="AE3351">
        <v>57</v>
      </c>
      <c r="AF3351" t="s">
        <v>2902</v>
      </c>
      <c r="AG3351" t="s">
        <v>1754</v>
      </c>
      <c r="AH3351">
        <v>14</v>
      </c>
      <c r="AI3351">
        <v>2</v>
      </c>
      <c r="AJ3351">
        <v>1</v>
      </c>
      <c r="AK3351">
        <v>131.65</v>
      </c>
      <c r="AO3351">
        <v>28080</v>
      </c>
      <c r="AU3351">
        <v>6.8</v>
      </c>
      <c r="AV3351" t="s">
        <v>369</v>
      </c>
      <c r="AW3351" t="s">
        <v>3075</v>
      </c>
    </row>
    <row r="3352" spans="1:49">
      <c r="A3352" s="1" t="s">
        <v>50</v>
      </c>
      <c r="B3352" t="s">
        <v>95</v>
      </c>
      <c r="C3352" t="s">
        <v>163</v>
      </c>
      <c r="D3352" t="s">
        <v>6654</v>
      </c>
      <c r="E3352" t="s">
        <v>404</v>
      </c>
      <c r="G3352" t="s">
        <v>6996</v>
      </c>
      <c r="H3352" t="s">
        <v>10737</v>
      </c>
      <c r="I3352" t="s">
        <v>1430</v>
      </c>
      <c r="J3352" t="s">
        <v>1534</v>
      </c>
      <c r="K3352" t="s">
        <v>1641</v>
      </c>
      <c r="L3352">
        <v>10451</v>
      </c>
      <c r="M3352" t="s">
        <v>1670</v>
      </c>
      <c r="Q3352" t="s">
        <v>1675</v>
      </c>
      <c r="R3352" t="s">
        <v>1958</v>
      </c>
      <c r="T3352" t="s">
        <v>1671</v>
      </c>
      <c r="V3352" t="s">
        <v>1972</v>
      </c>
      <c r="X3352" t="s">
        <v>1991</v>
      </c>
      <c r="Y3352">
        <v>2325</v>
      </c>
      <c r="Z3352" t="s">
        <v>2006</v>
      </c>
      <c r="AA3352" t="s">
        <v>2015</v>
      </c>
      <c r="AC3352" t="s">
        <v>15639</v>
      </c>
      <c r="AE3352" t="s">
        <v>13051</v>
      </c>
      <c r="AF3352" t="s">
        <v>2902</v>
      </c>
      <c r="AG3352" t="s">
        <v>1754</v>
      </c>
      <c r="AH3352">
        <v>5</v>
      </c>
      <c r="AI3352">
        <v>1</v>
      </c>
      <c r="AJ3352">
        <v>1</v>
      </c>
      <c r="AK3352">
        <v>136.01</v>
      </c>
      <c r="AN3352" t="s">
        <v>2927</v>
      </c>
      <c r="AO3352">
        <v>23000</v>
      </c>
      <c r="AU3352">
        <v>1</v>
      </c>
      <c r="AV3352" t="s">
        <v>249</v>
      </c>
      <c r="AW3352" t="s">
        <v>95</v>
      </c>
    </row>
    <row r="3353" spans="1:49">
      <c r="A3353" s="1" t="s">
        <v>50</v>
      </c>
      <c r="B3353" t="s">
        <v>58</v>
      </c>
      <c r="C3353" t="s">
        <v>164</v>
      </c>
      <c r="D3353" t="s">
        <v>6655</v>
      </c>
      <c r="E3353" t="s">
        <v>315</v>
      </c>
      <c r="F3353" t="s">
        <v>345</v>
      </c>
      <c r="G3353" t="s">
        <v>442</v>
      </c>
      <c r="H3353" t="s">
        <v>8274</v>
      </c>
      <c r="I3353" t="s">
        <v>11710</v>
      </c>
      <c r="J3353">
        <v>2</v>
      </c>
      <c r="K3353" t="s">
        <v>1641</v>
      </c>
      <c r="L3353">
        <v>10473</v>
      </c>
      <c r="M3353" t="s">
        <v>1670</v>
      </c>
      <c r="P3353" t="s">
        <v>1675</v>
      </c>
      <c r="Q3353" t="s">
        <v>1941</v>
      </c>
      <c r="R3353" t="s">
        <v>1962</v>
      </c>
      <c r="S3353" t="s">
        <v>1968</v>
      </c>
      <c r="T3353" t="s">
        <v>1671</v>
      </c>
      <c r="V3353" t="s">
        <v>1972</v>
      </c>
      <c r="X3353" t="s">
        <v>345</v>
      </c>
      <c r="Y3353">
        <v>1400</v>
      </c>
      <c r="Z3353" t="s">
        <v>2006</v>
      </c>
      <c r="AA3353" t="s">
        <v>2015</v>
      </c>
      <c r="AB3353" t="s">
        <v>2031</v>
      </c>
      <c r="AC3353" t="s">
        <v>15640</v>
      </c>
      <c r="AE3353" t="s">
        <v>13051</v>
      </c>
      <c r="AF3353" t="s">
        <v>2904</v>
      </c>
      <c r="AG3353" t="s">
        <v>1754</v>
      </c>
      <c r="AH3353">
        <v>2</v>
      </c>
      <c r="AI3353">
        <v>2</v>
      </c>
      <c r="AJ3353">
        <v>1</v>
      </c>
      <c r="AK3353">
        <v>144.37</v>
      </c>
      <c r="AO3353">
        <v>30000</v>
      </c>
      <c r="AU3353">
        <v>1</v>
      </c>
      <c r="AV3353" t="s">
        <v>3040</v>
      </c>
      <c r="AW3353" t="s">
        <v>3046</v>
      </c>
    </row>
    <row r="3354" spans="1:49">
      <c r="A3354" s="1" t="s">
        <v>50</v>
      </c>
      <c r="B3354" t="s">
        <v>94</v>
      </c>
      <c r="C3354" t="s">
        <v>163</v>
      </c>
      <c r="D3354" t="s">
        <v>6656</v>
      </c>
      <c r="E3354" t="s">
        <v>348</v>
      </c>
      <c r="G3354" t="s">
        <v>9330</v>
      </c>
      <c r="H3354" t="s">
        <v>921</v>
      </c>
      <c r="I3354" t="s">
        <v>9407</v>
      </c>
      <c r="J3354" t="s">
        <v>1571</v>
      </c>
      <c r="K3354" t="s">
        <v>1643</v>
      </c>
      <c r="L3354">
        <v>10040</v>
      </c>
      <c r="M3354" t="s">
        <v>1670</v>
      </c>
      <c r="Q3354" t="s">
        <v>1938</v>
      </c>
      <c r="R3354" t="s">
        <v>1961</v>
      </c>
      <c r="T3354" t="s">
        <v>1670</v>
      </c>
      <c r="V3354" t="s">
        <v>1972</v>
      </c>
      <c r="X3354" t="s">
        <v>348</v>
      </c>
      <c r="Y3354">
        <v>1004</v>
      </c>
      <c r="Z3354" t="s">
        <v>2008</v>
      </c>
      <c r="AA3354" t="s">
        <v>2016</v>
      </c>
      <c r="AC3354" t="s">
        <v>15641</v>
      </c>
      <c r="AE3354">
        <v>88</v>
      </c>
      <c r="AF3354" t="s">
        <v>2902</v>
      </c>
      <c r="AG3354" t="s">
        <v>2917</v>
      </c>
      <c r="AH3354">
        <v>37</v>
      </c>
      <c r="AI3354">
        <v>2</v>
      </c>
      <c r="AJ3354">
        <v>1</v>
      </c>
      <c r="AK3354">
        <v>144.37</v>
      </c>
      <c r="AN3354" t="s">
        <v>2927</v>
      </c>
      <c r="AO3354">
        <v>30000</v>
      </c>
      <c r="AU3354" t="s">
        <v>13051</v>
      </c>
      <c r="AW3354" t="s">
        <v>3042</v>
      </c>
    </row>
    <row r="3355" spans="1:49">
      <c r="A3355" s="1" t="s">
        <v>50</v>
      </c>
      <c r="B3355" t="s">
        <v>74</v>
      </c>
      <c r="C3355" t="s">
        <v>163</v>
      </c>
      <c r="D3355" t="s">
        <v>6657</v>
      </c>
      <c r="E3355" t="s">
        <v>328</v>
      </c>
      <c r="G3355" t="s">
        <v>502</v>
      </c>
      <c r="H3355" t="s">
        <v>8788</v>
      </c>
      <c r="I3355" t="s">
        <v>1131</v>
      </c>
      <c r="J3355" t="s">
        <v>1497</v>
      </c>
      <c r="K3355" t="s">
        <v>1641</v>
      </c>
      <c r="L3355">
        <v>10460</v>
      </c>
      <c r="M3355" t="s">
        <v>1670</v>
      </c>
      <c r="Q3355" t="s">
        <v>1675</v>
      </c>
      <c r="R3355" t="s">
        <v>1959</v>
      </c>
      <c r="T3355" t="s">
        <v>1670</v>
      </c>
      <c r="V3355" t="s">
        <v>1972</v>
      </c>
      <c r="X3355" t="s">
        <v>1991</v>
      </c>
      <c r="Y3355">
        <v>792</v>
      </c>
      <c r="Z3355" t="s">
        <v>2006</v>
      </c>
      <c r="AA3355" t="s">
        <v>2015</v>
      </c>
      <c r="AC3355" t="s">
        <v>15642</v>
      </c>
      <c r="AE3355">
        <v>168</v>
      </c>
      <c r="AF3355" t="s">
        <v>2907</v>
      </c>
      <c r="AG3355" t="s">
        <v>2017</v>
      </c>
      <c r="AH3355">
        <v>3</v>
      </c>
      <c r="AI3355">
        <v>1</v>
      </c>
      <c r="AJ3355">
        <v>1</v>
      </c>
      <c r="AK3355">
        <v>146.04</v>
      </c>
      <c r="AN3355" t="s">
        <v>2926</v>
      </c>
      <c r="AO3355">
        <v>24696</v>
      </c>
      <c r="AU3355" t="s">
        <v>13051</v>
      </c>
      <c r="AW3355" t="s">
        <v>3046</v>
      </c>
    </row>
    <row r="3356" spans="1:49">
      <c r="A3356" s="1" t="s">
        <v>50</v>
      </c>
      <c r="B3356" t="s">
        <v>74</v>
      </c>
      <c r="C3356" t="s">
        <v>163</v>
      </c>
      <c r="D3356" t="s">
        <v>6658</v>
      </c>
      <c r="E3356" t="s">
        <v>306</v>
      </c>
      <c r="G3356" t="s">
        <v>502</v>
      </c>
      <c r="H3356" t="s">
        <v>8788</v>
      </c>
      <c r="I3356" t="s">
        <v>1131</v>
      </c>
      <c r="J3356" t="s">
        <v>1497</v>
      </c>
      <c r="K3356" t="s">
        <v>1641</v>
      </c>
      <c r="L3356">
        <v>10460</v>
      </c>
      <c r="M3356" t="s">
        <v>1670</v>
      </c>
      <c r="P3356" t="s">
        <v>1692</v>
      </c>
      <c r="Q3356" t="s">
        <v>1939</v>
      </c>
      <c r="R3356" t="s">
        <v>1960</v>
      </c>
      <c r="T3356" t="s">
        <v>1670</v>
      </c>
      <c r="V3356" t="s">
        <v>1972</v>
      </c>
      <c r="X3356" t="s">
        <v>283</v>
      </c>
      <c r="Y3356">
        <v>792</v>
      </c>
      <c r="Z3356" t="s">
        <v>2006</v>
      </c>
      <c r="AA3356" t="s">
        <v>2015</v>
      </c>
      <c r="AC3356" t="s">
        <v>15642</v>
      </c>
      <c r="AE3356">
        <v>168</v>
      </c>
      <c r="AF3356" t="s">
        <v>2907</v>
      </c>
      <c r="AG3356" t="s">
        <v>2017</v>
      </c>
      <c r="AH3356">
        <v>3</v>
      </c>
      <c r="AI3356">
        <v>1</v>
      </c>
      <c r="AJ3356">
        <v>1</v>
      </c>
      <c r="AK3356">
        <v>150.04</v>
      </c>
      <c r="AN3356" t="s">
        <v>2926</v>
      </c>
      <c r="AO3356">
        <v>24696</v>
      </c>
      <c r="AU3356" t="s">
        <v>13051</v>
      </c>
      <c r="AW3356" t="s">
        <v>3046</v>
      </c>
    </row>
    <row r="3357" spans="1:49">
      <c r="A3357" s="1" t="s">
        <v>50</v>
      </c>
      <c r="B3357" t="s">
        <v>95</v>
      </c>
      <c r="C3357" t="s">
        <v>163</v>
      </c>
      <c r="D3357" t="s">
        <v>6659</v>
      </c>
      <c r="E3357" t="s">
        <v>404</v>
      </c>
      <c r="G3357" t="s">
        <v>438</v>
      </c>
      <c r="H3357" t="s">
        <v>1078</v>
      </c>
      <c r="I3357" t="s">
        <v>9768</v>
      </c>
      <c r="J3357">
        <v>315</v>
      </c>
      <c r="K3357" t="s">
        <v>1641</v>
      </c>
      <c r="L3357">
        <v>10457</v>
      </c>
      <c r="M3357" t="s">
        <v>1670</v>
      </c>
      <c r="Q3357" t="s">
        <v>1675</v>
      </c>
      <c r="R3357" t="s">
        <v>1962</v>
      </c>
      <c r="T3357" t="s">
        <v>1671</v>
      </c>
      <c r="V3357" t="s">
        <v>1972</v>
      </c>
      <c r="X3357" t="s">
        <v>1991</v>
      </c>
      <c r="Y3357">
        <v>1257</v>
      </c>
      <c r="Z3357" t="s">
        <v>2006</v>
      </c>
      <c r="AA3357" t="s">
        <v>2015</v>
      </c>
      <c r="AC3357" t="s">
        <v>15643</v>
      </c>
      <c r="AE3357" t="s">
        <v>13051</v>
      </c>
      <c r="AF3357" t="s">
        <v>2902</v>
      </c>
      <c r="AG3357" t="s">
        <v>1754</v>
      </c>
      <c r="AH3357">
        <v>8</v>
      </c>
      <c r="AI3357">
        <v>1</v>
      </c>
      <c r="AJ3357">
        <v>1</v>
      </c>
      <c r="AK3357">
        <v>153.76</v>
      </c>
      <c r="AN3357" t="s">
        <v>2927</v>
      </c>
      <c r="AO3357">
        <v>26000</v>
      </c>
      <c r="AU3357">
        <v>1</v>
      </c>
      <c r="AV3357" t="s">
        <v>249</v>
      </c>
      <c r="AW3357" t="s">
        <v>95</v>
      </c>
    </row>
    <row r="3358" spans="1:49">
      <c r="A3358" s="1" t="s">
        <v>50</v>
      </c>
      <c r="B3358" t="s">
        <v>57</v>
      </c>
      <c r="C3358" t="s">
        <v>163</v>
      </c>
      <c r="D3358" t="s">
        <v>6660</v>
      </c>
      <c r="E3358" t="s">
        <v>182</v>
      </c>
      <c r="G3358" t="s">
        <v>9331</v>
      </c>
      <c r="H3358" t="s">
        <v>10896</v>
      </c>
      <c r="I3358" t="s">
        <v>1112</v>
      </c>
      <c r="J3358" t="s">
        <v>11012</v>
      </c>
      <c r="K3358" t="s">
        <v>1641</v>
      </c>
      <c r="L3358">
        <v>10453</v>
      </c>
      <c r="M3358" t="s">
        <v>1670</v>
      </c>
      <c r="Q3358" t="s">
        <v>1938</v>
      </c>
      <c r="R3358" t="s">
        <v>1961</v>
      </c>
      <c r="T3358" t="s">
        <v>1670</v>
      </c>
      <c r="V3358" t="s">
        <v>1972</v>
      </c>
      <c r="X3358" t="s">
        <v>283</v>
      </c>
      <c r="Y3358">
        <v>781.77</v>
      </c>
      <c r="Z3358" t="s">
        <v>2006</v>
      </c>
      <c r="AA3358" t="s">
        <v>2015</v>
      </c>
      <c r="AC3358" t="s">
        <v>15644</v>
      </c>
      <c r="AE3358">
        <v>170</v>
      </c>
      <c r="AF3358" t="s">
        <v>2902</v>
      </c>
      <c r="AH3358">
        <v>12</v>
      </c>
      <c r="AI3358">
        <v>1</v>
      </c>
      <c r="AJ3358">
        <v>1</v>
      </c>
      <c r="AK3358">
        <v>153.76</v>
      </c>
      <c r="AN3358" t="s">
        <v>2927</v>
      </c>
      <c r="AO3358">
        <v>26000</v>
      </c>
      <c r="AU3358" t="s">
        <v>13051</v>
      </c>
      <c r="AW3358" t="s">
        <v>76</v>
      </c>
    </row>
    <row r="3359" spans="1:49">
      <c r="A3359" s="1" t="s">
        <v>50</v>
      </c>
      <c r="B3359" t="s">
        <v>57</v>
      </c>
      <c r="C3359" t="s">
        <v>163</v>
      </c>
      <c r="D3359" t="s">
        <v>6661</v>
      </c>
      <c r="E3359" t="s">
        <v>182</v>
      </c>
      <c r="G3359" t="s">
        <v>9331</v>
      </c>
      <c r="H3359" t="s">
        <v>10896</v>
      </c>
      <c r="I3359" t="s">
        <v>1112</v>
      </c>
      <c r="J3359" t="s">
        <v>11012</v>
      </c>
      <c r="K3359" t="s">
        <v>1641</v>
      </c>
      <c r="L3359">
        <v>10453</v>
      </c>
      <c r="M3359" t="s">
        <v>1670</v>
      </c>
      <c r="P3359" t="s">
        <v>1677</v>
      </c>
      <c r="Q3359" t="s">
        <v>1939</v>
      </c>
      <c r="R3359" t="s">
        <v>1960</v>
      </c>
      <c r="T3359" t="s">
        <v>1670</v>
      </c>
      <c r="V3359" t="s">
        <v>1972</v>
      </c>
      <c r="X3359" t="s">
        <v>283</v>
      </c>
      <c r="Y3359">
        <v>781.77</v>
      </c>
      <c r="Z3359" t="s">
        <v>2006</v>
      </c>
      <c r="AA3359" t="s">
        <v>2015</v>
      </c>
      <c r="AC3359" t="s">
        <v>15644</v>
      </c>
      <c r="AE3359">
        <v>170</v>
      </c>
      <c r="AF3359" t="s">
        <v>2902</v>
      </c>
      <c r="AH3359">
        <v>12</v>
      </c>
      <c r="AI3359">
        <v>1</v>
      </c>
      <c r="AJ3359">
        <v>1</v>
      </c>
      <c r="AK3359">
        <v>153.76</v>
      </c>
      <c r="AN3359" t="s">
        <v>2927</v>
      </c>
      <c r="AO3359">
        <v>26000</v>
      </c>
      <c r="AU3359" t="s">
        <v>13051</v>
      </c>
      <c r="AW3359" t="s">
        <v>76</v>
      </c>
    </row>
    <row r="3360" spans="1:49">
      <c r="A3360" s="1" t="s">
        <v>50</v>
      </c>
      <c r="B3360" t="s">
        <v>3158</v>
      </c>
      <c r="C3360" t="s">
        <v>164</v>
      </c>
      <c r="D3360" t="s">
        <v>6662</v>
      </c>
      <c r="E3360" t="s">
        <v>314</v>
      </c>
      <c r="F3360" t="s">
        <v>349</v>
      </c>
      <c r="G3360" t="s">
        <v>427</v>
      </c>
      <c r="H3360" t="s">
        <v>10897</v>
      </c>
      <c r="I3360" t="s">
        <v>11711</v>
      </c>
      <c r="J3360" t="s">
        <v>11118</v>
      </c>
      <c r="K3360" t="s">
        <v>1643</v>
      </c>
      <c r="L3360">
        <v>10034</v>
      </c>
      <c r="M3360" t="s">
        <v>1670</v>
      </c>
      <c r="Q3360" t="s">
        <v>1941</v>
      </c>
      <c r="R3360" t="s">
        <v>1958</v>
      </c>
      <c r="S3360" t="s">
        <v>1965</v>
      </c>
      <c r="T3360" t="s">
        <v>1671</v>
      </c>
      <c r="V3360" t="s">
        <v>1972</v>
      </c>
      <c r="X3360" t="s">
        <v>314</v>
      </c>
      <c r="Y3360">
        <v>1450</v>
      </c>
      <c r="Z3360" t="s">
        <v>2008</v>
      </c>
      <c r="AA3360" t="s">
        <v>2015</v>
      </c>
      <c r="AB3360" t="s">
        <v>2029</v>
      </c>
      <c r="AC3360" t="s">
        <v>15645</v>
      </c>
      <c r="AE3360">
        <v>57</v>
      </c>
      <c r="AF3360" t="s">
        <v>2902</v>
      </c>
      <c r="AG3360" t="s">
        <v>1754</v>
      </c>
      <c r="AH3360">
        <v>6</v>
      </c>
      <c r="AI3360">
        <v>4</v>
      </c>
      <c r="AJ3360">
        <v>1</v>
      </c>
      <c r="AK3360">
        <v>156.52</v>
      </c>
      <c r="AN3360" t="s">
        <v>2927</v>
      </c>
      <c r="AO3360">
        <v>46048</v>
      </c>
      <c r="AU3360">
        <v>2.3</v>
      </c>
      <c r="AV3360" t="s">
        <v>173</v>
      </c>
      <c r="AW3360" t="s">
        <v>3042</v>
      </c>
    </row>
    <row r="3361" spans="1:49">
      <c r="A3361" s="1" t="s">
        <v>50</v>
      </c>
      <c r="B3361" t="s">
        <v>111</v>
      </c>
      <c r="C3361" t="s">
        <v>163</v>
      </c>
      <c r="D3361" t="s">
        <v>6663</v>
      </c>
      <c r="E3361" t="s">
        <v>381</v>
      </c>
      <c r="G3361" t="s">
        <v>9332</v>
      </c>
      <c r="H3361" t="s">
        <v>10898</v>
      </c>
      <c r="I3361" t="s">
        <v>11712</v>
      </c>
      <c r="J3361" t="s">
        <v>1475</v>
      </c>
      <c r="K3361" t="s">
        <v>1641</v>
      </c>
      <c r="L3361">
        <v>10451</v>
      </c>
      <c r="M3361" t="s">
        <v>1670</v>
      </c>
      <c r="Q3361" t="s">
        <v>1938</v>
      </c>
      <c r="R3361" t="s">
        <v>1962</v>
      </c>
      <c r="T3361" t="s">
        <v>1671</v>
      </c>
      <c r="V3361" t="s">
        <v>1972</v>
      </c>
      <c r="X3361" t="s">
        <v>381</v>
      </c>
      <c r="Y3361">
        <v>1600</v>
      </c>
      <c r="Z3361" t="s">
        <v>2006</v>
      </c>
      <c r="AA3361" t="s">
        <v>2015</v>
      </c>
      <c r="AC3361" t="s">
        <v>15646</v>
      </c>
      <c r="AE3361">
        <v>59</v>
      </c>
      <c r="AF3361" t="s">
        <v>2902</v>
      </c>
      <c r="AG3361" t="s">
        <v>1754</v>
      </c>
      <c r="AH3361">
        <v>3</v>
      </c>
      <c r="AI3361">
        <v>2</v>
      </c>
      <c r="AJ3361">
        <v>1</v>
      </c>
      <c r="AK3361">
        <v>170.65</v>
      </c>
      <c r="AN3361" t="s">
        <v>2927</v>
      </c>
      <c r="AO3361">
        <v>36400</v>
      </c>
      <c r="AU3361">
        <v>14</v>
      </c>
      <c r="AV3361" t="s">
        <v>7866</v>
      </c>
      <c r="AW3361" t="s">
        <v>115</v>
      </c>
    </row>
    <row r="3362" spans="1:49">
      <c r="A3362" s="1" t="s">
        <v>50</v>
      </c>
      <c r="B3362" t="s">
        <v>82</v>
      </c>
      <c r="C3362" t="s">
        <v>163</v>
      </c>
      <c r="D3362" t="s">
        <v>6664</v>
      </c>
      <c r="E3362" t="s">
        <v>324</v>
      </c>
      <c r="G3362" t="s">
        <v>465</v>
      </c>
      <c r="H3362" t="s">
        <v>10899</v>
      </c>
      <c r="I3362" t="s">
        <v>1144</v>
      </c>
      <c r="J3362" t="s">
        <v>11273</v>
      </c>
      <c r="K3362" t="s">
        <v>1644</v>
      </c>
      <c r="L3362">
        <v>11233</v>
      </c>
      <c r="M3362" t="s">
        <v>1670</v>
      </c>
      <c r="P3362" t="s">
        <v>1691</v>
      </c>
      <c r="Q3362" t="s">
        <v>1937</v>
      </c>
      <c r="R3362" t="s">
        <v>1962</v>
      </c>
      <c r="T3362" t="s">
        <v>1670</v>
      </c>
      <c r="V3362" t="s">
        <v>1972</v>
      </c>
      <c r="W3362" t="s">
        <v>1984</v>
      </c>
      <c r="X3362" t="s">
        <v>221</v>
      </c>
      <c r="Y3362">
        <v>1200</v>
      </c>
      <c r="Z3362" t="s">
        <v>2009</v>
      </c>
      <c r="AC3362" t="s">
        <v>15647</v>
      </c>
      <c r="AE3362">
        <v>359</v>
      </c>
      <c r="AF3362" t="s">
        <v>2902</v>
      </c>
      <c r="AG3362" t="s">
        <v>1754</v>
      </c>
      <c r="AH3362">
        <v>10</v>
      </c>
      <c r="AI3362">
        <v>3</v>
      </c>
      <c r="AJ3362">
        <v>1</v>
      </c>
      <c r="AK3362">
        <v>174.76</v>
      </c>
      <c r="AN3362" t="s">
        <v>2926</v>
      </c>
      <c r="AO3362">
        <v>45000</v>
      </c>
      <c r="AP3362" t="s">
        <v>18402</v>
      </c>
      <c r="AU3362" t="s">
        <v>13051</v>
      </c>
      <c r="AW3362" t="s">
        <v>3060</v>
      </c>
    </row>
    <row r="3363" spans="1:49">
      <c r="A3363" s="1" t="s">
        <v>50</v>
      </c>
      <c r="B3363" t="s">
        <v>82</v>
      </c>
      <c r="C3363" t="s">
        <v>163</v>
      </c>
      <c r="D3363" t="s">
        <v>6665</v>
      </c>
      <c r="E3363" t="s">
        <v>210</v>
      </c>
      <c r="G3363" t="s">
        <v>465</v>
      </c>
      <c r="H3363" t="s">
        <v>10899</v>
      </c>
      <c r="I3363" t="s">
        <v>1144</v>
      </c>
      <c r="J3363" t="s">
        <v>11273</v>
      </c>
      <c r="K3363" t="s">
        <v>1644</v>
      </c>
      <c r="L3363">
        <v>11233</v>
      </c>
      <c r="M3363" t="s">
        <v>1670</v>
      </c>
      <c r="Q3363" t="s">
        <v>1938</v>
      </c>
      <c r="R3363" t="s">
        <v>1961</v>
      </c>
      <c r="T3363" t="s">
        <v>1670</v>
      </c>
      <c r="V3363" t="s">
        <v>1972</v>
      </c>
      <c r="W3363" t="s">
        <v>1984</v>
      </c>
      <c r="X3363" t="s">
        <v>248</v>
      </c>
      <c r="Y3363">
        <v>1200</v>
      </c>
      <c r="Z3363" t="s">
        <v>2009</v>
      </c>
      <c r="AA3363" t="s">
        <v>2017</v>
      </c>
      <c r="AC3363" t="s">
        <v>15647</v>
      </c>
      <c r="AE3363">
        <v>359</v>
      </c>
      <c r="AF3363" t="s">
        <v>2902</v>
      </c>
      <c r="AG3363" t="s">
        <v>1754</v>
      </c>
      <c r="AH3363">
        <v>10</v>
      </c>
      <c r="AI3363">
        <v>3</v>
      </c>
      <c r="AJ3363">
        <v>1</v>
      </c>
      <c r="AK3363">
        <v>174.76</v>
      </c>
      <c r="AN3363" t="s">
        <v>2926</v>
      </c>
      <c r="AO3363">
        <v>45000</v>
      </c>
      <c r="AP3363" t="s">
        <v>18071</v>
      </c>
      <c r="AU3363" t="s">
        <v>13051</v>
      </c>
      <c r="AW3363" t="s">
        <v>3059</v>
      </c>
    </row>
    <row r="3364" spans="1:49">
      <c r="A3364" s="1" t="s">
        <v>50</v>
      </c>
      <c r="B3364" t="s">
        <v>82</v>
      </c>
      <c r="C3364" t="s">
        <v>163</v>
      </c>
      <c r="D3364" t="s">
        <v>6666</v>
      </c>
      <c r="E3364" t="s">
        <v>239</v>
      </c>
      <c r="G3364" t="s">
        <v>6889</v>
      </c>
      <c r="H3364" t="s">
        <v>8015</v>
      </c>
      <c r="I3364" t="s">
        <v>1144</v>
      </c>
      <c r="J3364" t="s">
        <v>11809</v>
      </c>
      <c r="K3364" t="s">
        <v>1644</v>
      </c>
      <c r="L3364">
        <v>11233</v>
      </c>
      <c r="M3364" t="s">
        <v>1670</v>
      </c>
      <c r="Q3364" t="s">
        <v>1937</v>
      </c>
      <c r="R3364" t="s">
        <v>1962</v>
      </c>
      <c r="T3364" t="s">
        <v>1670</v>
      </c>
      <c r="V3364" t="s">
        <v>1972</v>
      </c>
      <c r="W3364" t="s">
        <v>1984</v>
      </c>
      <c r="X3364" t="s">
        <v>221</v>
      </c>
      <c r="Y3364">
        <v>1059</v>
      </c>
      <c r="Z3364" t="s">
        <v>2009</v>
      </c>
      <c r="AA3364" t="s">
        <v>2017</v>
      </c>
      <c r="AC3364" t="s">
        <v>15046</v>
      </c>
      <c r="AE3364">
        <v>359</v>
      </c>
      <c r="AF3364" t="s">
        <v>2902</v>
      </c>
      <c r="AH3364">
        <v>39</v>
      </c>
      <c r="AI3364">
        <v>2</v>
      </c>
      <c r="AJ3364">
        <v>1</v>
      </c>
      <c r="AK3364">
        <v>178.15</v>
      </c>
      <c r="AN3364" t="s">
        <v>2926</v>
      </c>
      <c r="AO3364">
        <v>38000</v>
      </c>
      <c r="AP3364" t="s">
        <v>18403</v>
      </c>
      <c r="AU3364" t="s">
        <v>13051</v>
      </c>
      <c r="AW3364" t="s">
        <v>3059</v>
      </c>
    </row>
    <row r="3365" spans="1:49">
      <c r="A3365" s="1" t="s">
        <v>50</v>
      </c>
      <c r="B3365" t="s">
        <v>82</v>
      </c>
      <c r="C3365" t="s">
        <v>163</v>
      </c>
      <c r="D3365" t="s">
        <v>6667</v>
      </c>
      <c r="E3365" t="s">
        <v>239</v>
      </c>
      <c r="G3365" t="s">
        <v>6889</v>
      </c>
      <c r="H3365" t="s">
        <v>8015</v>
      </c>
      <c r="I3365" t="s">
        <v>1144</v>
      </c>
      <c r="J3365" t="s">
        <v>11809</v>
      </c>
      <c r="K3365" t="s">
        <v>1644</v>
      </c>
      <c r="L3365">
        <v>11233</v>
      </c>
      <c r="M3365" t="s">
        <v>1670</v>
      </c>
      <c r="Q3365" t="s">
        <v>1938</v>
      </c>
      <c r="R3365" t="s">
        <v>1961</v>
      </c>
      <c r="T3365" t="s">
        <v>1670</v>
      </c>
      <c r="V3365" t="s">
        <v>1972</v>
      </c>
      <c r="W3365" t="s">
        <v>1984</v>
      </c>
      <c r="X3365" t="s">
        <v>248</v>
      </c>
      <c r="Y3365">
        <v>1059</v>
      </c>
      <c r="Z3365" t="s">
        <v>2009</v>
      </c>
      <c r="AA3365" t="s">
        <v>2017</v>
      </c>
      <c r="AC3365" t="s">
        <v>15046</v>
      </c>
      <c r="AE3365">
        <v>359</v>
      </c>
      <c r="AF3365" t="s">
        <v>2902</v>
      </c>
      <c r="AH3365">
        <v>39</v>
      </c>
      <c r="AI3365">
        <v>2</v>
      </c>
      <c r="AJ3365">
        <v>1</v>
      </c>
      <c r="AK3365">
        <v>178.15</v>
      </c>
      <c r="AN3365" t="s">
        <v>2926</v>
      </c>
      <c r="AO3365">
        <v>38000</v>
      </c>
      <c r="AP3365" t="s">
        <v>18139</v>
      </c>
      <c r="AU3365" t="s">
        <v>13051</v>
      </c>
      <c r="AW3365" t="s">
        <v>3059</v>
      </c>
    </row>
    <row r="3366" spans="1:49">
      <c r="A3366" s="1" t="s">
        <v>50</v>
      </c>
      <c r="B3366" t="s">
        <v>82</v>
      </c>
      <c r="C3366" t="s">
        <v>163</v>
      </c>
      <c r="D3366" t="s">
        <v>6668</v>
      </c>
      <c r="E3366" t="s">
        <v>256</v>
      </c>
      <c r="G3366" t="s">
        <v>9333</v>
      </c>
      <c r="H3366" t="s">
        <v>10900</v>
      </c>
      <c r="I3366" t="s">
        <v>9482</v>
      </c>
      <c r="J3366" t="s">
        <v>1507</v>
      </c>
      <c r="K3366" t="s">
        <v>1644</v>
      </c>
      <c r="L3366">
        <v>11233</v>
      </c>
      <c r="M3366" t="s">
        <v>1670</v>
      </c>
      <c r="Q3366" t="s">
        <v>1937</v>
      </c>
      <c r="R3366" t="s">
        <v>1962</v>
      </c>
      <c r="T3366" t="s">
        <v>1670</v>
      </c>
      <c r="V3366" t="s">
        <v>1972</v>
      </c>
      <c r="W3366" t="s">
        <v>1984</v>
      </c>
      <c r="X3366" t="s">
        <v>221</v>
      </c>
      <c r="Y3366">
        <v>981.97</v>
      </c>
      <c r="Z3366" t="s">
        <v>2009</v>
      </c>
      <c r="AA3366" t="s">
        <v>2017</v>
      </c>
      <c r="AC3366" t="s">
        <v>15648</v>
      </c>
      <c r="AE3366">
        <v>359</v>
      </c>
      <c r="AF3366" t="s">
        <v>2902</v>
      </c>
      <c r="AH3366" t="s">
        <v>13051</v>
      </c>
      <c r="AI3366">
        <v>4</v>
      </c>
      <c r="AJ3366">
        <v>1</v>
      </c>
      <c r="AK3366">
        <v>178.99</v>
      </c>
      <c r="AN3366" t="s">
        <v>2929</v>
      </c>
      <c r="AO3366">
        <v>54000</v>
      </c>
      <c r="AP3366" t="s">
        <v>18404</v>
      </c>
      <c r="AU3366" t="s">
        <v>13051</v>
      </c>
      <c r="AW3366" t="s">
        <v>3059</v>
      </c>
    </row>
    <row r="3367" spans="1:49">
      <c r="A3367" s="1" t="s">
        <v>50</v>
      </c>
      <c r="B3367" t="s">
        <v>82</v>
      </c>
      <c r="C3367" t="s">
        <v>163</v>
      </c>
      <c r="D3367" t="s">
        <v>6669</v>
      </c>
      <c r="E3367" t="s">
        <v>256</v>
      </c>
      <c r="G3367" t="s">
        <v>9333</v>
      </c>
      <c r="H3367" t="s">
        <v>10900</v>
      </c>
      <c r="I3367" t="s">
        <v>9482</v>
      </c>
      <c r="J3367" t="s">
        <v>1507</v>
      </c>
      <c r="K3367" t="s">
        <v>1644</v>
      </c>
      <c r="L3367">
        <v>11233</v>
      </c>
      <c r="M3367" t="s">
        <v>1670</v>
      </c>
      <c r="Q3367" t="s">
        <v>1938</v>
      </c>
      <c r="R3367" t="s">
        <v>1961</v>
      </c>
      <c r="T3367" t="s">
        <v>1670</v>
      </c>
      <c r="V3367" t="s">
        <v>1972</v>
      </c>
      <c r="W3367" t="s">
        <v>1984</v>
      </c>
      <c r="X3367" t="s">
        <v>248</v>
      </c>
      <c r="Y3367">
        <v>981.97</v>
      </c>
      <c r="Z3367" t="s">
        <v>2009</v>
      </c>
      <c r="AA3367" t="s">
        <v>2017</v>
      </c>
      <c r="AC3367" t="s">
        <v>15648</v>
      </c>
      <c r="AE3367">
        <v>359</v>
      </c>
      <c r="AF3367" t="s">
        <v>2902</v>
      </c>
      <c r="AH3367" t="s">
        <v>13051</v>
      </c>
      <c r="AI3367">
        <v>4</v>
      </c>
      <c r="AJ3367">
        <v>1</v>
      </c>
      <c r="AK3367">
        <v>178.99</v>
      </c>
      <c r="AN3367" t="s">
        <v>2929</v>
      </c>
      <c r="AO3367">
        <v>54000</v>
      </c>
      <c r="AP3367" t="s">
        <v>18139</v>
      </c>
      <c r="AU3367" t="s">
        <v>13051</v>
      </c>
      <c r="AW3367" t="s">
        <v>3059</v>
      </c>
    </row>
    <row r="3368" spans="1:49">
      <c r="A3368" s="1" t="s">
        <v>50</v>
      </c>
      <c r="B3368" t="s">
        <v>96</v>
      </c>
      <c r="C3368" t="s">
        <v>163</v>
      </c>
      <c r="D3368" t="s">
        <v>6670</v>
      </c>
      <c r="E3368" t="s">
        <v>404</v>
      </c>
      <c r="G3368" t="s">
        <v>472</v>
      </c>
      <c r="H3368" t="s">
        <v>8697</v>
      </c>
      <c r="I3368" t="s">
        <v>11713</v>
      </c>
      <c r="K3368" t="s">
        <v>1644</v>
      </c>
      <c r="L3368">
        <v>11238</v>
      </c>
      <c r="M3368" t="s">
        <v>1670</v>
      </c>
      <c r="Q3368" t="s">
        <v>1939</v>
      </c>
      <c r="R3368" t="s">
        <v>1960</v>
      </c>
      <c r="V3368" t="s">
        <v>1972</v>
      </c>
      <c r="X3368" t="s">
        <v>404</v>
      </c>
      <c r="Y3368" t="s">
        <v>13051</v>
      </c>
      <c r="Z3368" t="s">
        <v>2009</v>
      </c>
      <c r="AC3368" t="s">
        <v>15649</v>
      </c>
      <c r="AE3368" t="s">
        <v>13051</v>
      </c>
      <c r="AH3368" t="s">
        <v>13051</v>
      </c>
      <c r="AI3368">
        <v>2</v>
      </c>
      <c r="AJ3368">
        <v>1</v>
      </c>
      <c r="AK3368">
        <v>187.53</v>
      </c>
      <c r="AN3368" t="s">
        <v>2926</v>
      </c>
      <c r="AO3368">
        <v>40000</v>
      </c>
      <c r="AU3368">
        <v>2.2</v>
      </c>
      <c r="AV3368" t="s">
        <v>404</v>
      </c>
      <c r="AW3368" t="s">
        <v>69</v>
      </c>
    </row>
    <row r="3369" spans="1:49">
      <c r="A3369" s="1" t="s">
        <v>50</v>
      </c>
      <c r="B3369" t="s">
        <v>96</v>
      </c>
      <c r="C3369" t="s">
        <v>163</v>
      </c>
      <c r="D3369" t="s">
        <v>6671</v>
      </c>
      <c r="E3369" t="s">
        <v>353</v>
      </c>
      <c r="G3369" t="s">
        <v>472</v>
      </c>
      <c r="H3369" t="s">
        <v>8697</v>
      </c>
      <c r="I3369" t="s">
        <v>11713</v>
      </c>
      <c r="K3369" t="s">
        <v>1644</v>
      </c>
      <c r="L3369">
        <v>11238</v>
      </c>
      <c r="M3369" t="s">
        <v>1670</v>
      </c>
      <c r="P3369" t="s">
        <v>13009</v>
      </c>
      <c r="Q3369" t="s">
        <v>1936</v>
      </c>
      <c r="R3369" t="s">
        <v>1960</v>
      </c>
      <c r="T3369" t="s">
        <v>1671</v>
      </c>
      <c r="V3369" t="s">
        <v>1972</v>
      </c>
      <c r="X3369" t="s">
        <v>236</v>
      </c>
      <c r="Y3369" t="s">
        <v>13051</v>
      </c>
      <c r="Z3369" t="s">
        <v>2009</v>
      </c>
      <c r="AA3369" t="s">
        <v>2020</v>
      </c>
      <c r="AC3369" t="s">
        <v>15649</v>
      </c>
      <c r="AE3369" t="s">
        <v>13051</v>
      </c>
      <c r="AF3369" t="s">
        <v>2909</v>
      </c>
      <c r="AH3369" t="s">
        <v>13051</v>
      </c>
      <c r="AI3369">
        <v>2</v>
      </c>
      <c r="AJ3369">
        <v>1</v>
      </c>
      <c r="AK3369">
        <v>187.53</v>
      </c>
      <c r="AN3369" t="s">
        <v>2926</v>
      </c>
      <c r="AO3369">
        <v>40000</v>
      </c>
      <c r="AU3369">
        <v>44</v>
      </c>
      <c r="AV3369" t="s">
        <v>404</v>
      </c>
      <c r="AW3369" t="s">
        <v>158</v>
      </c>
    </row>
    <row r="3370" spans="1:49">
      <c r="A3370" s="1" t="s">
        <v>50</v>
      </c>
      <c r="B3370" t="s">
        <v>82</v>
      </c>
      <c r="C3370" t="s">
        <v>163</v>
      </c>
      <c r="D3370" t="s">
        <v>6672</v>
      </c>
      <c r="E3370" t="s">
        <v>269</v>
      </c>
      <c r="G3370" t="s">
        <v>720</v>
      </c>
      <c r="H3370" t="s">
        <v>8145</v>
      </c>
      <c r="I3370" t="s">
        <v>1144</v>
      </c>
      <c r="J3370" t="s">
        <v>11810</v>
      </c>
      <c r="K3370" t="s">
        <v>1644</v>
      </c>
      <c r="L3370">
        <v>11233</v>
      </c>
      <c r="M3370" t="s">
        <v>1670</v>
      </c>
      <c r="Q3370" t="s">
        <v>1937</v>
      </c>
      <c r="R3370" t="s">
        <v>1962</v>
      </c>
      <c r="T3370" t="s">
        <v>1670</v>
      </c>
      <c r="V3370" t="s">
        <v>1972</v>
      </c>
      <c r="W3370" t="s">
        <v>1984</v>
      </c>
      <c r="X3370" t="s">
        <v>221</v>
      </c>
      <c r="Y3370">
        <v>981</v>
      </c>
      <c r="Z3370" t="s">
        <v>2009</v>
      </c>
      <c r="AC3370" t="s">
        <v>15650</v>
      </c>
      <c r="AE3370">
        <v>359</v>
      </c>
      <c r="AF3370" t="s">
        <v>2902</v>
      </c>
      <c r="AH3370">
        <v>20</v>
      </c>
      <c r="AI3370">
        <v>1</v>
      </c>
      <c r="AJ3370">
        <v>1</v>
      </c>
      <c r="AK3370">
        <v>189.24</v>
      </c>
      <c r="AN3370" t="s">
        <v>2926</v>
      </c>
      <c r="AO3370">
        <v>32000</v>
      </c>
      <c r="AP3370" t="s">
        <v>18405</v>
      </c>
      <c r="AU3370" t="s">
        <v>13051</v>
      </c>
      <c r="AW3370" t="s">
        <v>3060</v>
      </c>
    </row>
    <row r="3371" spans="1:49">
      <c r="A3371" s="1" t="s">
        <v>50</v>
      </c>
      <c r="B3371" t="s">
        <v>82</v>
      </c>
      <c r="C3371" t="s">
        <v>163</v>
      </c>
      <c r="D3371" t="s">
        <v>6673</v>
      </c>
      <c r="E3371" t="s">
        <v>269</v>
      </c>
      <c r="G3371" t="s">
        <v>720</v>
      </c>
      <c r="H3371" t="s">
        <v>8145</v>
      </c>
      <c r="I3371" t="s">
        <v>1144</v>
      </c>
      <c r="J3371" t="s">
        <v>11810</v>
      </c>
      <c r="K3371" t="s">
        <v>1644</v>
      </c>
      <c r="L3371">
        <v>11233</v>
      </c>
      <c r="M3371" t="s">
        <v>1670</v>
      </c>
      <c r="Q3371" t="s">
        <v>1938</v>
      </c>
      <c r="R3371" t="s">
        <v>1961</v>
      </c>
      <c r="T3371" t="s">
        <v>1670</v>
      </c>
      <c r="V3371" t="s">
        <v>1972</v>
      </c>
      <c r="W3371" t="s">
        <v>1984</v>
      </c>
      <c r="X3371" t="s">
        <v>248</v>
      </c>
      <c r="Y3371">
        <v>981</v>
      </c>
      <c r="Z3371" t="s">
        <v>2009</v>
      </c>
      <c r="AA3371" t="s">
        <v>2025</v>
      </c>
      <c r="AC3371" t="s">
        <v>15650</v>
      </c>
      <c r="AE3371">
        <v>359</v>
      </c>
      <c r="AF3371" t="s">
        <v>2902</v>
      </c>
      <c r="AH3371">
        <v>20</v>
      </c>
      <c r="AI3371">
        <v>1</v>
      </c>
      <c r="AJ3371">
        <v>1</v>
      </c>
      <c r="AK3371">
        <v>189.24</v>
      </c>
      <c r="AN3371" t="s">
        <v>2926</v>
      </c>
      <c r="AO3371">
        <v>32000</v>
      </c>
      <c r="AP3371" t="s">
        <v>18094</v>
      </c>
      <c r="AU3371" t="s">
        <v>13051</v>
      </c>
      <c r="AW3371" t="s">
        <v>3060</v>
      </c>
    </row>
    <row r="3372" spans="1:49">
      <c r="A3372" s="1" t="s">
        <v>50</v>
      </c>
      <c r="B3372" t="s">
        <v>126</v>
      </c>
      <c r="C3372" t="s">
        <v>163</v>
      </c>
      <c r="D3372" t="s">
        <v>6674</v>
      </c>
      <c r="E3372" t="s">
        <v>381</v>
      </c>
      <c r="G3372" t="s">
        <v>9334</v>
      </c>
      <c r="H3372" t="s">
        <v>10901</v>
      </c>
      <c r="I3372" t="s">
        <v>11714</v>
      </c>
      <c r="J3372" t="s">
        <v>1622</v>
      </c>
      <c r="K3372" t="s">
        <v>1641</v>
      </c>
      <c r="L3372">
        <v>10453</v>
      </c>
      <c r="M3372" t="s">
        <v>1670</v>
      </c>
      <c r="Q3372" t="s">
        <v>1936</v>
      </c>
      <c r="R3372" t="s">
        <v>1958</v>
      </c>
      <c r="V3372" t="s">
        <v>1972</v>
      </c>
      <c r="X3372" t="s">
        <v>1991</v>
      </c>
      <c r="Y3372">
        <v>1098</v>
      </c>
      <c r="Z3372" t="s">
        <v>2006</v>
      </c>
      <c r="AC3372" t="s">
        <v>15651</v>
      </c>
      <c r="AE3372" t="s">
        <v>13051</v>
      </c>
      <c r="AH3372">
        <v>6</v>
      </c>
      <c r="AI3372">
        <v>2</v>
      </c>
      <c r="AJ3372">
        <v>1</v>
      </c>
      <c r="AK3372">
        <v>195.03</v>
      </c>
      <c r="AN3372" t="s">
        <v>2926</v>
      </c>
      <c r="AO3372">
        <v>41600</v>
      </c>
      <c r="AU3372" t="s">
        <v>13051</v>
      </c>
      <c r="AW3372" t="s">
        <v>126</v>
      </c>
    </row>
    <row r="3373" spans="1:49">
      <c r="A3373" s="1" t="s">
        <v>51</v>
      </c>
      <c r="B3373" t="s">
        <v>151</v>
      </c>
      <c r="C3373" t="s">
        <v>163</v>
      </c>
      <c r="D3373" t="s">
        <v>6675</v>
      </c>
      <c r="E3373" t="s">
        <v>334</v>
      </c>
      <c r="G3373" t="s">
        <v>9335</v>
      </c>
      <c r="H3373" t="s">
        <v>10902</v>
      </c>
      <c r="I3373" t="s">
        <v>11715</v>
      </c>
      <c r="K3373" t="s">
        <v>1668</v>
      </c>
      <c r="L3373">
        <v>11367</v>
      </c>
      <c r="M3373" t="s">
        <v>1670</v>
      </c>
      <c r="Q3373" t="s">
        <v>1675</v>
      </c>
      <c r="R3373" t="s">
        <v>1958</v>
      </c>
      <c r="T3373" t="s">
        <v>1671</v>
      </c>
      <c r="V3373" t="s">
        <v>1972</v>
      </c>
      <c r="X3373" t="s">
        <v>404</v>
      </c>
      <c r="Y3373">
        <v>1900</v>
      </c>
      <c r="Z3373" t="s">
        <v>2007</v>
      </c>
      <c r="AA3373" t="s">
        <v>2012</v>
      </c>
      <c r="AC3373" t="s">
        <v>15652</v>
      </c>
      <c r="AE3373">
        <v>2</v>
      </c>
      <c r="AF3373" t="s">
        <v>2903</v>
      </c>
      <c r="AG3373" t="s">
        <v>1754</v>
      </c>
      <c r="AH3373">
        <v>4</v>
      </c>
      <c r="AI3373">
        <v>1</v>
      </c>
      <c r="AJ3373">
        <v>2</v>
      </c>
      <c r="AK3373">
        <v>0</v>
      </c>
      <c r="AL3373" t="s">
        <v>2923</v>
      </c>
      <c r="AM3373" t="s">
        <v>2924</v>
      </c>
      <c r="AN3373" t="s">
        <v>2933</v>
      </c>
      <c r="AO3373" t="s">
        <v>13051</v>
      </c>
      <c r="AU3373">
        <v>3.6</v>
      </c>
      <c r="AV3373" t="s">
        <v>333</v>
      </c>
      <c r="AW3373" t="s">
        <v>151</v>
      </c>
    </row>
    <row r="3374" spans="1:49">
      <c r="A3374" s="1" t="s">
        <v>50</v>
      </c>
      <c r="B3374" t="s">
        <v>59</v>
      </c>
      <c r="C3374" t="s">
        <v>164</v>
      </c>
      <c r="D3374" t="s">
        <v>6676</v>
      </c>
      <c r="E3374" t="s">
        <v>280</v>
      </c>
      <c r="F3374" t="s">
        <v>242</v>
      </c>
      <c r="G3374" t="s">
        <v>9336</v>
      </c>
      <c r="H3374" t="s">
        <v>813</v>
      </c>
      <c r="I3374" t="s">
        <v>11716</v>
      </c>
      <c r="J3374">
        <v>36</v>
      </c>
      <c r="K3374" t="s">
        <v>1641</v>
      </c>
      <c r="L3374">
        <v>10460</v>
      </c>
      <c r="M3374" t="s">
        <v>1670</v>
      </c>
      <c r="P3374" t="s">
        <v>13010</v>
      </c>
      <c r="Q3374" t="s">
        <v>1936</v>
      </c>
      <c r="R3374" t="s">
        <v>1958</v>
      </c>
      <c r="S3374" t="s">
        <v>1965</v>
      </c>
      <c r="T3374" t="s">
        <v>1671</v>
      </c>
      <c r="V3374" t="s">
        <v>1972</v>
      </c>
      <c r="W3374" t="s">
        <v>1983</v>
      </c>
      <c r="X3374" t="s">
        <v>216</v>
      </c>
      <c r="Y3374">
        <v>1200</v>
      </c>
      <c r="Z3374" t="s">
        <v>2006</v>
      </c>
      <c r="AA3374" t="s">
        <v>13055</v>
      </c>
      <c r="AB3374" t="s">
        <v>2029</v>
      </c>
      <c r="AC3374" t="s">
        <v>15653</v>
      </c>
      <c r="AE3374">
        <v>36</v>
      </c>
      <c r="AF3374" t="s">
        <v>2902</v>
      </c>
      <c r="AG3374" t="s">
        <v>2918</v>
      </c>
      <c r="AH3374">
        <v>2</v>
      </c>
      <c r="AI3374">
        <v>1</v>
      </c>
      <c r="AJ3374">
        <v>2</v>
      </c>
      <c r="AK3374">
        <v>0</v>
      </c>
      <c r="AN3374" t="s">
        <v>2926</v>
      </c>
      <c r="AO3374" t="s">
        <v>13051</v>
      </c>
      <c r="AP3374" t="s">
        <v>18406</v>
      </c>
      <c r="AR3374" t="s">
        <v>2017</v>
      </c>
      <c r="AT3374" t="s">
        <v>3003</v>
      </c>
      <c r="AU3374">
        <v>2.85</v>
      </c>
      <c r="AV3374" t="s">
        <v>184</v>
      </c>
      <c r="AW3374" t="s">
        <v>3047</v>
      </c>
    </row>
    <row r="3375" spans="1:49">
      <c r="A3375" s="1" t="s">
        <v>50</v>
      </c>
      <c r="B3375" t="s">
        <v>115</v>
      </c>
      <c r="C3375" t="s">
        <v>164</v>
      </c>
      <c r="D3375" t="s">
        <v>6677</v>
      </c>
      <c r="E3375" t="s">
        <v>381</v>
      </c>
      <c r="F3375" t="s">
        <v>406</v>
      </c>
      <c r="G3375" t="s">
        <v>9337</v>
      </c>
      <c r="H3375" t="s">
        <v>848</v>
      </c>
      <c r="I3375" t="s">
        <v>1118</v>
      </c>
      <c r="J3375" t="s">
        <v>11811</v>
      </c>
      <c r="K3375" t="s">
        <v>1641</v>
      </c>
      <c r="L3375">
        <v>10452</v>
      </c>
      <c r="M3375" t="s">
        <v>1670</v>
      </c>
      <c r="Q3375" t="s">
        <v>1675</v>
      </c>
      <c r="R3375" t="s">
        <v>1962</v>
      </c>
      <c r="S3375" t="s">
        <v>1968</v>
      </c>
      <c r="T3375" t="s">
        <v>1671</v>
      </c>
      <c r="V3375" t="s">
        <v>1972</v>
      </c>
      <c r="X3375" t="s">
        <v>381</v>
      </c>
      <c r="Y3375">
        <v>1500</v>
      </c>
      <c r="Z3375" t="s">
        <v>2006</v>
      </c>
      <c r="AA3375" t="s">
        <v>2015</v>
      </c>
      <c r="AB3375" t="s">
        <v>2029</v>
      </c>
      <c r="AC3375" t="s">
        <v>15654</v>
      </c>
      <c r="AE3375">
        <v>59</v>
      </c>
      <c r="AF3375" t="s">
        <v>2902</v>
      </c>
      <c r="AG3375" t="s">
        <v>1754</v>
      </c>
      <c r="AH3375">
        <v>6</v>
      </c>
      <c r="AI3375">
        <v>1</v>
      </c>
      <c r="AJ3375">
        <v>2</v>
      </c>
      <c r="AK3375">
        <v>0</v>
      </c>
      <c r="AN3375" t="s">
        <v>2927</v>
      </c>
      <c r="AO3375" t="s">
        <v>13051</v>
      </c>
      <c r="AU3375">
        <v>1.3</v>
      </c>
      <c r="AV3375" t="s">
        <v>406</v>
      </c>
      <c r="AW3375" t="s">
        <v>115</v>
      </c>
    </row>
    <row r="3376" spans="1:49">
      <c r="A3376" s="1" t="s">
        <v>50</v>
      </c>
      <c r="B3376" t="s">
        <v>54</v>
      </c>
      <c r="C3376" t="s">
        <v>164</v>
      </c>
      <c r="D3376" t="s">
        <v>6678</v>
      </c>
      <c r="E3376" t="s">
        <v>213</v>
      </c>
      <c r="F3376" t="s">
        <v>392</v>
      </c>
      <c r="G3376" t="s">
        <v>7510</v>
      </c>
      <c r="H3376" t="s">
        <v>10903</v>
      </c>
      <c r="I3376" t="s">
        <v>11717</v>
      </c>
      <c r="J3376">
        <v>33</v>
      </c>
      <c r="K3376" t="s">
        <v>1643</v>
      </c>
      <c r="L3376">
        <v>10032</v>
      </c>
      <c r="M3376" t="s">
        <v>1670</v>
      </c>
      <c r="Q3376" t="s">
        <v>1941</v>
      </c>
      <c r="R3376" t="s">
        <v>1962</v>
      </c>
      <c r="S3376" t="s">
        <v>1968</v>
      </c>
      <c r="T3376" t="s">
        <v>1671</v>
      </c>
      <c r="V3376" t="s">
        <v>1972</v>
      </c>
      <c r="X3376" t="s">
        <v>213</v>
      </c>
      <c r="Y3376">
        <v>1721</v>
      </c>
      <c r="Z3376" t="s">
        <v>2008</v>
      </c>
      <c r="AA3376" t="s">
        <v>2013</v>
      </c>
      <c r="AB3376" t="s">
        <v>2030</v>
      </c>
      <c r="AC3376" t="s">
        <v>15655</v>
      </c>
      <c r="AE3376">
        <v>40</v>
      </c>
      <c r="AF3376" t="s">
        <v>2902</v>
      </c>
      <c r="AG3376" t="s">
        <v>1754</v>
      </c>
      <c r="AH3376">
        <v>18</v>
      </c>
      <c r="AI3376">
        <v>4</v>
      </c>
      <c r="AJ3376">
        <v>2</v>
      </c>
      <c r="AK3376">
        <v>0</v>
      </c>
      <c r="AN3376" t="s">
        <v>2927</v>
      </c>
      <c r="AO3376" t="s">
        <v>13051</v>
      </c>
      <c r="AU3376">
        <v>1</v>
      </c>
      <c r="AV3376" t="s">
        <v>213</v>
      </c>
      <c r="AW3376" t="s">
        <v>3042</v>
      </c>
    </row>
    <row r="3377" spans="1:49">
      <c r="A3377" s="1" t="s">
        <v>50</v>
      </c>
      <c r="B3377" t="s">
        <v>125</v>
      </c>
      <c r="C3377" t="s">
        <v>163</v>
      </c>
      <c r="D3377" t="s">
        <v>6679</v>
      </c>
      <c r="E3377" t="s">
        <v>313</v>
      </c>
      <c r="G3377" t="s">
        <v>9338</v>
      </c>
      <c r="H3377" t="s">
        <v>6952</v>
      </c>
      <c r="I3377" t="s">
        <v>9428</v>
      </c>
      <c r="J3377" t="s">
        <v>1490</v>
      </c>
      <c r="K3377" t="s">
        <v>1644</v>
      </c>
      <c r="L3377">
        <v>11226</v>
      </c>
      <c r="M3377" t="s">
        <v>1671</v>
      </c>
      <c r="Q3377" t="s">
        <v>1938</v>
      </c>
      <c r="R3377" t="s">
        <v>1959</v>
      </c>
      <c r="T3377" t="s">
        <v>1670</v>
      </c>
      <c r="V3377" t="s">
        <v>1972</v>
      </c>
      <c r="X3377" t="s">
        <v>307</v>
      </c>
      <c r="Y3377">
        <v>820</v>
      </c>
      <c r="Z3377" t="s">
        <v>2009</v>
      </c>
      <c r="AC3377" t="s">
        <v>15656</v>
      </c>
      <c r="AE3377" t="s">
        <v>13051</v>
      </c>
      <c r="AH3377">
        <v>32</v>
      </c>
      <c r="AI3377">
        <v>4</v>
      </c>
      <c r="AJ3377">
        <v>2</v>
      </c>
      <c r="AK3377">
        <v>0</v>
      </c>
      <c r="AN3377" t="s">
        <v>2926</v>
      </c>
      <c r="AO3377" t="s">
        <v>13051</v>
      </c>
      <c r="AU3377" t="s">
        <v>13051</v>
      </c>
      <c r="AW3377" t="s">
        <v>158</v>
      </c>
    </row>
    <row r="3378" spans="1:49">
      <c r="A3378" s="1" t="s">
        <v>50</v>
      </c>
      <c r="B3378" t="s">
        <v>62</v>
      </c>
      <c r="C3378" t="s">
        <v>163</v>
      </c>
      <c r="D3378" t="s">
        <v>6680</v>
      </c>
      <c r="E3378" t="s">
        <v>6178</v>
      </c>
      <c r="G3378" t="s">
        <v>9339</v>
      </c>
      <c r="H3378" t="s">
        <v>1065</v>
      </c>
      <c r="I3378" t="s">
        <v>9933</v>
      </c>
      <c r="J3378" t="s">
        <v>11100</v>
      </c>
      <c r="K3378" t="s">
        <v>1644</v>
      </c>
      <c r="L3378">
        <v>11226</v>
      </c>
      <c r="M3378" t="s">
        <v>1670</v>
      </c>
      <c r="Q3378" t="s">
        <v>1941</v>
      </c>
      <c r="R3378" t="s">
        <v>1959</v>
      </c>
      <c r="T3378" t="s">
        <v>1670</v>
      </c>
      <c r="V3378" t="s">
        <v>1972</v>
      </c>
      <c r="X3378" t="s">
        <v>247</v>
      </c>
      <c r="Y3378" t="s">
        <v>13051</v>
      </c>
      <c r="Z3378" t="s">
        <v>2009</v>
      </c>
      <c r="AA3378" t="s">
        <v>2020</v>
      </c>
      <c r="AC3378" t="s">
        <v>15657</v>
      </c>
      <c r="AE3378">
        <v>65</v>
      </c>
      <c r="AH3378" t="s">
        <v>13051</v>
      </c>
      <c r="AI3378">
        <v>2</v>
      </c>
      <c r="AJ3378">
        <v>2</v>
      </c>
      <c r="AK3378">
        <v>0</v>
      </c>
      <c r="AN3378" t="s">
        <v>2926</v>
      </c>
      <c r="AO3378" t="s">
        <v>13051</v>
      </c>
      <c r="AP3378" t="s">
        <v>18407</v>
      </c>
      <c r="AU3378">
        <v>2.05</v>
      </c>
      <c r="AV3378" t="s">
        <v>375</v>
      </c>
      <c r="AW3378" t="s">
        <v>3079</v>
      </c>
    </row>
    <row r="3379" spans="1:49">
      <c r="A3379" s="1" t="s">
        <v>50</v>
      </c>
      <c r="B3379" t="s">
        <v>57</v>
      </c>
      <c r="C3379" t="s">
        <v>163</v>
      </c>
      <c r="D3379" t="s">
        <v>6681</v>
      </c>
      <c r="E3379" t="s">
        <v>170</v>
      </c>
      <c r="G3379" t="s">
        <v>7293</v>
      </c>
      <c r="H3379" t="s">
        <v>8043</v>
      </c>
      <c r="I3379" t="s">
        <v>1112</v>
      </c>
      <c r="J3379" t="s">
        <v>1538</v>
      </c>
      <c r="K3379" t="s">
        <v>1641</v>
      </c>
      <c r="L3379">
        <v>10453</v>
      </c>
      <c r="M3379" t="s">
        <v>1670</v>
      </c>
      <c r="Q3379" t="s">
        <v>1938</v>
      </c>
      <c r="R3379" t="s">
        <v>1961</v>
      </c>
      <c r="T3379" t="s">
        <v>1670</v>
      </c>
      <c r="V3379" t="s">
        <v>1972</v>
      </c>
      <c r="X3379" t="s">
        <v>283</v>
      </c>
      <c r="Y3379">
        <v>1273</v>
      </c>
      <c r="Z3379" t="s">
        <v>2006</v>
      </c>
      <c r="AA3379" t="s">
        <v>2015</v>
      </c>
      <c r="AC3379" t="s">
        <v>13828</v>
      </c>
      <c r="AE3379">
        <v>167</v>
      </c>
      <c r="AF3379" t="s">
        <v>2902</v>
      </c>
      <c r="AG3379" t="s">
        <v>1754</v>
      </c>
      <c r="AH3379">
        <v>11</v>
      </c>
      <c r="AI3379">
        <v>2</v>
      </c>
      <c r="AJ3379">
        <v>2</v>
      </c>
      <c r="AK3379">
        <v>0</v>
      </c>
      <c r="AN3379" t="s">
        <v>2927</v>
      </c>
      <c r="AO3379" t="s">
        <v>13051</v>
      </c>
      <c r="AU3379" t="s">
        <v>13051</v>
      </c>
      <c r="AW3379" t="s">
        <v>3046</v>
      </c>
    </row>
    <row r="3380" spans="1:49">
      <c r="A3380" s="1" t="s">
        <v>50</v>
      </c>
      <c r="B3380" t="s">
        <v>62</v>
      </c>
      <c r="C3380" t="s">
        <v>163</v>
      </c>
      <c r="D3380" t="s">
        <v>6682</v>
      </c>
      <c r="E3380" t="s">
        <v>6190</v>
      </c>
      <c r="G3380" t="s">
        <v>530</v>
      </c>
      <c r="H3380" t="s">
        <v>10904</v>
      </c>
      <c r="I3380" t="s">
        <v>9451</v>
      </c>
      <c r="J3380" t="s">
        <v>11370</v>
      </c>
      <c r="K3380" t="s">
        <v>1644</v>
      </c>
      <c r="L3380">
        <v>11225</v>
      </c>
      <c r="M3380" t="s">
        <v>1670</v>
      </c>
      <c r="Q3380" t="s">
        <v>1939</v>
      </c>
      <c r="R3380" t="s">
        <v>1960</v>
      </c>
      <c r="T3380" t="s">
        <v>1670</v>
      </c>
      <c r="V3380" t="s">
        <v>1972</v>
      </c>
      <c r="X3380" t="s">
        <v>1992</v>
      </c>
      <c r="Y3380" t="s">
        <v>13051</v>
      </c>
      <c r="Z3380" t="s">
        <v>2009</v>
      </c>
      <c r="AA3380" t="s">
        <v>2015</v>
      </c>
      <c r="AC3380" t="s">
        <v>2373</v>
      </c>
      <c r="AE3380">
        <v>47</v>
      </c>
      <c r="AF3380" t="s">
        <v>2902</v>
      </c>
      <c r="AH3380">
        <v>41</v>
      </c>
      <c r="AI3380">
        <v>3</v>
      </c>
      <c r="AJ3380">
        <v>2</v>
      </c>
      <c r="AK3380">
        <v>0</v>
      </c>
      <c r="AN3380" t="s">
        <v>2926</v>
      </c>
      <c r="AO3380" t="s">
        <v>13051</v>
      </c>
      <c r="AU3380">
        <v>1.1</v>
      </c>
      <c r="AV3380" t="s">
        <v>223</v>
      </c>
      <c r="AW3380" t="s">
        <v>3079</v>
      </c>
    </row>
    <row r="3381" spans="1:49">
      <c r="A3381" s="1" t="s">
        <v>50</v>
      </c>
      <c r="B3381" t="s">
        <v>96</v>
      </c>
      <c r="C3381" t="s">
        <v>163</v>
      </c>
      <c r="D3381" t="s">
        <v>6683</v>
      </c>
      <c r="E3381" t="s">
        <v>369</v>
      </c>
      <c r="G3381" t="s">
        <v>546</v>
      </c>
      <c r="H3381" t="s">
        <v>7874</v>
      </c>
      <c r="I3381" t="s">
        <v>11718</v>
      </c>
      <c r="J3381" t="s">
        <v>1477</v>
      </c>
      <c r="K3381" t="s">
        <v>1644</v>
      </c>
      <c r="L3381">
        <v>11206</v>
      </c>
      <c r="M3381" t="s">
        <v>1670</v>
      </c>
      <c r="P3381" t="s">
        <v>13011</v>
      </c>
      <c r="Q3381" t="s">
        <v>1936</v>
      </c>
      <c r="R3381" t="s">
        <v>1960</v>
      </c>
      <c r="T3381" t="s">
        <v>1671</v>
      </c>
      <c r="V3381" t="s">
        <v>1972</v>
      </c>
      <c r="W3381" t="s">
        <v>1983</v>
      </c>
      <c r="X3381" t="s">
        <v>369</v>
      </c>
      <c r="Y3381" t="s">
        <v>13051</v>
      </c>
      <c r="Z3381" t="s">
        <v>2009</v>
      </c>
      <c r="AC3381" t="s">
        <v>15658</v>
      </c>
      <c r="AE3381" t="s">
        <v>13051</v>
      </c>
      <c r="AF3381" t="s">
        <v>2910</v>
      </c>
      <c r="AH3381">
        <v>3</v>
      </c>
      <c r="AI3381">
        <v>1</v>
      </c>
      <c r="AJ3381">
        <v>2</v>
      </c>
      <c r="AK3381">
        <v>0</v>
      </c>
      <c r="AN3381" t="s">
        <v>2926</v>
      </c>
      <c r="AO3381" t="s">
        <v>13051</v>
      </c>
      <c r="AU3381">
        <v>5.8</v>
      </c>
      <c r="AV3381" t="s">
        <v>346</v>
      </c>
      <c r="AW3381" t="s">
        <v>69</v>
      </c>
    </row>
    <row r="3382" spans="1:49">
      <c r="A3382" s="1" t="s">
        <v>50</v>
      </c>
      <c r="B3382" t="s">
        <v>96</v>
      </c>
      <c r="C3382" t="s">
        <v>163</v>
      </c>
      <c r="D3382" t="s">
        <v>6684</v>
      </c>
      <c r="E3382" t="s">
        <v>299</v>
      </c>
      <c r="G3382" t="s">
        <v>9338</v>
      </c>
      <c r="H3382" t="s">
        <v>6952</v>
      </c>
      <c r="I3382" t="s">
        <v>9428</v>
      </c>
      <c r="J3382" t="s">
        <v>1490</v>
      </c>
      <c r="K3382" t="s">
        <v>1644</v>
      </c>
      <c r="L3382">
        <v>11226</v>
      </c>
      <c r="M3382" t="s">
        <v>1670</v>
      </c>
      <c r="P3382" t="s">
        <v>12021</v>
      </c>
      <c r="Q3382" t="s">
        <v>1938</v>
      </c>
      <c r="R3382" t="s">
        <v>1961</v>
      </c>
      <c r="T3382" t="s">
        <v>1670</v>
      </c>
      <c r="V3382" t="s">
        <v>1972</v>
      </c>
      <c r="X3382" t="s">
        <v>223</v>
      </c>
      <c r="Y3382">
        <v>820</v>
      </c>
      <c r="Z3382" t="s">
        <v>2009</v>
      </c>
      <c r="AA3382" t="s">
        <v>2015</v>
      </c>
      <c r="AC3382" t="s">
        <v>15656</v>
      </c>
      <c r="AE3382">
        <v>43</v>
      </c>
      <c r="AF3382" t="s">
        <v>2902</v>
      </c>
      <c r="AH3382">
        <v>32</v>
      </c>
      <c r="AI3382">
        <v>4</v>
      </c>
      <c r="AJ3382">
        <v>2</v>
      </c>
      <c r="AK3382">
        <v>1.39</v>
      </c>
      <c r="AN3382" t="s">
        <v>2926</v>
      </c>
      <c r="AO3382">
        <v>468</v>
      </c>
      <c r="AQ3382" t="s">
        <v>2976</v>
      </c>
      <c r="AU3382">
        <v>0.1</v>
      </c>
      <c r="AV3382" t="s">
        <v>1999</v>
      </c>
      <c r="AW3382" t="s">
        <v>158</v>
      </c>
    </row>
    <row r="3383" spans="1:49">
      <c r="A3383" s="1" t="s">
        <v>51</v>
      </c>
      <c r="B3383" t="s">
        <v>90</v>
      </c>
      <c r="C3383" t="s">
        <v>164</v>
      </c>
      <c r="D3383" t="s">
        <v>6685</v>
      </c>
      <c r="E3383" t="s">
        <v>3038</v>
      </c>
      <c r="F3383" t="s">
        <v>269</v>
      </c>
      <c r="G3383" t="s">
        <v>542</v>
      </c>
      <c r="H3383" t="s">
        <v>959</v>
      </c>
      <c r="I3383" t="s">
        <v>11719</v>
      </c>
      <c r="J3383" t="s">
        <v>11812</v>
      </c>
      <c r="K3383" t="s">
        <v>1646</v>
      </c>
      <c r="L3383">
        <v>10309</v>
      </c>
      <c r="M3383" t="s">
        <v>1670</v>
      </c>
      <c r="P3383" t="s">
        <v>13012</v>
      </c>
      <c r="Q3383" t="s">
        <v>1936</v>
      </c>
      <c r="R3383" t="s">
        <v>1960</v>
      </c>
      <c r="S3383" t="s">
        <v>1965</v>
      </c>
      <c r="T3383" t="s">
        <v>1671</v>
      </c>
      <c r="V3383" t="s">
        <v>1972</v>
      </c>
      <c r="W3383" t="s">
        <v>1987</v>
      </c>
      <c r="X3383" t="s">
        <v>3038</v>
      </c>
      <c r="Y3383" t="s">
        <v>13051</v>
      </c>
      <c r="Z3383" t="s">
        <v>2010</v>
      </c>
      <c r="AA3383" t="s">
        <v>2012</v>
      </c>
      <c r="AB3383" t="s">
        <v>2029</v>
      </c>
      <c r="AC3383" t="s">
        <v>15659</v>
      </c>
      <c r="AE3383" t="s">
        <v>13051</v>
      </c>
      <c r="AH3383">
        <v>3</v>
      </c>
      <c r="AI3383">
        <v>1</v>
      </c>
      <c r="AJ3383">
        <v>2</v>
      </c>
      <c r="AK3383">
        <v>14.63</v>
      </c>
      <c r="AL3383" t="s">
        <v>2923</v>
      </c>
      <c r="AM3383" t="s">
        <v>2924</v>
      </c>
      <c r="AN3383" t="s">
        <v>2926</v>
      </c>
      <c r="AO3383">
        <v>3120</v>
      </c>
      <c r="AU3383">
        <v>1.1</v>
      </c>
      <c r="AV3383" t="s">
        <v>203</v>
      </c>
      <c r="AW3383" t="s">
        <v>90</v>
      </c>
    </row>
    <row r="3384" spans="1:49">
      <c r="A3384" s="1" t="s">
        <v>50</v>
      </c>
      <c r="B3384" t="s">
        <v>58</v>
      </c>
      <c r="C3384" t="s">
        <v>163</v>
      </c>
      <c r="D3384" t="s">
        <v>6686</v>
      </c>
      <c r="E3384" t="s">
        <v>171</v>
      </c>
      <c r="G3384" t="s">
        <v>463</v>
      </c>
      <c r="H3384" t="s">
        <v>10905</v>
      </c>
      <c r="I3384" t="s">
        <v>9662</v>
      </c>
      <c r="J3384" t="s">
        <v>1541</v>
      </c>
      <c r="K3384" t="s">
        <v>1641</v>
      </c>
      <c r="L3384">
        <v>10452</v>
      </c>
      <c r="M3384" t="s">
        <v>1670</v>
      </c>
      <c r="Q3384" t="s">
        <v>1938</v>
      </c>
      <c r="R3384" t="s">
        <v>1962</v>
      </c>
      <c r="T3384" t="s">
        <v>1670</v>
      </c>
      <c r="V3384" t="s">
        <v>1972</v>
      </c>
      <c r="X3384" t="s">
        <v>293</v>
      </c>
      <c r="Y3384">
        <v>1400</v>
      </c>
      <c r="Z3384" t="s">
        <v>2006</v>
      </c>
      <c r="AA3384" t="s">
        <v>2015</v>
      </c>
      <c r="AC3384" t="s">
        <v>15660</v>
      </c>
      <c r="AE3384">
        <v>41</v>
      </c>
      <c r="AF3384" t="s">
        <v>2902</v>
      </c>
      <c r="AG3384" t="s">
        <v>1754</v>
      </c>
      <c r="AH3384">
        <v>1</v>
      </c>
      <c r="AI3384">
        <v>1</v>
      </c>
      <c r="AJ3384">
        <v>2</v>
      </c>
      <c r="AK3384">
        <v>28.13</v>
      </c>
      <c r="AN3384" t="s">
        <v>2929</v>
      </c>
      <c r="AO3384">
        <v>6000</v>
      </c>
      <c r="AU3384" t="s">
        <v>13051</v>
      </c>
      <c r="AW3384" t="s">
        <v>3046</v>
      </c>
    </row>
    <row r="3385" spans="1:49">
      <c r="A3385" s="1" t="s">
        <v>50</v>
      </c>
      <c r="B3385" t="s">
        <v>115</v>
      </c>
      <c r="C3385" t="s">
        <v>163</v>
      </c>
      <c r="D3385" t="s">
        <v>6687</v>
      </c>
      <c r="E3385" t="s">
        <v>268</v>
      </c>
      <c r="G3385" t="s">
        <v>9340</v>
      </c>
      <c r="H3385" t="s">
        <v>8140</v>
      </c>
      <c r="I3385" t="s">
        <v>11720</v>
      </c>
      <c r="J3385" t="s">
        <v>11813</v>
      </c>
      <c r="K3385" t="s">
        <v>1641</v>
      </c>
      <c r="L3385">
        <v>10452</v>
      </c>
      <c r="M3385" t="s">
        <v>1670</v>
      </c>
      <c r="Q3385" t="s">
        <v>1675</v>
      </c>
      <c r="R3385" t="s">
        <v>1962</v>
      </c>
      <c r="T3385" t="s">
        <v>1671</v>
      </c>
      <c r="V3385" t="s">
        <v>1972</v>
      </c>
      <c r="X3385" t="s">
        <v>1991</v>
      </c>
      <c r="Y3385">
        <v>121</v>
      </c>
      <c r="Z3385" t="s">
        <v>2006</v>
      </c>
      <c r="AA3385" t="s">
        <v>2015</v>
      </c>
      <c r="AC3385" t="s">
        <v>15661</v>
      </c>
      <c r="AE3385">
        <v>57</v>
      </c>
      <c r="AF3385" t="s">
        <v>2902</v>
      </c>
      <c r="AG3385" t="s">
        <v>2915</v>
      </c>
      <c r="AH3385">
        <v>30</v>
      </c>
      <c r="AI3385">
        <v>2</v>
      </c>
      <c r="AJ3385">
        <v>2</v>
      </c>
      <c r="AK3385">
        <v>35.23</v>
      </c>
      <c r="AN3385" t="s">
        <v>2927</v>
      </c>
      <c r="AO3385">
        <v>9072</v>
      </c>
      <c r="AU3385">
        <v>1.2</v>
      </c>
      <c r="AV3385" t="s">
        <v>396</v>
      </c>
      <c r="AW3385" t="s">
        <v>115</v>
      </c>
    </row>
    <row r="3386" spans="1:49">
      <c r="A3386" s="1" t="s">
        <v>50</v>
      </c>
      <c r="B3386" t="s">
        <v>91</v>
      </c>
      <c r="C3386" t="s">
        <v>164</v>
      </c>
      <c r="D3386" t="s">
        <v>6688</v>
      </c>
      <c r="E3386" t="s">
        <v>318</v>
      </c>
      <c r="F3386" t="s">
        <v>309</v>
      </c>
      <c r="G3386" t="s">
        <v>6937</v>
      </c>
      <c r="H3386" t="s">
        <v>10906</v>
      </c>
      <c r="I3386" t="s">
        <v>11721</v>
      </c>
      <c r="J3386" t="s">
        <v>1570</v>
      </c>
      <c r="K3386" t="s">
        <v>1643</v>
      </c>
      <c r="L3386">
        <v>10034</v>
      </c>
      <c r="M3386" t="s">
        <v>1671</v>
      </c>
      <c r="R3386" t="s">
        <v>1958</v>
      </c>
      <c r="S3386" t="s">
        <v>1965</v>
      </c>
      <c r="T3386" t="s">
        <v>1671</v>
      </c>
      <c r="V3386" t="s">
        <v>1972</v>
      </c>
      <c r="X3386" t="s">
        <v>318</v>
      </c>
      <c r="Y3386">
        <v>927.11</v>
      </c>
      <c r="Z3386" t="s">
        <v>2008</v>
      </c>
      <c r="AA3386" t="s">
        <v>2013</v>
      </c>
      <c r="AB3386" t="s">
        <v>2029</v>
      </c>
      <c r="AC3386" t="s">
        <v>15662</v>
      </c>
      <c r="AE3386">
        <v>43</v>
      </c>
      <c r="AF3386" t="s">
        <v>2902</v>
      </c>
      <c r="AG3386" t="s">
        <v>1754</v>
      </c>
      <c r="AH3386">
        <v>20</v>
      </c>
      <c r="AI3386">
        <v>2</v>
      </c>
      <c r="AJ3386">
        <v>2</v>
      </c>
      <c r="AK3386">
        <v>41.43</v>
      </c>
      <c r="AN3386" t="s">
        <v>2927</v>
      </c>
      <c r="AO3386">
        <v>10400</v>
      </c>
      <c r="AU3386">
        <v>0.2</v>
      </c>
      <c r="AV3386" t="s">
        <v>377</v>
      </c>
      <c r="AW3386" t="s">
        <v>3042</v>
      </c>
    </row>
    <row r="3387" spans="1:49">
      <c r="A3387" s="1" t="s">
        <v>50</v>
      </c>
      <c r="B3387" t="s">
        <v>74</v>
      </c>
      <c r="C3387" t="s">
        <v>163</v>
      </c>
      <c r="D3387" t="s">
        <v>6689</v>
      </c>
      <c r="E3387" t="s">
        <v>214</v>
      </c>
      <c r="G3387" t="s">
        <v>724</v>
      </c>
      <c r="H3387" t="s">
        <v>959</v>
      </c>
      <c r="I3387" t="s">
        <v>10561</v>
      </c>
      <c r="J3387" t="s">
        <v>1517</v>
      </c>
      <c r="K3387" t="s">
        <v>1641</v>
      </c>
      <c r="L3387">
        <v>10452</v>
      </c>
      <c r="M3387" t="s">
        <v>1670</v>
      </c>
      <c r="P3387" t="s">
        <v>12981</v>
      </c>
      <c r="Q3387" t="s">
        <v>1936</v>
      </c>
      <c r="R3387" t="s">
        <v>1960</v>
      </c>
      <c r="T3387" t="s">
        <v>1671</v>
      </c>
      <c r="V3387" t="s">
        <v>1972</v>
      </c>
      <c r="X3387" t="s">
        <v>1991</v>
      </c>
      <c r="Y3387">
        <v>811.34</v>
      </c>
      <c r="Z3387" t="s">
        <v>2006</v>
      </c>
      <c r="AA3387" t="s">
        <v>2015</v>
      </c>
      <c r="AC3387" t="s">
        <v>15573</v>
      </c>
      <c r="AE3387">
        <v>33</v>
      </c>
      <c r="AF3387" t="s">
        <v>2902</v>
      </c>
      <c r="AG3387" t="s">
        <v>2017</v>
      </c>
      <c r="AH3387" t="s">
        <v>13051</v>
      </c>
      <c r="AI3387">
        <v>1</v>
      </c>
      <c r="AJ3387">
        <v>2</v>
      </c>
      <c r="AK3387">
        <v>42.33</v>
      </c>
      <c r="AN3387" t="s">
        <v>2927</v>
      </c>
      <c r="AO3387">
        <v>8796</v>
      </c>
      <c r="AU3387">
        <v>1.65</v>
      </c>
      <c r="AV3387" t="s">
        <v>310</v>
      </c>
      <c r="AW3387" t="s">
        <v>128</v>
      </c>
    </row>
    <row r="3388" spans="1:49">
      <c r="A3388" s="1" t="s">
        <v>50</v>
      </c>
      <c r="B3388" t="s">
        <v>82</v>
      </c>
      <c r="C3388" t="s">
        <v>163</v>
      </c>
      <c r="D3388" t="s">
        <v>6690</v>
      </c>
      <c r="E3388" t="s">
        <v>324</v>
      </c>
      <c r="G3388" t="s">
        <v>510</v>
      </c>
      <c r="H3388" t="s">
        <v>10907</v>
      </c>
      <c r="I3388" t="s">
        <v>1144</v>
      </c>
      <c r="J3388" t="s">
        <v>1594</v>
      </c>
      <c r="K3388" t="s">
        <v>1644</v>
      </c>
      <c r="L3388">
        <v>11233</v>
      </c>
      <c r="M3388" t="s">
        <v>1670</v>
      </c>
      <c r="P3388" t="s">
        <v>1754</v>
      </c>
      <c r="Q3388" t="s">
        <v>1937</v>
      </c>
      <c r="R3388" t="s">
        <v>1962</v>
      </c>
      <c r="T3388" t="s">
        <v>1670</v>
      </c>
      <c r="V3388" t="s">
        <v>1972</v>
      </c>
      <c r="W3388" t="s">
        <v>1984</v>
      </c>
      <c r="X3388" t="s">
        <v>221</v>
      </c>
      <c r="Y3388">
        <v>923</v>
      </c>
      <c r="Z3388" t="s">
        <v>2009</v>
      </c>
      <c r="AC3388" t="s">
        <v>15663</v>
      </c>
      <c r="AE3388">
        <v>359</v>
      </c>
      <c r="AF3388" t="s">
        <v>2902</v>
      </c>
      <c r="AG3388" t="s">
        <v>2915</v>
      </c>
      <c r="AH3388" t="s">
        <v>13051</v>
      </c>
      <c r="AI3388">
        <v>2</v>
      </c>
      <c r="AJ3388">
        <v>2</v>
      </c>
      <c r="AK3388">
        <v>43.01</v>
      </c>
      <c r="AN3388" t="s">
        <v>2926</v>
      </c>
      <c r="AO3388">
        <v>11076</v>
      </c>
      <c r="AP3388" t="s">
        <v>18408</v>
      </c>
      <c r="AU3388" t="s">
        <v>13051</v>
      </c>
      <c r="AW3388" t="s">
        <v>3060</v>
      </c>
    </row>
    <row r="3389" spans="1:49">
      <c r="A3389" s="1" t="s">
        <v>50</v>
      </c>
      <c r="B3389" t="s">
        <v>82</v>
      </c>
      <c r="C3389" t="s">
        <v>163</v>
      </c>
      <c r="D3389" t="s">
        <v>6691</v>
      </c>
      <c r="E3389" t="s">
        <v>210</v>
      </c>
      <c r="G3389" t="s">
        <v>510</v>
      </c>
      <c r="H3389" t="s">
        <v>10907</v>
      </c>
      <c r="I3389" t="s">
        <v>1144</v>
      </c>
      <c r="J3389" t="s">
        <v>1594</v>
      </c>
      <c r="K3389" t="s">
        <v>1644</v>
      </c>
      <c r="L3389">
        <v>11233</v>
      </c>
      <c r="M3389" t="s">
        <v>1670</v>
      </c>
      <c r="P3389" t="s">
        <v>1691</v>
      </c>
      <c r="Q3389" t="s">
        <v>1938</v>
      </c>
      <c r="R3389" t="s">
        <v>1961</v>
      </c>
      <c r="T3389" t="s">
        <v>1670</v>
      </c>
      <c r="V3389" t="s">
        <v>1972</v>
      </c>
      <c r="W3389" t="s">
        <v>1984</v>
      </c>
      <c r="X3389" t="s">
        <v>248</v>
      </c>
      <c r="Y3389">
        <v>923</v>
      </c>
      <c r="Z3389" t="s">
        <v>2009</v>
      </c>
      <c r="AC3389" t="s">
        <v>15663</v>
      </c>
      <c r="AE3389">
        <v>359</v>
      </c>
      <c r="AF3389" t="s">
        <v>2902</v>
      </c>
      <c r="AG3389" t="s">
        <v>2915</v>
      </c>
      <c r="AH3389" t="s">
        <v>13051</v>
      </c>
      <c r="AI3389">
        <v>2</v>
      </c>
      <c r="AJ3389">
        <v>2</v>
      </c>
      <c r="AK3389">
        <v>43.01</v>
      </c>
      <c r="AN3389" t="s">
        <v>2926</v>
      </c>
      <c r="AO3389">
        <v>11076</v>
      </c>
      <c r="AP3389" t="s">
        <v>18369</v>
      </c>
      <c r="AU3389" t="s">
        <v>13051</v>
      </c>
      <c r="AW3389" t="s">
        <v>3060</v>
      </c>
    </row>
    <row r="3390" spans="1:49">
      <c r="A3390" s="1" t="s">
        <v>50</v>
      </c>
      <c r="B3390" t="s">
        <v>75</v>
      </c>
      <c r="C3390" t="s">
        <v>164</v>
      </c>
      <c r="D3390" t="s">
        <v>6692</v>
      </c>
      <c r="E3390" t="s">
        <v>180</v>
      </c>
      <c r="F3390" t="s">
        <v>266</v>
      </c>
      <c r="G3390" t="s">
        <v>9341</v>
      </c>
      <c r="H3390" t="s">
        <v>1086</v>
      </c>
      <c r="I3390" t="s">
        <v>11722</v>
      </c>
      <c r="J3390" t="s">
        <v>11814</v>
      </c>
      <c r="K3390" t="s">
        <v>1643</v>
      </c>
      <c r="L3390">
        <v>10035</v>
      </c>
      <c r="M3390" t="s">
        <v>1670</v>
      </c>
      <c r="Q3390" t="s">
        <v>1675</v>
      </c>
      <c r="R3390" t="s">
        <v>1958</v>
      </c>
      <c r="S3390" t="s">
        <v>1965</v>
      </c>
      <c r="T3390" t="s">
        <v>1671</v>
      </c>
      <c r="V3390" t="s">
        <v>1972</v>
      </c>
      <c r="W3390" t="s">
        <v>1984</v>
      </c>
      <c r="X3390" t="s">
        <v>349</v>
      </c>
      <c r="Y3390">
        <v>1600</v>
      </c>
      <c r="Z3390" t="s">
        <v>2008</v>
      </c>
      <c r="AA3390" t="s">
        <v>2020</v>
      </c>
      <c r="AB3390" t="s">
        <v>2029</v>
      </c>
      <c r="AC3390" t="s">
        <v>13948</v>
      </c>
      <c r="AE3390">
        <v>3</v>
      </c>
      <c r="AF3390" t="s">
        <v>2904</v>
      </c>
      <c r="AG3390" t="s">
        <v>1754</v>
      </c>
      <c r="AH3390">
        <v>7</v>
      </c>
      <c r="AI3390">
        <v>4</v>
      </c>
      <c r="AJ3390">
        <v>2</v>
      </c>
      <c r="AK3390">
        <v>46.24</v>
      </c>
      <c r="AN3390" t="s">
        <v>2927</v>
      </c>
      <c r="AO3390">
        <v>15600</v>
      </c>
      <c r="AU3390">
        <v>2.6</v>
      </c>
      <c r="AV3390" t="s">
        <v>231</v>
      </c>
      <c r="AW3390" t="s">
        <v>3068</v>
      </c>
    </row>
    <row r="3391" spans="1:49">
      <c r="A3391" s="1" t="s">
        <v>50</v>
      </c>
      <c r="B3391" t="s">
        <v>82</v>
      </c>
      <c r="C3391" t="s">
        <v>163</v>
      </c>
      <c r="D3391" t="s">
        <v>6693</v>
      </c>
      <c r="E3391" t="s">
        <v>210</v>
      </c>
      <c r="G3391" t="s">
        <v>9342</v>
      </c>
      <c r="H3391" t="s">
        <v>10908</v>
      </c>
      <c r="I3391" t="s">
        <v>1144</v>
      </c>
      <c r="J3391" t="s">
        <v>11815</v>
      </c>
      <c r="K3391" t="s">
        <v>1644</v>
      </c>
      <c r="L3391">
        <v>11233</v>
      </c>
      <c r="M3391" t="s">
        <v>1670</v>
      </c>
      <c r="Q3391" t="s">
        <v>1938</v>
      </c>
      <c r="R3391" t="s">
        <v>1961</v>
      </c>
      <c r="T3391" t="s">
        <v>1670</v>
      </c>
      <c r="V3391" t="s">
        <v>1972</v>
      </c>
      <c r="W3391" t="s">
        <v>1984</v>
      </c>
      <c r="X3391" t="s">
        <v>248</v>
      </c>
      <c r="Y3391">
        <v>915</v>
      </c>
      <c r="Z3391" t="s">
        <v>2009</v>
      </c>
      <c r="AA3391" t="s">
        <v>2017</v>
      </c>
      <c r="AC3391" t="s">
        <v>15664</v>
      </c>
      <c r="AE3391">
        <v>359</v>
      </c>
      <c r="AF3391" t="s">
        <v>2902</v>
      </c>
      <c r="AG3391" t="s">
        <v>1754</v>
      </c>
      <c r="AH3391">
        <v>6</v>
      </c>
      <c r="AI3391">
        <v>2</v>
      </c>
      <c r="AJ3391">
        <v>2</v>
      </c>
      <c r="AK3391">
        <v>46.6</v>
      </c>
      <c r="AN3391" t="s">
        <v>2926</v>
      </c>
      <c r="AO3391">
        <v>12000</v>
      </c>
      <c r="AP3391" t="s">
        <v>18409</v>
      </c>
      <c r="AU3391" t="s">
        <v>13051</v>
      </c>
      <c r="AW3391" t="s">
        <v>3059</v>
      </c>
    </row>
    <row r="3392" spans="1:49">
      <c r="A3392" s="1" t="s">
        <v>50</v>
      </c>
      <c r="B3392" t="s">
        <v>64</v>
      </c>
      <c r="C3392" t="s">
        <v>163</v>
      </c>
      <c r="D3392" t="s">
        <v>6694</v>
      </c>
      <c r="E3392" t="s">
        <v>169</v>
      </c>
      <c r="G3392" t="s">
        <v>9343</v>
      </c>
      <c r="H3392" t="s">
        <v>8886</v>
      </c>
      <c r="I3392" t="s">
        <v>1243</v>
      </c>
      <c r="J3392" t="s">
        <v>11816</v>
      </c>
      <c r="K3392" t="s">
        <v>1643</v>
      </c>
      <c r="L3392">
        <v>10033</v>
      </c>
      <c r="M3392" t="s">
        <v>1670</v>
      </c>
      <c r="Q3392" t="s">
        <v>1939</v>
      </c>
      <c r="R3392" t="s">
        <v>1962</v>
      </c>
      <c r="T3392" t="s">
        <v>1670</v>
      </c>
      <c r="V3392" t="s">
        <v>1972</v>
      </c>
      <c r="X3392" t="s">
        <v>169</v>
      </c>
      <c r="Y3392" t="s">
        <v>13051</v>
      </c>
      <c r="Z3392" t="s">
        <v>2008</v>
      </c>
      <c r="AA3392" t="s">
        <v>2016</v>
      </c>
      <c r="AC3392" t="s">
        <v>15665</v>
      </c>
      <c r="AE3392">
        <v>232</v>
      </c>
      <c r="AF3392" t="s">
        <v>2902</v>
      </c>
      <c r="AG3392" t="s">
        <v>1754</v>
      </c>
      <c r="AH3392">
        <v>15</v>
      </c>
      <c r="AI3392">
        <v>3</v>
      </c>
      <c r="AJ3392">
        <v>2</v>
      </c>
      <c r="AK3392">
        <v>47.59</v>
      </c>
      <c r="AN3392" t="s">
        <v>2927</v>
      </c>
      <c r="AO3392">
        <v>14000</v>
      </c>
      <c r="AU3392" t="s">
        <v>13051</v>
      </c>
      <c r="AW3392" t="s">
        <v>3042</v>
      </c>
    </row>
    <row r="3393" spans="1:49">
      <c r="A3393" s="1" t="s">
        <v>50</v>
      </c>
      <c r="B3393" t="s">
        <v>57</v>
      </c>
      <c r="C3393" t="s">
        <v>163</v>
      </c>
      <c r="D3393" t="s">
        <v>6695</v>
      </c>
      <c r="E3393" t="s">
        <v>170</v>
      </c>
      <c r="G3393" t="s">
        <v>7293</v>
      </c>
      <c r="H3393" t="s">
        <v>8043</v>
      </c>
      <c r="I3393" t="s">
        <v>1112</v>
      </c>
      <c r="J3393" t="s">
        <v>1538</v>
      </c>
      <c r="K3393" t="s">
        <v>1641</v>
      </c>
      <c r="L3393">
        <v>10453</v>
      </c>
      <c r="M3393" t="s">
        <v>1670</v>
      </c>
      <c r="P3393" t="s">
        <v>1677</v>
      </c>
      <c r="Q3393" t="s">
        <v>1939</v>
      </c>
      <c r="R3393" t="s">
        <v>1960</v>
      </c>
      <c r="T3393" t="s">
        <v>1670</v>
      </c>
      <c r="V3393" t="s">
        <v>1972</v>
      </c>
      <c r="X3393" t="s">
        <v>283</v>
      </c>
      <c r="Y3393">
        <v>1273</v>
      </c>
      <c r="Z3393" t="s">
        <v>2006</v>
      </c>
      <c r="AA3393" t="s">
        <v>2015</v>
      </c>
      <c r="AC3393" t="s">
        <v>13828</v>
      </c>
      <c r="AE3393">
        <v>167</v>
      </c>
      <c r="AF3393" t="s">
        <v>2902</v>
      </c>
      <c r="AG3393" t="s">
        <v>1754</v>
      </c>
      <c r="AH3393">
        <v>11</v>
      </c>
      <c r="AI3393">
        <v>2</v>
      </c>
      <c r="AJ3393">
        <v>2</v>
      </c>
      <c r="AK3393">
        <v>60.58</v>
      </c>
      <c r="AN3393" t="s">
        <v>2927</v>
      </c>
      <c r="AO3393">
        <v>15600</v>
      </c>
      <c r="AU3393" t="s">
        <v>13051</v>
      </c>
      <c r="AW3393" t="s">
        <v>3046</v>
      </c>
    </row>
    <row r="3394" spans="1:49">
      <c r="A3394" s="1" t="s">
        <v>50</v>
      </c>
      <c r="B3394" t="s">
        <v>115</v>
      </c>
      <c r="C3394" t="s">
        <v>164</v>
      </c>
      <c r="D3394" t="s">
        <v>6696</v>
      </c>
      <c r="E3394" t="s">
        <v>2005</v>
      </c>
      <c r="F3394" t="s">
        <v>376</v>
      </c>
      <c r="G3394" t="s">
        <v>650</v>
      </c>
      <c r="H3394" t="s">
        <v>10909</v>
      </c>
      <c r="I3394" t="s">
        <v>11723</v>
      </c>
      <c r="J3394" t="s">
        <v>1478</v>
      </c>
      <c r="K3394" t="s">
        <v>1641</v>
      </c>
      <c r="L3394">
        <v>10460</v>
      </c>
      <c r="M3394" t="s">
        <v>1670</v>
      </c>
      <c r="Q3394" t="s">
        <v>1675</v>
      </c>
      <c r="R3394" t="s">
        <v>1958</v>
      </c>
      <c r="S3394" t="s">
        <v>1965</v>
      </c>
      <c r="T3394" t="s">
        <v>1671</v>
      </c>
      <c r="V3394" t="s">
        <v>1972</v>
      </c>
      <c r="X3394" t="s">
        <v>2005</v>
      </c>
      <c r="Y3394">
        <v>1104</v>
      </c>
      <c r="Z3394" t="s">
        <v>2006</v>
      </c>
      <c r="AA3394" t="s">
        <v>2015</v>
      </c>
      <c r="AB3394" t="s">
        <v>2029</v>
      </c>
      <c r="AC3394" t="s">
        <v>14865</v>
      </c>
      <c r="AE3394">
        <v>44</v>
      </c>
      <c r="AF3394" t="s">
        <v>2902</v>
      </c>
      <c r="AG3394" t="s">
        <v>2915</v>
      </c>
      <c r="AH3394">
        <v>7</v>
      </c>
      <c r="AI3394">
        <v>2</v>
      </c>
      <c r="AJ3394">
        <v>2</v>
      </c>
      <c r="AK3394">
        <v>62.15</v>
      </c>
      <c r="AN3394" t="s">
        <v>2927</v>
      </c>
      <c r="AO3394">
        <v>15600</v>
      </c>
      <c r="AU3394">
        <v>2</v>
      </c>
      <c r="AV3394" t="s">
        <v>376</v>
      </c>
      <c r="AW3394" t="s">
        <v>115</v>
      </c>
    </row>
    <row r="3395" spans="1:49">
      <c r="A3395" s="1" t="s">
        <v>50</v>
      </c>
      <c r="B3395" t="s">
        <v>3184</v>
      </c>
      <c r="C3395" t="s">
        <v>164</v>
      </c>
      <c r="D3395" t="s">
        <v>6697</v>
      </c>
      <c r="E3395" t="s">
        <v>6152</v>
      </c>
      <c r="F3395" t="s">
        <v>361</v>
      </c>
      <c r="G3395" t="s">
        <v>9344</v>
      </c>
      <c r="H3395" t="s">
        <v>10910</v>
      </c>
      <c r="I3395" t="s">
        <v>1327</v>
      </c>
      <c r="J3395" t="s">
        <v>1621</v>
      </c>
      <c r="K3395" t="s">
        <v>1644</v>
      </c>
      <c r="L3395">
        <v>11230</v>
      </c>
      <c r="M3395" t="s">
        <v>1670</v>
      </c>
      <c r="Q3395" t="s">
        <v>1937</v>
      </c>
      <c r="R3395" t="s">
        <v>1959</v>
      </c>
      <c r="S3395" t="s">
        <v>1968</v>
      </c>
      <c r="T3395" t="s">
        <v>1670</v>
      </c>
      <c r="V3395" t="s">
        <v>1972</v>
      </c>
      <c r="X3395" t="s">
        <v>318</v>
      </c>
      <c r="Y3395">
        <v>1023.5</v>
      </c>
      <c r="Z3395" t="s">
        <v>2009</v>
      </c>
      <c r="AA3395" t="s">
        <v>2015</v>
      </c>
      <c r="AB3395" t="s">
        <v>2030</v>
      </c>
      <c r="AC3395" t="s">
        <v>15666</v>
      </c>
      <c r="AE3395" t="s">
        <v>13051</v>
      </c>
      <c r="AH3395" t="s">
        <v>13051</v>
      </c>
      <c r="AI3395">
        <v>1</v>
      </c>
      <c r="AJ3395">
        <v>2</v>
      </c>
      <c r="AK3395">
        <v>62.89</v>
      </c>
      <c r="AN3395" t="s">
        <v>2926</v>
      </c>
      <c r="AO3395">
        <v>13068</v>
      </c>
      <c r="AU3395">
        <v>2.9</v>
      </c>
      <c r="AV3395" t="s">
        <v>6762</v>
      </c>
      <c r="AW3395" t="s">
        <v>3184</v>
      </c>
    </row>
    <row r="3396" spans="1:49">
      <c r="A3396" s="1" t="s">
        <v>50</v>
      </c>
      <c r="B3396" t="s">
        <v>52</v>
      </c>
      <c r="C3396" t="s">
        <v>164</v>
      </c>
      <c r="D3396" t="s">
        <v>6698</v>
      </c>
      <c r="E3396" t="s">
        <v>6150</v>
      </c>
      <c r="F3396" t="s">
        <v>265</v>
      </c>
      <c r="G3396" t="s">
        <v>7170</v>
      </c>
      <c r="H3396" t="s">
        <v>840</v>
      </c>
      <c r="I3396" t="s">
        <v>1416</v>
      </c>
      <c r="J3396" t="s">
        <v>11817</v>
      </c>
      <c r="K3396" t="s">
        <v>1641</v>
      </c>
      <c r="L3396">
        <v>10458</v>
      </c>
      <c r="M3396" t="s">
        <v>1670</v>
      </c>
      <c r="Q3396" t="s">
        <v>1939</v>
      </c>
      <c r="R3396" t="s">
        <v>1958</v>
      </c>
      <c r="S3396" t="s">
        <v>1965</v>
      </c>
      <c r="T3396" t="s">
        <v>1670</v>
      </c>
      <c r="V3396" t="s">
        <v>1972</v>
      </c>
      <c r="X3396" t="s">
        <v>1991</v>
      </c>
      <c r="Y3396">
        <v>943.8</v>
      </c>
      <c r="Z3396" t="s">
        <v>2006</v>
      </c>
      <c r="AB3396" t="s">
        <v>2029</v>
      </c>
      <c r="AC3396" t="s">
        <v>15667</v>
      </c>
      <c r="AE3396" t="s">
        <v>13051</v>
      </c>
      <c r="AF3396" t="s">
        <v>2903</v>
      </c>
      <c r="AG3396" t="s">
        <v>1754</v>
      </c>
      <c r="AH3396">
        <v>9</v>
      </c>
      <c r="AI3396">
        <v>2</v>
      </c>
      <c r="AJ3396">
        <v>2</v>
      </c>
      <c r="AK3396">
        <v>79.68000000000001</v>
      </c>
      <c r="AN3396" t="s">
        <v>2927</v>
      </c>
      <c r="AO3396">
        <v>20000</v>
      </c>
      <c r="AU3396">
        <v>0.3</v>
      </c>
      <c r="AV3396" t="s">
        <v>265</v>
      </c>
      <c r="AW3396" t="s">
        <v>3047</v>
      </c>
    </row>
    <row r="3397" spans="1:49">
      <c r="A3397" s="1" t="s">
        <v>50</v>
      </c>
      <c r="B3397" t="s">
        <v>115</v>
      </c>
      <c r="C3397" t="s">
        <v>164</v>
      </c>
      <c r="D3397" t="s">
        <v>6699</v>
      </c>
      <c r="E3397" t="s">
        <v>248</v>
      </c>
      <c r="F3397" t="s">
        <v>286</v>
      </c>
      <c r="G3397" t="s">
        <v>9345</v>
      </c>
      <c r="H3397" t="s">
        <v>770</v>
      </c>
      <c r="I3397" t="s">
        <v>11724</v>
      </c>
      <c r="J3397" t="s">
        <v>1591</v>
      </c>
      <c r="K3397" t="s">
        <v>1641</v>
      </c>
      <c r="L3397">
        <v>10472</v>
      </c>
      <c r="M3397" t="s">
        <v>1670</v>
      </c>
      <c r="Q3397" t="s">
        <v>1675</v>
      </c>
      <c r="R3397" t="s">
        <v>1958</v>
      </c>
      <c r="S3397" t="s">
        <v>1965</v>
      </c>
      <c r="T3397" t="s">
        <v>1671</v>
      </c>
      <c r="V3397" t="s">
        <v>1972</v>
      </c>
      <c r="X3397" t="s">
        <v>248</v>
      </c>
      <c r="Y3397">
        <v>1000</v>
      </c>
      <c r="Z3397" t="s">
        <v>2006</v>
      </c>
      <c r="AA3397" t="s">
        <v>2015</v>
      </c>
      <c r="AB3397" t="s">
        <v>2029</v>
      </c>
      <c r="AC3397" t="s">
        <v>15668</v>
      </c>
      <c r="AE3397">
        <v>129</v>
      </c>
      <c r="AF3397" t="s">
        <v>2902</v>
      </c>
      <c r="AG3397" t="s">
        <v>1754</v>
      </c>
      <c r="AH3397">
        <v>1</v>
      </c>
      <c r="AI3397">
        <v>1</v>
      </c>
      <c r="AJ3397">
        <v>2</v>
      </c>
      <c r="AK3397">
        <v>93.76000000000001</v>
      </c>
      <c r="AN3397" t="s">
        <v>2926</v>
      </c>
      <c r="AO3397">
        <v>20000</v>
      </c>
      <c r="AU3397">
        <v>0.8</v>
      </c>
      <c r="AV3397" t="s">
        <v>286</v>
      </c>
      <c r="AW3397" t="s">
        <v>115</v>
      </c>
    </row>
    <row r="3398" spans="1:49">
      <c r="A3398" s="1" t="s">
        <v>50</v>
      </c>
      <c r="B3398" t="s">
        <v>126</v>
      </c>
      <c r="C3398" t="s">
        <v>163</v>
      </c>
      <c r="D3398" t="s">
        <v>6700</v>
      </c>
      <c r="E3398" t="s">
        <v>400</v>
      </c>
      <c r="G3398" t="s">
        <v>9346</v>
      </c>
      <c r="H3398" t="s">
        <v>10911</v>
      </c>
      <c r="I3398" t="s">
        <v>11725</v>
      </c>
      <c r="J3398">
        <v>2</v>
      </c>
      <c r="K3398" t="s">
        <v>1641</v>
      </c>
      <c r="L3398">
        <v>10458</v>
      </c>
      <c r="M3398" t="s">
        <v>1670</v>
      </c>
      <c r="Q3398" t="s">
        <v>1940</v>
      </c>
      <c r="R3398" t="s">
        <v>1958</v>
      </c>
      <c r="V3398" t="s">
        <v>1972</v>
      </c>
      <c r="W3398" t="s">
        <v>1984</v>
      </c>
      <c r="X3398" t="s">
        <v>1991</v>
      </c>
      <c r="Y3398">
        <v>1900</v>
      </c>
      <c r="Z3398" t="s">
        <v>2006</v>
      </c>
      <c r="AC3398" t="s">
        <v>15669</v>
      </c>
      <c r="AE3398" t="s">
        <v>13051</v>
      </c>
      <c r="AH3398">
        <v>3</v>
      </c>
      <c r="AI3398">
        <v>3</v>
      </c>
      <c r="AJ3398">
        <v>2</v>
      </c>
      <c r="AK3398">
        <v>95.45999999999999</v>
      </c>
      <c r="AN3398" t="s">
        <v>2927</v>
      </c>
      <c r="AO3398">
        <v>28800</v>
      </c>
      <c r="AU3398" t="s">
        <v>13051</v>
      </c>
      <c r="AW3398" t="s">
        <v>126</v>
      </c>
    </row>
    <row r="3399" spans="1:49">
      <c r="A3399" s="1" t="s">
        <v>50</v>
      </c>
      <c r="B3399" t="s">
        <v>57</v>
      </c>
      <c r="C3399" t="s">
        <v>163</v>
      </c>
      <c r="D3399" t="s">
        <v>6701</v>
      </c>
      <c r="E3399" t="s">
        <v>182</v>
      </c>
      <c r="G3399" t="s">
        <v>544</v>
      </c>
      <c r="H3399" t="s">
        <v>1074</v>
      </c>
      <c r="I3399" t="s">
        <v>1112</v>
      </c>
      <c r="J3399" t="s">
        <v>1515</v>
      </c>
      <c r="K3399" t="s">
        <v>1641</v>
      </c>
      <c r="L3399">
        <v>10453</v>
      </c>
      <c r="M3399" t="s">
        <v>1670</v>
      </c>
      <c r="Q3399" t="s">
        <v>1938</v>
      </c>
      <c r="R3399" t="s">
        <v>1961</v>
      </c>
      <c r="T3399" t="s">
        <v>1670</v>
      </c>
      <c r="V3399" t="s">
        <v>1972</v>
      </c>
      <c r="X3399" t="s">
        <v>283</v>
      </c>
      <c r="Y3399">
        <v>1319</v>
      </c>
      <c r="Z3399" t="s">
        <v>2006</v>
      </c>
      <c r="AA3399" t="s">
        <v>2015</v>
      </c>
      <c r="AC3399" t="s">
        <v>15670</v>
      </c>
      <c r="AE3399">
        <v>170</v>
      </c>
      <c r="AF3399" t="s">
        <v>2902</v>
      </c>
      <c r="AH3399">
        <v>12</v>
      </c>
      <c r="AI3399">
        <v>2</v>
      </c>
      <c r="AJ3399">
        <v>2</v>
      </c>
      <c r="AK3399">
        <v>97.09</v>
      </c>
      <c r="AN3399" t="s">
        <v>2927</v>
      </c>
      <c r="AO3399">
        <v>25000</v>
      </c>
      <c r="AU3399" t="s">
        <v>13051</v>
      </c>
      <c r="AW3399" t="s">
        <v>76</v>
      </c>
    </row>
    <row r="3400" spans="1:49">
      <c r="A3400" s="1" t="s">
        <v>50</v>
      </c>
      <c r="B3400" t="s">
        <v>57</v>
      </c>
      <c r="C3400" t="s">
        <v>163</v>
      </c>
      <c r="D3400" t="s">
        <v>6702</v>
      </c>
      <c r="E3400" t="s">
        <v>182</v>
      </c>
      <c r="G3400" t="s">
        <v>544</v>
      </c>
      <c r="H3400" t="s">
        <v>1074</v>
      </c>
      <c r="I3400" t="s">
        <v>1112</v>
      </c>
      <c r="J3400" t="s">
        <v>1515</v>
      </c>
      <c r="K3400" t="s">
        <v>1641</v>
      </c>
      <c r="L3400">
        <v>10453</v>
      </c>
      <c r="M3400" t="s">
        <v>1670</v>
      </c>
      <c r="P3400" t="s">
        <v>1677</v>
      </c>
      <c r="Q3400" t="s">
        <v>1939</v>
      </c>
      <c r="R3400" t="s">
        <v>1960</v>
      </c>
      <c r="T3400" t="s">
        <v>1670</v>
      </c>
      <c r="V3400" t="s">
        <v>1972</v>
      </c>
      <c r="X3400" t="s">
        <v>283</v>
      </c>
      <c r="Y3400">
        <v>1319</v>
      </c>
      <c r="Z3400" t="s">
        <v>2006</v>
      </c>
      <c r="AA3400" t="s">
        <v>2015</v>
      </c>
      <c r="AC3400" t="s">
        <v>15670</v>
      </c>
      <c r="AE3400">
        <v>170</v>
      </c>
      <c r="AF3400" t="s">
        <v>2902</v>
      </c>
      <c r="AH3400">
        <v>12</v>
      </c>
      <c r="AI3400">
        <v>2</v>
      </c>
      <c r="AJ3400">
        <v>2</v>
      </c>
      <c r="AK3400">
        <v>97.09</v>
      </c>
      <c r="AN3400" t="s">
        <v>2927</v>
      </c>
      <c r="AO3400">
        <v>25000</v>
      </c>
      <c r="AU3400" t="s">
        <v>13051</v>
      </c>
      <c r="AW3400" t="s">
        <v>76</v>
      </c>
    </row>
    <row r="3401" spans="1:49">
      <c r="A3401" s="1" t="s">
        <v>50</v>
      </c>
      <c r="B3401" t="s">
        <v>82</v>
      </c>
      <c r="C3401" t="s">
        <v>163</v>
      </c>
      <c r="D3401" t="s">
        <v>6703</v>
      </c>
      <c r="E3401" t="s">
        <v>181</v>
      </c>
      <c r="G3401" t="s">
        <v>7630</v>
      </c>
      <c r="H3401" t="s">
        <v>10912</v>
      </c>
      <c r="I3401" t="s">
        <v>1144</v>
      </c>
      <c r="J3401" t="s">
        <v>11100</v>
      </c>
      <c r="K3401" t="s">
        <v>1644</v>
      </c>
      <c r="L3401">
        <v>11233</v>
      </c>
      <c r="M3401" t="s">
        <v>1670</v>
      </c>
      <c r="P3401" t="s">
        <v>1754</v>
      </c>
      <c r="Q3401" t="s">
        <v>1937</v>
      </c>
      <c r="R3401" t="s">
        <v>1962</v>
      </c>
      <c r="T3401" t="s">
        <v>1670</v>
      </c>
      <c r="V3401" t="s">
        <v>1972</v>
      </c>
      <c r="W3401" t="s">
        <v>1984</v>
      </c>
      <c r="X3401" t="s">
        <v>221</v>
      </c>
      <c r="Y3401">
        <v>820</v>
      </c>
      <c r="Z3401" t="s">
        <v>2009</v>
      </c>
      <c r="AC3401" t="s">
        <v>15671</v>
      </c>
      <c r="AE3401">
        <v>359</v>
      </c>
      <c r="AF3401" t="s">
        <v>2902</v>
      </c>
      <c r="AH3401">
        <v>6</v>
      </c>
      <c r="AI3401">
        <v>1</v>
      </c>
      <c r="AJ3401">
        <v>2</v>
      </c>
      <c r="AK3401">
        <v>97.52</v>
      </c>
      <c r="AN3401" t="s">
        <v>2926</v>
      </c>
      <c r="AO3401">
        <v>20800</v>
      </c>
      <c r="AP3401" t="s">
        <v>18410</v>
      </c>
      <c r="AU3401" t="s">
        <v>13051</v>
      </c>
      <c r="AW3401" t="s">
        <v>3060</v>
      </c>
    </row>
    <row r="3402" spans="1:49">
      <c r="A3402" s="1" t="s">
        <v>50</v>
      </c>
      <c r="B3402" t="s">
        <v>82</v>
      </c>
      <c r="C3402" t="s">
        <v>163</v>
      </c>
      <c r="D3402" t="s">
        <v>6704</v>
      </c>
      <c r="E3402" t="s">
        <v>181</v>
      </c>
      <c r="G3402" t="s">
        <v>7630</v>
      </c>
      <c r="H3402" t="s">
        <v>10912</v>
      </c>
      <c r="I3402" t="s">
        <v>1144</v>
      </c>
      <c r="J3402" t="s">
        <v>11100</v>
      </c>
      <c r="K3402" t="s">
        <v>1644</v>
      </c>
      <c r="L3402">
        <v>11233</v>
      </c>
      <c r="M3402" t="s">
        <v>1670</v>
      </c>
      <c r="P3402" t="s">
        <v>1754</v>
      </c>
      <c r="Q3402" t="s">
        <v>1938</v>
      </c>
      <c r="R3402" t="s">
        <v>1961</v>
      </c>
      <c r="T3402" t="s">
        <v>1670</v>
      </c>
      <c r="V3402" t="s">
        <v>1972</v>
      </c>
      <c r="W3402" t="s">
        <v>1984</v>
      </c>
      <c r="X3402" t="s">
        <v>248</v>
      </c>
      <c r="Y3402">
        <v>820</v>
      </c>
      <c r="Z3402" t="s">
        <v>2009</v>
      </c>
      <c r="AC3402" t="s">
        <v>15671</v>
      </c>
      <c r="AE3402">
        <v>359</v>
      </c>
      <c r="AF3402" t="s">
        <v>2902</v>
      </c>
      <c r="AH3402">
        <v>6</v>
      </c>
      <c r="AI3402">
        <v>1</v>
      </c>
      <c r="AJ3402">
        <v>2</v>
      </c>
      <c r="AK3402">
        <v>97.52</v>
      </c>
      <c r="AN3402" t="s">
        <v>2926</v>
      </c>
      <c r="AO3402">
        <v>20800</v>
      </c>
      <c r="AP3402" t="s">
        <v>18076</v>
      </c>
      <c r="AU3402" t="s">
        <v>13051</v>
      </c>
      <c r="AW3402" t="s">
        <v>3060</v>
      </c>
    </row>
    <row r="3403" spans="1:49">
      <c r="A3403" s="1" t="s">
        <v>50</v>
      </c>
      <c r="B3403" t="s">
        <v>57</v>
      </c>
      <c r="C3403" t="s">
        <v>164</v>
      </c>
      <c r="D3403" t="s">
        <v>6705</v>
      </c>
      <c r="E3403" t="s">
        <v>190</v>
      </c>
      <c r="F3403" t="s">
        <v>183</v>
      </c>
      <c r="G3403" t="s">
        <v>9347</v>
      </c>
      <c r="H3403" t="s">
        <v>864</v>
      </c>
      <c r="I3403" t="s">
        <v>9500</v>
      </c>
      <c r="J3403" t="s">
        <v>11050</v>
      </c>
      <c r="K3403" t="s">
        <v>1641</v>
      </c>
      <c r="L3403">
        <v>10453</v>
      </c>
      <c r="M3403" t="s">
        <v>1670</v>
      </c>
      <c r="Q3403" t="s">
        <v>1675</v>
      </c>
      <c r="R3403" t="s">
        <v>1958</v>
      </c>
      <c r="S3403" t="s">
        <v>1965</v>
      </c>
      <c r="T3403" t="s">
        <v>1670</v>
      </c>
      <c r="V3403" t="s">
        <v>1972</v>
      </c>
      <c r="X3403" t="s">
        <v>13053</v>
      </c>
      <c r="Y3403">
        <v>1026.68</v>
      </c>
      <c r="Z3403" t="s">
        <v>2006</v>
      </c>
      <c r="AA3403" t="s">
        <v>2016</v>
      </c>
      <c r="AB3403" t="s">
        <v>2029</v>
      </c>
      <c r="AC3403" t="s">
        <v>15672</v>
      </c>
      <c r="AE3403">
        <v>170</v>
      </c>
      <c r="AF3403" t="s">
        <v>2902</v>
      </c>
      <c r="AG3403" t="s">
        <v>1754</v>
      </c>
      <c r="AH3403">
        <v>9</v>
      </c>
      <c r="AI3403">
        <v>2</v>
      </c>
      <c r="AJ3403">
        <v>2</v>
      </c>
      <c r="AK3403">
        <v>100.97</v>
      </c>
      <c r="AN3403" t="s">
        <v>2927</v>
      </c>
      <c r="AO3403">
        <v>26000</v>
      </c>
      <c r="AU3403">
        <v>0.5</v>
      </c>
      <c r="AV3403" t="s">
        <v>183</v>
      </c>
      <c r="AW3403" t="s">
        <v>3045</v>
      </c>
    </row>
    <row r="3404" spans="1:49">
      <c r="A3404" s="1" t="s">
        <v>50</v>
      </c>
      <c r="B3404" t="s">
        <v>57</v>
      </c>
      <c r="C3404" t="s">
        <v>163</v>
      </c>
      <c r="D3404" t="s">
        <v>6706</v>
      </c>
      <c r="E3404" t="s">
        <v>266</v>
      </c>
      <c r="G3404" t="s">
        <v>9347</v>
      </c>
      <c r="H3404" t="s">
        <v>864</v>
      </c>
      <c r="I3404" t="s">
        <v>9500</v>
      </c>
      <c r="J3404" t="s">
        <v>11050</v>
      </c>
      <c r="K3404" t="s">
        <v>1641</v>
      </c>
      <c r="L3404">
        <v>10453</v>
      </c>
      <c r="M3404" t="s">
        <v>1670</v>
      </c>
      <c r="Q3404" t="s">
        <v>1938</v>
      </c>
      <c r="R3404" t="s">
        <v>1961</v>
      </c>
      <c r="T3404" t="s">
        <v>1670</v>
      </c>
      <c r="V3404" t="s">
        <v>1972</v>
      </c>
      <c r="X3404" t="s">
        <v>392</v>
      </c>
      <c r="Y3404">
        <v>1026.68</v>
      </c>
      <c r="Z3404" t="s">
        <v>2006</v>
      </c>
      <c r="AA3404" t="s">
        <v>2016</v>
      </c>
      <c r="AC3404" t="s">
        <v>15672</v>
      </c>
      <c r="AE3404">
        <v>170</v>
      </c>
      <c r="AF3404" t="s">
        <v>2902</v>
      </c>
      <c r="AG3404" t="s">
        <v>1754</v>
      </c>
      <c r="AH3404">
        <v>9</v>
      </c>
      <c r="AI3404">
        <v>2</v>
      </c>
      <c r="AJ3404">
        <v>2</v>
      </c>
      <c r="AK3404">
        <v>100.97</v>
      </c>
      <c r="AN3404" t="s">
        <v>2927</v>
      </c>
      <c r="AO3404">
        <v>26000</v>
      </c>
      <c r="AU3404" t="s">
        <v>13051</v>
      </c>
      <c r="AW3404" t="s">
        <v>3045</v>
      </c>
    </row>
    <row r="3405" spans="1:49">
      <c r="A3405" s="1" t="s">
        <v>50</v>
      </c>
      <c r="B3405" t="s">
        <v>82</v>
      </c>
      <c r="C3405" t="s">
        <v>163</v>
      </c>
      <c r="D3405" t="s">
        <v>6707</v>
      </c>
      <c r="E3405" t="s">
        <v>1999</v>
      </c>
      <c r="G3405" t="s">
        <v>463</v>
      </c>
      <c r="H3405" t="s">
        <v>10913</v>
      </c>
      <c r="I3405" t="s">
        <v>9442</v>
      </c>
      <c r="J3405" t="s">
        <v>11818</v>
      </c>
      <c r="K3405" t="s">
        <v>1644</v>
      </c>
      <c r="L3405">
        <v>11233</v>
      </c>
      <c r="M3405" t="s">
        <v>1670</v>
      </c>
      <c r="Q3405" t="s">
        <v>1937</v>
      </c>
      <c r="R3405" t="s">
        <v>1962</v>
      </c>
      <c r="T3405" t="s">
        <v>1670</v>
      </c>
      <c r="V3405" t="s">
        <v>1972</v>
      </c>
      <c r="W3405" t="s">
        <v>1984</v>
      </c>
      <c r="X3405" t="s">
        <v>221</v>
      </c>
      <c r="Y3405">
        <v>1343.02</v>
      </c>
      <c r="Z3405" t="s">
        <v>2009</v>
      </c>
      <c r="AA3405" t="s">
        <v>2017</v>
      </c>
      <c r="AC3405" t="s">
        <v>15673</v>
      </c>
      <c r="AE3405">
        <v>359</v>
      </c>
      <c r="AF3405" t="s">
        <v>2902</v>
      </c>
      <c r="AH3405">
        <v>25</v>
      </c>
      <c r="AI3405">
        <v>2</v>
      </c>
      <c r="AJ3405">
        <v>2</v>
      </c>
      <c r="AK3405">
        <v>116.5</v>
      </c>
      <c r="AO3405">
        <v>30000</v>
      </c>
      <c r="AP3405" t="s">
        <v>18411</v>
      </c>
      <c r="AU3405" t="s">
        <v>13051</v>
      </c>
      <c r="AW3405" t="s">
        <v>3059</v>
      </c>
    </row>
    <row r="3406" spans="1:49">
      <c r="A3406" s="1" t="s">
        <v>50</v>
      </c>
      <c r="B3406" t="s">
        <v>82</v>
      </c>
      <c r="C3406" t="s">
        <v>163</v>
      </c>
      <c r="D3406" t="s">
        <v>6708</v>
      </c>
      <c r="E3406" t="s">
        <v>1999</v>
      </c>
      <c r="G3406" t="s">
        <v>463</v>
      </c>
      <c r="H3406" t="s">
        <v>10913</v>
      </c>
      <c r="I3406" t="s">
        <v>9442</v>
      </c>
      <c r="J3406" t="s">
        <v>11818</v>
      </c>
      <c r="K3406" t="s">
        <v>1644</v>
      </c>
      <c r="L3406">
        <v>11233</v>
      </c>
      <c r="M3406" t="s">
        <v>1670</v>
      </c>
      <c r="Q3406" t="s">
        <v>1938</v>
      </c>
      <c r="R3406" t="s">
        <v>1961</v>
      </c>
      <c r="T3406" t="s">
        <v>1670</v>
      </c>
      <c r="V3406" t="s">
        <v>1972</v>
      </c>
      <c r="W3406" t="s">
        <v>1984</v>
      </c>
      <c r="X3406" t="s">
        <v>248</v>
      </c>
      <c r="Y3406">
        <v>1343.02</v>
      </c>
      <c r="Z3406" t="s">
        <v>2009</v>
      </c>
      <c r="AA3406" t="s">
        <v>2017</v>
      </c>
      <c r="AC3406" t="s">
        <v>15673</v>
      </c>
      <c r="AE3406">
        <v>359</v>
      </c>
      <c r="AF3406" t="s">
        <v>2902</v>
      </c>
      <c r="AH3406">
        <v>25</v>
      </c>
      <c r="AI3406">
        <v>2</v>
      </c>
      <c r="AJ3406">
        <v>2</v>
      </c>
      <c r="AK3406">
        <v>116.5</v>
      </c>
      <c r="AO3406">
        <v>30000</v>
      </c>
      <c r="AP3406" t="s">
        <v>18097</v>
      </c>
      <c r="AU3406" t="s">
        <v>13051</v>
      </c>
      <c r="AW3406" t="s">
        <v>3059</v>
      </c>
    </row>
    <row r="3407" spans="1:49">
      <c r="A3407" s="1" t="s">
        <v>50</v>
      </c>
      <c r="B3407" t="s">
        <v>75</v>
      </c>
      <c r="C3407" t="s">
        <v>163</v>
      </c>
      <c r="D3407" t="s">
        <v>6709</v>
      </c>
      <c r="E3407" t="s">
        <v>314</v>
      </c>
      <c r="G3407" t="s">
        <v>7105</v>
      </c>
      <c r="H3407" t="s">
        <v>914</v>
      </c>
      <c r="I3407" t="s">
        <v>11726</v>
      </c>
      <c r="J3407" t="s">
        <v>1493</v>
      </c>
      <c r="K3407" t="s">
        <v>1643</v>
      </c>
      <c r="L3407">
        <v>10029</v>
      </c>
      <c r="M3407" t="s">
        <v>1670</v>
      </c>
      <c r="Q3407" t="s">
        <v>1675</v>
      </c>
      <c r="R3407" t="s">
        <v>1963</v>
      </c>
      <c r="T3407" t="s">
        <v>1671</v>
      </c>
      <c r="V3407" t="s">
        <v>1972</v>
      </c>
      <c r="W3407" t="s">
        <v>1984</v>
      </c>
      <c r="X3407" t="s">
        <v>362</v>
      </c>
      <c r="Y3407">
        <v>1600</v>
      </c>
      <c r="Z3407" t="s">
        <v>2008</v>
      </c>
      <c r="AC3407" t="s">
        <v>15674</v>
      </c>
      <c r="AE3407">
        <v>10</v>
      </c>
      <c r="AF3407" t="s">
        <v>2904</v>
      </c>
      <c r="AG3407" t="s">
        <v>1754</v>
      </c>
      <c r="AH3407">
        <v>8</v>
      </c>
      <c r="AI3407">
        <v>2</v>
      </c>
      <c r="AJ3407">
        <v>2</v>
      </c>
      <c r="AK3407">
        <v>118.73</v>
      </c>
      <c r="AN3407" t="s">
        <v>2927</v>
      </c>
      <c r="AO3407">
        <v>29800</v>
      </c>
      <c r="AU3407">
        <v>4.5</v>
      </c>
      <c r="AV3407" t="s">
        <v>308</v>
      </c>
      <c r="AW3407" t="s">
        <v>3068</v>
      </c>
    </row>
    <row r="3408" spans="1:49">
      <c r="A3408" s="1" t="s">
        <v>50</v>
      </c>
      <c r="B3408" t="s">
        <v>3212</v>
      </c>
      <c r="C3408" t="s">
        <v>163</v>
      </c>
      <c r="D3408" t="s">
        <v>6710</v>
      </c>
      <c r="E3408" t="s">
        <v>1999</v>
      </c>
      <c r="G3408" t="s">
        <v>9348</v>
      </c>
      <c r="H3408" t="s">
        <v>10914</v>
      </c>
      <c r="I3408" t="s">
        <v>11727</v>
      </c>
      <c r="J3408" t="s">
        <v>11100</v>
      </c>
      <c r="K3408" t="s">
        <v>1641</v>
      </c>
      <c r="L3408">
        <v>10459</v>
      </c>
      <c r="M3408" t="s">
        <v>1670</v>
      </c>
      <c r="P3408" t="s">
        <v>13013</v>
      </c>
      <c r="Q3408" t="s">
        <v>1936</v>
      </c>
      <c r="R3408" t="s">
        <v>1960</v>
      </c>
      <c r="V3408" t="s">
        <v>1972</v>
      </c>
      <c r="W3408" t="s">
        <v>1987</v>
      </c>
      <c r="X3408" t="s">
        <v>3031</v>
      </c>
      <c r="Y3408">
        <v>860</v>
      </c>
      <c r="Z3408" t="s">
        <v>2006</v>
      </c>
      <c r="AA3408" t="s">
        <v>2011</v>
      </c>
      <c r="AC3408" t="s">
        <v>15675</v>
      </c>
      <c r="AE3408" t="s">
        <v>13051</v>
      </c>
      <c r="AF3408" t="s">
        <v>2902</v>
      </c>
      <c r="AH3408">
        <v>36</v>
      </c>
      <c r="AI3408">
        <v>3</v>
      </c>
      <c r="AJ3408">
        <v>2</v>
      </c>
      <c r="AK3408">
        <v>119.32</v>
      </c>
      <c r="AN3408" t="s">
        <v>2926</v>
      </c>
      <c r="AO3408">
        <v>36000</v>
      </c>
      <c r="AP3408" t="s">
        <v>18412</v>
      </c>
      <c r="AU3408">
        <v>5</v>
      </c>
      <c r="AV3408" t="s">
        <v>357</v>
      </c>
      <c r="AW3408" t="s">
        <v>3081</v>
      </c>
    </row>
    <row r="3409" spans="1:49">
      <c r="A3409" s="1" t="s">
        <v>50</v>
      </c>
      <c r="B3409" t="s">
        <v>62</v>
      </c>
      <c r="C3409" t="s">
        <v>163</v>
      </c>
      <c r="D3409" t="s">
        <v>6711</v>
      </c>
      <c r="E3409" t="s">
        <v>6178</v>
      </c>
      <c r="G3409" t="s">
        <v>7285</v>
      </c>
      <c r="H3409" t="s">
        <v>10915</v>
      </c>
      <c r="I3409" t="s">
        <v>9933</v>
      </c>
      <c r="J3409" t="s">
        <v>11819</v>
      </c>
      <c r="K3409" t="s">
        <v>1644</v>
      </c>
      <c r="L3409">
        <v>11226</v>
      </c>
      <c r="M3409" t="s">
        <v>1670</v>
      </c>
      <c r="Q3409" t="s">
        <v>1941</v>
      </c>
      <c r="R3409" t="s">
        <v>1959</v>
      </c>
      <c r="T3409" t="s">
        <v>1670</v>
      </c>
      <c r="V3409" t="s">
        <v>1972</v>
      </c>
      <c r="X3409" t="s">
        <v>247</v>
      </c>
      <c r="Y3409" t="s">
        <v>13051</v>
      </c>
      <c r="Z3409" t="s">
        <v>2009</v>
      </c>
      <c r="AA3409" t="s">
        <v>2020</v>
      </c>
      <c r="AC3409" t="s">
        <v>14146</v>
      </c>
      <c r="AE3409">
        <v>65</v>
      </c>
      <c r="AH3409">
        <v>31</v>
      </c>
      <c r="AI3409">
        <v>3</v>
      </c>
      <c r="AJ3409">
        <v>2</v>
      </c>
      <c r="AK3409">
        <v>122.81</v>
      </c>
      <c r="AN3409" t="s">
        <v>2926</v>
      </c>
      <c r="AO3409">
        <v>36132</v>
      </c>
      <c r="AP3409" t="s">
        <v>18413</v>
      </c>
      <c r="AU3409">
        <v>0.7</v>
      </c>
      <c r="AV3409" t="s">
        <v>270</v>
      </c>
      <c r="AW3409" t="s">
        <v>3079</v>
      </c>
    </row>
    <row r="3410" spans="1:49">
      <c r="A3410" s="1" t="s">
        <v>50</v>
      </c>
      <c r="B3410" t="s">
        <v>82</v>
      </c>
      <c r="C3410" t="s">
        <v>163</v>
      </c>
      <c r="D3410" t="s">
        <v>6712</v>
      </c>
      <c r="E3410" t="s">
        <v>324</v>
      </c>
      <c r="G3410" t="s">
        <v>9342</v>
      </c>
      <c r="H3410" t="s">
        <v>10908</v>
      </c>
      <c r="I3410" t="s">
        <v>1144</v>
      </c>
      <c r="J3410" t="s">
        <v>11815</v>
      </c>
      <c r="K3410" t="s">
        <v>1644</v>
      </c>
      <c r="L3410">
        <v>11233</v>
      </c>
      <c r="M3410" t="s">
        <v>1670</v>
      </c>
      <c r="P3410" t="s">
        <v>1754</v>
      </c>
      <c r="Q3410" t="s">
        <v>1937</v>
      </c>
      <c r="R3410" t="s">
        <v>1962</v>
      </c>
      <c r="T3410" t="s">
        <v>1670</v>
      </c>
      <c r="V3410" t="s">
        <v>1972</v>
      </c>
      <c r="W3410" t="s">
        <v>1984</v>
      </c>
      <c r="X3410" t="s">
        <v>221</v>
      </c>
      <c r="Y3410">
        <v>915</v>
      </c>
      <c r="Z3410" t="s">
        <v>2009</v>
      </c>
      <c r="AC3410" t="s">
        <v>15664</v>
      </c>
      <c r="AE3410">
        <v>359</v>
      </c>
      <c r="AF3410" t="s">
        <v>2902</v>
      </c>
      <c r="AG3410" t="s">
        <v>1754</v>
      </c>
      <c r="AH3410">
        <v>6</v>
      </c>
      <c r="AI3410">
        <v>2</v>
      </c>
      <c r="AJ3410">
        <v>2</v>
      </c>
      <c r="AK3410">
        <v>129.51</v>
      </c>
      <c r="AN3410" t="s">
        <v>2926</v>
      </c>
      <c r="AO3410">
        <v>33348</v>
      </c>
      <c r="AP3410" t="s">
        <v>18414</v>
      </c>
      <c r="AU3410" t="s">
        <v>13051</v>
      </c>
      <c r="AW3410" t="s">
        <v>3060</v>
      </c>
    </row>
    <row r="3411" spans="1:49">
      <c r="A3411" s="1" t="s">
        <v>50</v>
      </c>
      <c r="B3411" t="s">
        <v>82</v>
      </c>
      <c r="C3411" t="s">
        <v>163</v>
      </c>
      <c r="D3411" t="s">
        <v>6713</v>
      </c>
      <c r="E3411" t="s">
        <v>213</v>
      </c>
      <c r="G3411" t="s">
        <v>9349</v>
      </c>
      <c r="H3411" t="s">
        <v>10916</v>
      </c>
      <c r="I3411" t="s">
        <v>9442</v>
      </c>
      <c r="J3411" t="s">
        <v>11820</v>
      </c>
      <c r="K3411" t="s">
        <v>1644</v>
      </c>
      <c r="L3411">
        <v>11233</v>
      </c>
      <c r="M3411" t="s">
        <v>1670</v>
      </c>
      <c r="Q3411" t="s">
        <v>1937</v>
      </c>
      <c r="R3411" t="s">
        <v>1962</v>
      </c>
      <c r="T3411" t="s">
        <v>1670</v>
      </c>
      <c r="V3411" t="s">
        <v>1972</v>
      </c>
      <c r="W3411" t="s">
        <v>1984</v>
      </c>
      <c r="X3411" t="s">
        <v>221</v>
      </c>
      <c r="Y3411">
        <v>1330</v>
      </c>
      <c r="Z3411" t="s">
        <v>2009</v>
      </c>
      <c r="AA3411" t="s">
        <v>2017</v>
      </c>
      <c r="AC3411" t="s">
        <v>15676</v>
      </c>
      <c r="AE3411">
        <v>359</v>
      </c>
      <c r="AF3411" t="s">
        <v>2902</v>
      </c>
      <c r="AH3411">
        <v>24</v>
      </c>
      <c r="AI3411">
        <v>4</v>
      </c>
      <c r="AJ3411">
        <v>2</v>
      </c>
      <c r="AK3411">
        <v>130.1</v>
      </c>
      <c r="AN3411" t="s">
        <v>2017</v>
      </c>
      <c r="AO3411">
        <v>45000</v>
      </c>
      <c r="AP3411" t="s">
        <v>18415</v>
      </c>
      <c r="AU3411" t="s">
        <v>13051</v>
      </c>
      <c r="AW3411" t="s">
        <v>3059</v>
      </c>
    </row>
    <row r="3412" spans="1:49">
      <c r="A3412" s="1" t="s">
        <v>50</v>
      </c>
      <c r="B3412" t="s">
        <v>82</v>
      </c>
      <c r="C3412" t="s">
        <v>163</v>
      </c>
      <c r="D3412" t="s">
        <v>6714</v>
      </c>
      <c r="E3412" t="s">
        <v>213</v>
      </c>
      <c r="G3412" t="s">
        <v>9349</v>
      </c>
      <c r="H3412" t="s">
        <v>10916</v>
      </c>
      <c r="I3412" t="s">
        <v>9442</v>
      </c>
      <c r="J3412" t="s">
        <v>11820</v>
      </c>
      <c r="K3412" t="s">
        <v>1644</v>
      </c>
      <c r="L3412">
        <v>11233</v>
      </c>
      <c r="M3412" t="s">
        <v>1670</v>
      </c>
      <c r="Q3412" t="s">
        <v>1938</v>
      </c>
      <c r="R3412" t="s">
        <v>1961</v>
      </c>
      <c r="T3412" t="s">
        <v>1670</v>
      </c>
      <c r="V3412" t="s">
        <v>1972</v>
      </c>
      <c r="W3412" t="s">
        <v>1984</v>
      </c>
      <c r="X3412" t="s">
        <v>248</v>
      </c>
      <c r="Y3412">
        <v>1330</v>
      </c>
      <c r="Z3412" t="s">
        <v>2009</v>
      </c>
      <c r="AA3412" t="s">
        <v>2017</v>
      </c>
      <c r="AC3412" t="s">
        <v>15676</v>
      </c>
      <c r="AE3412">
        <v>359</v>
      </c>
      <c r="AF3412" t="s">
        <v>2902</v>
      </c>
      <c r="AH3412">
        <v>24</v>
      </c>
      <c r="AI3412">
        <v>4</v>
      </c>
      <c r="AJ3412">
        <v>2</v>
      </c>
      <c r="AK3412">
        <v>130.1</v>
      </c>
      <c r="AN3412" t="s">
        <v>2017</v>
      </c>
      <c r="AO3412">
        <v>45000</v>
      </c>
      <c r="AP3412" t="s">
        <v>18071</v>
      </c>
      <c r="AU3412" t="s">
        <v>13051</v>
      </c>
      <c r="AW3412" t="s">
        <v>3059</v>
      </c>
    </row>
    <row r="3413" spans="1:49">
      <c r="A3413" s="1" t="s">
        <v>50</v>
      </c>
      <c r="B3413" t="s">
        <v>62</v>
      </c>
      <c r="C3413" t="s">
        <v>163</v>
      </c>
      <c r="D3413" t="s">
        <v>6715</v>
      </c>
      <c r="E3413" t="s">
        <v>265</v>
      </c>
      <c r="G3413" t="s">
        <v>9350</v>
      </c>
      <c r="H3413" t="s">
        <v>10917</v>
      </c>
      <c r="I3413" t="s">
        <v>9394</v>
      </c>
      <c r="J3413">
        <v>3</v>
      </c>
      <c r="K3413" t="s">
        <v>1644</v>
      </c>
      <c r="L3413">
        <v>11226</v>
      </c>
      <c r="M3413" t="s">
        <v>1670</v>
      </c>
      <c r="R3413" t="s">
        <v>1960</v>
      </c>
      <c r="T3413" t="s">
        <v>1670</v>
      </c>
      <c r="V3413" t="s">
        <v>1972</v>
      </c>
      <c r="X3413" t="s">
        <v>182</v>
      </c>
      <c r="Y3413">
        <v>1407.32</v>
      </c>
      <c r="Z3413" t="s">
        <v>2009</v>
      </c>
      <c r="AC3413" t="s">
        <v>2223</v>
      </c>
      <c r="AE3413" t="s">
        <v>13051</v>
      </c>
      <c r="AH3413">
        <v>19</v>
      </c>
      <c r="AI3413">
        <v>2</v>
      </c>
      <c r="AJ3413">
        <v>2</v>
      </c>
      <c r="AK3413">
        <v>130.72</v>
      </c>
      <c r="AN3413" t="s">
        <v>2926</v>
      </c>
      <c r="AO3413">
        <v>33660</v>
      </c>
      <c r="AU3413">
        <v>35.65</v>
      </c>
      <c r="AV3413" t="s">
        <v>268</v>
      </c>
      <c r="AW3413" t="s">
        <v>158</v>
      </c>
    </row>
    <row r="3414" spans="1:49">
      <c r="A3414" s="1" t="s">
        <v>50</v>
      </c>
      <c r="B3414" t="s">
        <v>63</v>
      </c>
      <c r="C3414" t="s">
        <v>163</v>
      </c>
      <c r="D3414" t="s">
        <v>6716</v>
      </c>
      <c r="E3414" t="s">
        <v>223</v>
      </c>
      <c r="G3414" t="s">
        <v>9351</v>
      </c>
      <c r="H3414" t="s">
        <v>7327</v>
      </c>
      <c r="I3414" t="s">
        <v>1227</v>
      </c>
      <c r="J3414" t="s">
        <v>11010</v>
      </c>
      <c r="K3414" t="s">
        <v>1641</v>
      </c>
      <c r="L3414">
        <v>10463</v>
      </c>
      <c r="M3414" t="s">
        <v>1670</v>
      </c>
      <c r="P3414" t="s">
        <v>1763</v>
      </c>
      <c r="Q3414" t="s">
        <v>1939</v>
      </c>
      <c r="R3414" t="s">
        <v>1960</v>
      </c>
      <c r="T3414" t="s">
        <v>1670</v>
      </c>
      <c r="V3414" t="s">
        <v>1972</v>
      </c>
      <c r="X3414" t="s">
        <v>359</v>
      </c>
      <c r="Y3414">
        <v>1074</v>
      </c>
      <c r="Z3414" t="s">
        <v>2006</v>
      </c>
      <c r="AA3414" t="s">
        <v>2015</v>
      </c>
      <c r="AC3414" t="s">
        <v>15677</v>
      </c>
      <c r="AE3414">
        <v>55</v>
      </c>
      <c r="AF3414" t="s">
        <v>2902</v>
      </c>
      <c r="AG3414" t="s">
        <v>1754</v>
      </c>
      <c r="AH3414">
        <v>7</v>
      </c>
      <c r="AI3414">
        <v>2</v>
      </c>
      <c r="AJ3414">
        <v>2</v>
      </c>
      <c r="AK3414">
        <v>135.46</v>
      </c>
      <c r="AN3414" t="s">
        <v>2927</v>
      </c>
      <c r="AO3414">
        <v>34000</v>
      </c>
      <c r="AP3414" t="s">
        <v>18146</v>
      </c>
      <c r="AU3414" t="s">
        <v>13051</v>
      </c>
      <c r="AW3414" t="s">
        <v>3054</v>
      </c>
    </row>
    <row r="3415" spans="1:49">
      <c r="A3415" s="1" t="s">
        <v>50</v>
      </c>
      <c r="B3415" t="s">
        <v>57</v>
      </c>
      <c r="C3415" t="s">
        <v>163</v>
      </c>
      <c r="D3415" t="s">
        <v>6717</v>
      </c>
      <c r="E3415" t="s">
        <v>316</v>
      </c>
      <c r="G3415" t="s">
        <v>438</v>
      </c>
      <c r="H3415" t="s">
        <v>960</v>
      </c>
      <c r="I3415" t="s">
        <v>9500</v>
      </c>
      <c r="J3415" t="s">
        <v>11821</v>
      </c>
      <c r="K3415" t="s">
        <v>1641</v>
      </c>
      <c r="L3415">
        <v>10453</v>
      </c>
      <c r="M3415" t="s">
        <v>1670</v>
      </c>
      <c r="Q3415" t="s">
        <v>1938</v>
      </c>
      <c r="R3415" t="s">
        <v>1961</v>
      </c>
      <c r="T3415" t="s">
        <v>1670</v>
      </c>
      <c r="V3415" t="s">
        <v>1972</v>
      </c>
      <c r="X3415" t="s">
        <v>283</v>
      </c>
      <c r="Y3415">
        <v>1110.63</v>
      </c>
      <c r="Z3415" t="s">
        <v>2006</v>
      </c>
      <c r="AA3415" t="s">
        <v>2016</v>
      </c>
      <c r="AC3415" t="s">
        <v>13795</v>
      </c>
      <c r="AE3415">
        <v>170</v>
      </c>
      <c r="AF3415" t="s">
        <v>2902</v>
      </c>
      <c r="AG3415" t="s">
        <v>1754</v>
      </c>
      <c r="AH3415">
        <v>9</v>
      </c>
      <c r="AI3415">
        <v>1</v>
      </c>
      <c r="AJ3415">
        <v>2</v>
      </c>
      <c r="AK3415">
        <v>140.65</v>
      </c>
      <c r="AN3415" t="s">
        <v>2927</v>
      </c>
      <c r="AO3415">
        <v>30000</v>
      </c>
      <c r="AU3415" t="s">
        <v>13051</v>
      </c>
      <c r="AW3415" t="s">
        <v>3045</v>
      </c>
    </row>
    <row r="3416" spans="1:49">
      <c r="A3416" s="1" t="s">
        <v>50</v>
      </c>
      <c r="B3416" t="s">
        <v>57</v>
      </c>
      <c r="C3416" t="s">
        <v>163</v>
      </c>
      <c r="D3416" t="s">
        <v>6718</v>
      </c>
      <c r="E3416" t="s">
        <v>190</v>
      </c>
      <c r="G3416" t="s">
        <v>438</v>
      </c>
      <c r="H3416" t="s">
        <v>960</v>
      </c>
      <c r="I3416" t="s">
        <v>9500</v>
      </c>
      <c r="J3416" t="s">
        <v>11821</v>
      </c>
      <c r="K3416" t="s">
        <v>1641</v>
      </c>
      <c r="L3416">
        <v>10453</v>
      </c>
      <c r="M3416" t="s">
        <v>1670</v>
      </c>
      <c r="P3416" t="s">
        <v>1677</v>
      </c>
      <c r="Q3416" t="s">
        <v>1939</v>
      </c>
      <c r="R3416" t="s">
        <v>1960</v>
      </c>
      <c r="T3416" t="s">
        <v>1670</v>
      </c>
      <c r="V3416" t="s">
        <v>1972</v>
      </c>
      <c r="X3416" t="s">
        <v>283</v>
      </c>
      <c r="Y3416">
        <v>1110.63</v>
      </c>
      <c r="Z3416" t="s">
        <v>2006</v>
      </c>
      <c r="AA3416" t="s">
        <v>2016</v>
      </c>
      <c r="AC3416" t="s">
        <v>13795</v>
      </c>
      <c r="AE3416">
        <v>170</v>
      </c>
      <c r="AF3416" t="s">
        <v>2902</v>
      </c>
      <c r="AG3416" t="s">
        <v>1754</v>
      </c>
      <c r="AH3416">
        <v>9</v>
      </c>
      <c r="AI3416">
        <v>1</v>
      </c>
      <c r="AJ3416">
        <v>2</v>
      </c>
      <c r="AK3416">
        <v>140.65</v>
      </c>
      <c r="AN3416" t="s">
        <v>2927</v>
      </c>
      <c r="AO3416">
        <v>30000</v>
      </c>
      <c r="AU3416" t="s">
        <v>13051</v>
      </c>
      <c r="AW3416" t="s">
        <v>3045</v>
      </c>
    </row>
    <row r="3417" spans="1:49">
      <c r="A3417" s="1" t="s">
        <v>50</v>
      </c>
      <c r="B3417" t="s">
        <v>64</v>
      </c>
      <c r="C3417" t="s">
        <v>164</v>
      </c>
      <c r="D3417" t="s">
        <v>6719</v>
      </c>
      <c r="E3417" t="s">
        <v>258</v>
      </c>
      <c r="F3417" t="s">
        <v>220</v>
      </c>
      <c r="G3417" t="s">
        <v>6932</v>
      </c>
      <c r="H3417" t="s">
        <v>1020</v>
      </c>
      <c r="I3417" t="s">
        <v>11728</v>
      </c>
      <c r="J3417">
        <v>42</v>
      </c>
      <c r="K3417" t="s">
        <v>1643</v>
      </c>
      <c r="L3417">
        <v>10034</v>
      </c>
      <c r="M3417" t="s">
        <v>1670</v>
      </c>
      <c r="Q3417" t="s">
        <v>1941</v>
      </c>
      <c r="R3417" t="s">
        <v>1958</v>
      </c>
      <c r="S3417" t="s">
        <v>1965</v>
      </c>
      <c r="T3417" t="s">
        <v>1671</v>
      </c>
      <c r="V3417" t="s">
        <v>1972</v>
      </c>
      <c r="X3417" t="s">
        <v>258</v>
      </c>
      <c r="Y3417">
        <v>1950</v>
      </c>
      <c r="Z3417" t="s">
        <v>2008</v>
      </c>
      <c r="AA3417" t="s">
        <v>2017</v>
      </c>
      <c r="AB3417" t="s">
        <v>2029</v>
      </c>
      <c r="AC3417" t="s">
        <v>15678</v>
      </c>
      <c r="AE3417">
        <v>21</v>
      </c>
      <c r="AF3417" t="s">
        <v>2903</v>
      </c>
      <c r="AG3417" t="s">
        <v>1754</v>
      </c>
      <c r="AH3417">
        <v>9</v>
      </c>
      <c r="AI3417">
        <v>2</v>
      </c>
      <c r="AJ3417">
        <v>2</v>
      </c>
      <c r="AK3417">
        <v>141.36</v>
      </c>
      <c r="AO3417">
        <v>36400</v>
      </c>
      <c r="AU3417">
        <v>1.4</v>
      </c>
      <c r="AV3417" t="s">
        <v>186</v>
      </c>
      <c r="AW3417" t="s">
        <v>3075</v>
      </c>
    </row>
    <row r="3418" spans="1:49">
      <c r="A3418" s="1" t="s">
        <v>50</v>
      </c>
      <c r="B3418" t="s">
        <v>63</v>
      </c>
      <c r="C3418" t="s">
        <v>163</v>
      </c>
      <c r="D3418" t="s">
        <v>6720</v>
      </c>
      <c r="E3418" t="s">
        <v>190</v>
      </c>
      <c r="G3418" t="s">
        <v>7012</v>
      </c>
      <c r="H3418" t="s">
        <v>10918</v>
      </c>
      <c r="I3418" t="s">
        <v>1112</v>
      </c>
      <c r="J3418" t="s">
        <v>1533</v>
      </c>
      <c r="K3418" t="s">
        <v>1641</v>
      </c>
      <c r="L3418">
        <v>10453</v>
      </c>
      <c r="M3418" t="s">
        <v>1670</v>
      </c>
      <c r="P3418" t="s">
        <v>13014</v>
      </c>
      <c r="Q3418" t="s">
        <v>1940</v>
      </c>
      <c r="R3418" t="s">
        <v>1960</v>
      </c>
      <c r="T3418" t="s">
        <v>1671</v>
      </c>
      <c r="V3418" t="s">
        <v>1972</v>
      </c>
      <c r="X3418" t="s">
        <v>190</v>
      </c>
      <c r="Y3418">
        <v>985</v>
      </c>
      <c r="Z3418" t="s">
        <v>2006</v>
      </c>
      <c r="AA3418" t="s">
        <v>2015</v>
      </c>
      <c r="AC3418" t="s">
        <v>15679</v>
      </c>
      <c r="AE3418">
        <v>167</v>
      </c>
      <c r="AF3418" t="s">
        <v>2902</v>
      </c>
      <c r="AG3418" t="s">
        <v>1754</v>
      </c>
      <c r="AH3418">
        <v>17</v>
      </c>
      <c r="AI3418">
        <v>3</v>
      </c>
      <c r="AJ3418">
        <v>2</v>
      </c>
      <c r="AK3418">
        <v>149.15</v>
      </c>
      <c r="AN3418" t="s">
        <v>2926</v>
      </c>
      <c r="AO3418">
        <v>45000</v>
      </c>
      <c r="AU3418">
        <v>31.7</v>
      </c>
      <c r="AV3418" t="s">
        <v>388</v>
      </c>
      <c r="AW3418" t="s">
        <v>3046</v>
      </c>
    </row>
    <row r="3419" spans="1:49">
      <c r="A3419" s="1" t="s">
        <v>50</v>
      </c>
      <c r="B3419" t="s">
        <v>63</v>
      </c>
      <c r="C3419" t="s">
        <v>163</v>
      </c>
      <c r="D3419" t="s">
        <v>6721</v>
      </c>
      <c r="E3419" t="s">
        <v>256</v>
      </c>
      <c r="G3419" t="s">
        <v>7012</v>
      </c>
      <c r="H3419" t="s">
        <v>10918</v>
      </c>
      <c r="I3419" t="s">
        <v>1112</v>
      </c>
      <c r="J3419" t="s">
        <v>1533</v>
      </c>
      <c r="K3419" t="s">
        <v>1641</v>
      </c>
      <c r="L3419">
        <v>10453</v>
      </c>
      <c r="M3419" t="s">
        <v>1670</v>
      </c>
      <c r="P3419" t="s">
        <v>13014</v>
      </c>
      <c r="Q3419" t="s">
        <v>1940</v>
      </c>
      <c r="R3419" t="s">
        <v>1960</v>
      </c>
      <c r="T3419" t="s">
        <v>1671</v>
      </c>
      <c r="V3419" t="s">
        <v>1972</v>
      </c>
      <c r="X3419" t="s">
        <v>256</v>
      </c>
      <c r="Y3419">
        <v>985</v>
      </c>
      <c r="Z3419" t="s">
        <v>2006</v>
      </c>
      <c r="AA3419" t="s">
        <v>2015</v>
      </c>
      <c r="AC3419" t="s">
        <v>15679</v>
      </c>
      <c r="AE3419">
        <v>167</v>
      </c>
      <c r="AF3419" t="s">
        <v>2902</v>
      </c>
      <c r="AG3419" t="s">
        <v>1754</v>
      </c>
      <c r="AH3419">
        <v>17</v>
      </c>
      <c r="AI3419">
        <v>3</v>
      </c>
      <c r="AJ3419">
        <v>2</v>
      </c>
      <c r="AK3419">
        <v>149.15</v>
      </c>
      <c r="AN3419" t="s">
        <v>2926</v>
      </c>
      <c r="AO3419">
        <v>45000</v>
      </c>
      <c r="AU3419" t="s">
        <v>13051</v>
      </c>
      <c r="AW3419" t="s">
        <v>3045</v>
      </c>
    </row>
    <row r="3420" spans="1:49">
      <c r="A3420" s="1" t="s">
        <v>50</v>
      </c>
      <c r="B3420" t="s">
        <v>57</v>
      </c>
      <c r="C3420" t="s">
        <v>164</v>
      </c>
      <c r="D3420" t="s">
        <v>6722</v>
      </c>
      <c r="E3420" t="s">
        <v>165</v>
      </c>
      <c r="F3420" t="s">
        <v>183</v>
      </c>
      <c r="G3420" t="s">
        <v>7012</v>
      </c>
      <c r="H3420" t="s">
        <v>10918</v>
      </c>
      <c r="I3420" t="s">
        <v>1112</v>
      </c>
      <c r="J3420" t="s">
        <v>1533</v>
      </c>
      <c r="K3420" t="s">
        <v>1641</v>
      </c>
      <c r="L3420">
        <v>10453</v>
      </c>
      <c r="M3420" t="s">
        <v>1670</v>
      </c>
      <c r="Q3420" t="s">
        <v>1675</v>
      </c>
      <c r="R3420" t="s">
        <v>1958</v>
      </c>
      <c r="S3420" t="s">
        <v>1965</v>
      </c>
      <c r="T3420" t="s">
        <v>1670</v>
      </c>
      <c r="V3420" t="s">
        <v>1972</v>
      </c>
      <c r="X3420" t="s">
        <v>13053</v>
      </c>
      <c r="Y3420">
        <v>985</v>
      </c>
      <c r="Z3420" t="s">
        <v>2006</v>
      </c>
      <c r="AA3420" t="s">
        <v>2016</v>
      </c>
      <c r="AB3420" t="s">
        <v>2029</v>
      </c>
      <c r="AC3420" t="s">
        <v>15679</v>
      </c>
      <c r="AE3420">
        <v>170</v>
      </c>
      <c r="AF3420" t="s">
        <v>2902</v>
      </c>
      <c r="AG3420" t="s">
        <v>1754</v>
      </c>
      <c r="AH3420">
        <v>17</v>
      </c>
      <c r="AI3420">
        <v>3</v>
      </c>
      <c r="AJ3420">
        <v>2</v>
      </c>
      <c r="AK3420">
        <v>152.96</v>
      </c>
      <c r="AN3420" t="s">
        <v>2926</v>
      </c>
      <c r="AO3420">
        <v>45000</v>
      </c>
      <c r="AU3420">
        <v>0.5</v>
      </c>
      <c r="AV3420" t="s">
        <v>183</v>
      </c>
      <c r="AW3420" t="s">
        <v>3045</v>
      </c>
    </row>
    <row r="3421" spans="1:49">
      <c r="A3421" s="1" t="s">
        <v>50</v>
      </c>
      <c r="B3421" t="s">
        <v>57</v>
      </c>
      <c r="C3421" t="s">
        <v>163</v>
      </c>
      <c r="D3421" t="s">
        <v>6723</v>
      </c>
      <c r="E3421" t="s">
        <v>266</v>
      </c>
      <c r="G3421" t="s">
        <v>7012</v>
      </c>
      <c r="H3421" t="s">
        <v>10918</v>
      </c>
      <c r="I3421" t="s">
        <v>1112</v>
      </c>
      <c r="J3421" t="s">
        <v>1533</v>
      </c>
      <c r="K3421" t="s">
        <v>1641</v>
      </c>
      <c r="L3421">
        <v>10453</v>
      </c>
      <c r="M3421" t="s">
        <v>1670</v>
      </c>
      <c r="Q3421" t="s">
        <v>1938</v>
      </c>
      <c r="R3421" t="s">
        <v>1961</v>
      </c>
      <c r="T3421" t="s">
        <v>1670</v>
      </c>
      <c r="V3421" t="s">
        <v>1972</v>
      </c>
      <c r="X3421" t="s">
        <v>283</v>
      </c>
      <c r="Y3421">
        <v>985</v>
      </c>
      <c r="Z3421" t="s">
        <v>2006</v>
      </c>
      <c r="AA3421" t="s">
        <v>2016</v>
      </c>
      <c r="AC3421" t="s">
        <v>15679</v>
      </c>
      <c r="AE3421">
        <v>170</v>
      </c>
      <c r="AF3421" t="s">
        <v>2902</v>
      </c>
      <c r="AG3421" t="s">
        <v>1754</v>
      </c>
      <c r="AH3421">
        <v>17</v>
      </c>
      <c r="AI3421">
        <v>3</v>
      </c>
      <c r="AJ3421">
        <v>2</v>
      </c>
      <c r="AK3421">
        <v>152.96</v>
      </c>
      <c r="AN3421" t="s">
        <v>2926</v>
      </c>
      <c r="AO3421">
        <v>45000</v>
      </c>
      <c r="AU3421" t="s">
        <v>13051</v>
      </c>
      <c r="AW3421" t="s">
        <v>3045</v>
      </c>
    </row>
    <row r="3422" spans="1:49">
      <c r="A3422" s="1" t="s">
        <v>50</v>
      </c>
      <c r="B3422" t="s">
        <v>94</v>
      </c>
      <c r="C3422" t="s">
        <v>163</v>
      </c>
      <c r="D3422" t="s">
        <v>6724</v>
      </c>
      <c r="E3422" t="s">
        <v>167</v>
      </c>
      <c r="G3422" t="s">
        <v>9352</v>
      </c>
      <c r="H3422" t="s">
        <v>1048</v>
      </c>
      <c r="I3422" t="s">
        <v>9407</v>
      </c>
      <c r="J3422" t="s">
        <v>1541</v>
      </c>
      <c r="K3422" t="s">
        <v>1643</v>
      </c>
      <c r="L3422">
        <v>10040</v>
      </c>
      <c r="M3422" t="s">
        <v>1670</v>
      </c>
      <c r="Q3422" t="s">
        <v>1938</v>
      </c>
      <c r="R3422" t="s">
        <v>1961</v>
      </c>
      <c r="T3422" t="s">
        <v>1670</v>
      </c>
      <c r="V3422" t="s">
        <v>1972</v>
      </c>
      <c r="X3422" t="s">
        <v>167</v>
      </c>
      <c r="Y3422">
        <v>1585</v>
      </c>
      <c r="Z3422" t="s">
        <v>2008</v>
      </c>
      <c r="AA3422" t="s">
        <v>2020</v>
      </c>
      <c r="AC3422" t="s">
        <v>15680</v>
      </c>
      <c r="AE3422">
        <v>88</v>
      </c>
      <c r="AF3422" t="s">
        <v>2902</v>
      </c>
      <c r="AH3422">
        <v>20</v>
      </c>
      <c r="AI3422">
        <v>3</v>
      </c>
      <c r="AJ3422">
        <v>2</v>
      </c>
      <c r="AK3422">
        <v>163.15</v>
      </c>
      <c r="AN3422" t="s">
        <v>2926</v>
      </c>
      <c r="AO3422">
        <v>48000</v>
      </c>
      <c r="AU3422" t="s">
        <v>13051</v>
      </c>
      <c r="AW3422" t="s">
        <v>3042</v>
      </c>
    </row>
    <row r="3423" spans="1:49">
      <c r="A3423" s="1" t="s">
        <v>50</v>
      </c>
      <c r="B3423" t="s">
        <v>61</v>
      </c>
      <c r="C3423" t="s">
        <v>163</v>
      </c>
      <c r="D3423" t="s">
        <v>6725</v>
      </c>
      <c r="E3423" t="s">
        <v>375</v>
      </c>
      <c r="G3423" t="s">
        <v>9353</v>
      </c>
      <c r="H3423" t="s">
        <v>7011</v>
      </c>
      <c r="I3423" t="s">
        <v>1464</v>
      </c>
      <c r="K3423" t="s">
        <v>1644</v>
      </c>
      <c r="L3423">
        <v>11226</v>
      </c>
      <c r="M3423" t="s">
        <v>1670</v>
      </c>
      <c r="P3423" t="s">
        <v>1929</v>
      </c>
      <c r="Q3423" t="s">
        <v>1938</v>
      </c>
      <c r="R3423" t="s">
        <v>1963</v>
      </c>
      <c r="T3423" t="s">
        <v>1670</v>
      </c>
      <c r="V3423" t="s">
        <v>1972</v>
      </c>
      <c r="X3423" t="s">
        <v>273</v>
      </c>
      <c r="Y3423">
        <v>1295</v>
      </c>
      <c r="Z3423" t="s">
        <v>2009</v>
      </c>
      <c r="AA3423" t="s">
        <v>2015</v>
      </c>
      <c r="AC3423" t="s">
        <v>15681</v>
      </c>
      <c r="AE3423">
        <v>48</v>
      </c>
      <c r="AF3423" t="s">
        <v>2902</v>
      </c>
      <c r="AH3423">
        <v>10</v>
      </c>
      <c r="AI3423">
        <v>2</v>
      </c>
      <c r="AJ3423">
        <v>2</v>
      </c>
      <c r="AK3423">
        <v>163.35</v>
      </c>
      <c r="AN3423" t="s">
        <v>2926</v>
      </c>
      <c r="AO3423">
        <v>41000</v>
      </c>
      <c r="AU3423">
        <v>1.1</v>
      </c>
      <c r="AV3423" t="s">
        <v>267</v>
      </c>
      <c r="AW3423" t="s">
        <v>158</v>
      </c>
    </row>
    <row r="3424" spans="1:49">
      <c r="A3424" s="1" t="s">
        <v>50</v>
      </c>
      <c r="B3424" t="s">
        <v>82</v>
      </c>
      <c r="C3424" t="s">
        <v>163</v>
      </c>
      <c r="D3424" t="s">
        <v>6726</v>
      </c>
      <c r="E3424" t="s">
        <v>179</v>
      </c>
      <c r="G3424" t="s">
        <v>9354</v>
      </c>
      <c r="H3424" t="s">
        <v>10919</v>
      </c>
      <c r="I3424" t="s">
        <v>1144</v>
      </c>
      <c r="J3424" t="s">
        <v>11822</v>
      </c>
      <c r="K3424" t="s">
        <v>1644</v>
      </c>
      <c r="L3424">
        <v>11233</v>
      </c>
      <c r="M3424" t="s">
        <v>1670</v>
      </c>
      <c r="P3424" t="s">
        <v>1675</v>
      </c>
      <c r="Q3424" t="s">
        <v>1937</v>
      </c>
      <c r="R3424" t="s">
        <v>1962</v>
      </c>
      <c r="T3424" t="s">
        <v>1670</v>
      </c>
      <c r="V3424" t="s">
        <v>1972</v>
      </c>
      <c r="W3424" t="s">
        <v>1984</v>
      </c>
      <c r="X3424" t="s">
        <v>221</v>
      </c>
      <c r="Y3424">
        <v>787</v>
      </c>
      <c r="Z3424" t="s">
        <v>2009</v>
      </c>
      <c r="AA3424" t="s">
        <v>2017</v>
      </c>
      <c r="AC3424" t="s">
        <v>15682</v>
      </c>
      <c r="AE3424">
        <v>359</v>
      </c>
      <c r="AF3424" t="s">
        <v>2902</v>
      </c>
      <c r="AH3424">
        <v>10</v>
      </c>
      <c r="AI3424">
        <v>1</v>
      </c>
      <c r="AJ3424">
        <v>2</v>
      </c>
      <c r="AK3424">
        <v>164.09</v>
      </c>
      <c r="AN3424" t="s">
        <v>2926</v>
      </c>
      <c r="AO3424">
        <v>35000</v>
      </c>
      <c r="AP3424" t="s">
        <v>18416</v>
      </c>
      <c r="AU3424" t="s">
        <v>13051</v>
      </c>
      <c r="AW3424" t="s">
        <v>3059</v>
      </c>
    </row>
    <row r="3425" spans="1:49">
      <c r="A3425" s="1" t="s">
        <v>50</v>
      </c>
      <c r="B3425" t="s">
        <v>82</v>
      </c>
      <c r="C3425" t="s">
        <v>163</v>
      </c>
      <c r="D3425" t="s">
        <v>6727</v>
      </c>
      <c r="E3425" t="s">
        <v>179</v>
      </c>
      <c r="G3425" t="s">
        <v>9354</v>
      </c>
      <c r="H3425" t="s">
        <v>10919</v>
      </c>
      <c r="I3425" t="s">
        <v>1144</v>
      </c>
      <c r="J3425" t="s">
        <v>11822</v>
      </c>
      <c r="K3425" t="s">
        <v>1644</v>
      </c>
      <c r="L3425">
        <v>11233</v>
      </c>
      <c r="M3425" t="s">
        <v>1670</v>
      </c>
      <c r="P3425" t="s">
        <v>1754</v>
      </c>
      <c r="Q3425" t="s">
        <v>1938</v>
      </c>
      <c r="R3425" t="s">
        <v>1961</v>
      </c>
      <c r="T3425" t="s">
        <v>1670</v>
      </c>
      <c r="V3425" t="s">
        <v>1972</v>
      </c>
      <c r="W3425" t="s">
        <v>1984</v>
      </c>
      <c r="X3425" t="s">
        <v>248</v>
      </c>
      <c r="Y3425">
        <v>787</v>
      </c>
      <c r="Z3425" t="s">
        <v>2009</v>
      </c>
      <c r="AA3425" t="s">
        <v>2017</v>
      </c>
      <c r="AC3425" t="s">
        <v>15682</v>
      </c>
      <c r="AE3425">
        <v>359</v>
      </c>
      <c r="AF3425" t="s">
        <v>2902</v>
      </c>
      <c r="AH3425">
        <v>10</v>
      </c>
      <c r="AI3425">
        <v>1</v>
      </c>
      <c r="AJ3425">
        <v>2</v>
      </c>
      <c r="AK3425">
        <v>164.09</v>
      </c>
      <c r="AN3425" t="s">
        <v>2926</v>
      </c>
      <c r="AO3425">
        <v>35000</v>
      </c>
      <c r="AP3425" t="s">
        <v>18071</v>
      </c>
      <c r="AU3425" t="s">
        <v>13051</v>
      </c>
      <c r="AW3425" t="s">
        <v>3059</v>
      </c>
    </row>
    <row r="3426" spans="1:49">
      <c r="A3426" s="1" t="s">
        <v>50</v>
      </c>
      <c r="B3426" t="s">
        <v>143</v>
      </c>
      <c r="C3426" t="s">
        <v>163</v>
      </c>
      <c r="D3426" t="s">
        <v>6728</v>
      </c>
      <c r="E3426" t="s">
        <v>339</v>
      </c>
      <c r="G3426" t="s">
        <v>7090</v>
      </c>
      <c r="H3426" t="s">
        <v>7972</v>
      </c>
      <c r="I3426" t="s">
        <v>11729</v>
      </c>
      <c r="J3426" t="s">
        <v>1477</v>
      </c>
      <c r="K3426" t="s">
        <v>1644</v>
      </c>
      <c r="L3426">
        <v>11212</v>
      </c>
      <c r="M3426" t="s">
        <v>1670</v>
      </c>
      <c r="P3426" t="s">
        <v>13015</v>
      </c>
      <c r="Q3426" t="s">
        <v>1936</v>
      </c>
      <c r="R3426" t="s">
        <v>1960</v>
      </c>
      <c r="V3426" t="s">
        <v>1972</v>
      </c>
      <c r="X3426" t="s">
        <v>240</v>
      </c>
      <c r="Y3426" t="s">
        <v>13051</v>
      </c>
      <c r="Z3426" t="s">
        <v>2009</v>
      </c>
      <c r="AA3426" t="s">
        <v>2020</v>
      </c>
      <c r="AC3426" t="s">
        <v>15683</v>
      </c>
      <c r="AE3426">
        <v>42</v>
      </c>
      <c r="AF3426" t="s">
        <v>2902</v>
      </c>
      <c r="AH3426" t="s">
        <v>13051</v>
      </c>
      <c r="AI3426">
        <v>2</v>
      </c>
      <c r="AJ3426">
        <v>2</v>
      </c>
      <c r="AK3426">
        <v>170.87</v>
      </c>
      <c r="AN3426" t="s">
        <v>2926</v>
      </c>
      <c r="AO3426">
        <v>44000</v>
      </c>
      <c r="AU3426">
        <v>15</v>
      </c>
      <c r="AV3426" t="s">
        <v>328</v>
      </c>
      <c r="AW3426" t="s">
        <v>3059</v>
      </c>
    </row>
    <row r="3427" spans="1:49">
      <c r="A3427" s="1" t="s">
        <v>50</v>
      </c>
      <c r="B3427" t="s">
        <v>80</v>
      </c>
      <c r="C3427" t="s">
        <v>163</v>
      </c>
      <c r="D3427" t="s">
        <v>6729</v>
      </c>
      <c r="E3427" t="s">
        <v>347</v>
      </c>
      <c r="G3427" t="s">
        <v>7200</v>
      </c>
      <c r="H3427" t="s">
        <v>10920</v>
      </c>
      <c r="I3427" t="s">
        <v>11730</v>
      </c>
      <c r="J3427" t="s">
        <v>11185</v>
      </c>
      <c r="K3427" t="s">
        <v>1646</v>
      </c>
      <c r="L3427">
        <v>10304</v>
      </c>
      <c r="M3427" t="s">
        <v>1670</v>
      </c>
      <c r="P3427" t="s">
        <v>13016</v>
      </c>
      <c r="Q3427" t="s">
        <v>1936</v>
      </c>
      <c r="R3427" t="s">
        <v>1962</v>
      </c>
      <c r="T3427" t="s">
        <v>1671</v>
      </c>
      <c r="V3427" t="s">
        <v>1972</v>
      </c>
      <c r="X3427" t="s">
        <v>338</v>
      </c>
      <c r="Y3427">
        <v>1540</v>
      </c>
      <c r="Z3427" t="s">
        <v>2010</v>
      </c>
      <c r="AC3427" t="s">
        <v>13659</v>
      </c>
      <c r="AE3427">
        <v>3</v>
      </c>
      <c r="AH3427" t="s">
        <v>13051</v>
      </c>
      <c r="AI3427">
        <v>2</v>
      </c>
      <c r="AJ3427">
        <v>2</v>
      </c>
      <c r="AK3427">
        <v>186.45</v>
      </c>
      <c r="AN3427" t="s">
        <v>2927</v>
      </c>
      <c r="AO3427">
        <v>46800</v>
      </c>
      <c r="AU3427">
        <v>1.5</v>
      </c>
      <c r="AV3427" t="s">
        <v>338</v>
      </c>
      <c r="AW3427" t="s">
        <v>3043</v>
      </c>
    </row>
    <row r="3428" spans="1:49">
      <c r="A3428" s="1" t="s">
        <v>50</v>
      </c>
      <c r="B3428" t="s">
        <v>95</v>
      </c>
      <c r="C3428" t="s">
        <v>164</v>
      </c>
      <c r="D3428" t="s">
        <v>6730</v>
      </c>
      <c r="E3428" t="s">
        <v>187</v>
      </c>
      <c r="F3428" t="s">
        <v>297</v>
      </c>
      <c r="G3428" t="s">
        <v>9355</v>
      </c>
      <c r="H3428" t="s">
        <v>10921</v>
      </c>
      <c r="I3428" t="s">
        <v>11731</v>
      </c>
      <c r="K3428" t="s">
        <v>1641</v>
      </c>
      <c r="L3428">
        <v>10452</v>
      </c>
      <c r="M3428" t="s">
        <v>1670</v>
      </c>
      <c r="Q3428" t="s">
        <v>1675</v>
      </c>
      <c r="R3428" t="s">
        <v>1958</v>
      </c>
      <c r="S3428" t="s">
        <v>1965</v>
      </c>
      <c r="T3428" t="s">
        <v>1671</v>
      </c>
      <c r="V3428" t="s">
        <v>1972</v>
      </c>
      <c r="X3428" t="s">
        <v>196</v>
      </c>
      <c r="Y3428">
        <v>1122</v>
      </c>
      <c r="Z3428" t="s">
        <v>2006</v>
      </c>
      <c r="AA3428" t="s">
        <v>2020</v>
      </c>
      <c r="AB3428" t="s">
        <v>2029</v>
      </c>
      <c r="AC3428" t="s">
        <v>15684</v>
      </c>
      <c r="AE3428" t="s">
        <v>13051</v>
      </c>
      <c r="AF3428" t="s">
        <v>2902</v>
      </c>
      <c r="AG3428" t="s">
        <v>1754</v>
      </c>
      <c r="AH3428">
        <v>4</v>
      </c>
      <c r="AI3428">
        <v>1</v>
      </c>
      <c r="AJ3428">
        <v>2</v>
      </c>
      <c r="AK3428">
        <v>195.48</v>
      </c>
      <c r="AN3428" t="s">
        <v>2927</v>
      </c>
      <c r="AO3428">
        <v>40620</v>
      </c>
      <c r="AU3428">
        <v>1</v>
      </c>
      <c r="AV3428" t="s">
        <v>196</v>
      </c>
      <c r="AW3428" t="s">
        <v>95</v>
      </c>
    </row>
    <row r="3429" spans="1:49">
      <c r="A3429" s="1" t="s">
        <v>50</v>
      </c>
      <c r="B3429" t="s">
        <v>125</v>
      </c>
      <c r="C3429" t="s">
        <v>164</v>
      </c>
      <c r="D3429" t="s">
        <v>6731</v>
      </c>
      <c r="E3429" t="s">
        <v>308</v>
      </c>
      <c r="F3429" t="s">
        <v>307</v>
      </c>
      <c r="G3429" t="s">
        <v>9356</v>
      </c>
      <c r="H3429" t="s">
        <v>10922</v>
      </c>
      <c r="I3429" t="s">
        <v>11732</v>
      </c>
      <c r="K3429" t="s">
        <v>1644</v>
      </c>
      <c r="L3429">
        <v>11210</v>
      </c>
      <c r="M3429" t="s">
        <v>1670</v>
      </c>
      <c r="P3429" t="s">
        <v>13017</v>
      </c>
      <c r="Q3429" t="s">
        <v>1940</v>
      </c>
      <c r="R3429" t="s">
        <v>1960</v>
      </c>
      <c r="S3429" t="s">
        <v>1969</v>
      </c>
      <c r="T3429" t="s">
        <v>1671</v>
      </c>
      <c r="V3429" t="s">
        <v>1972</v>
      </c>
      <c r="W3429" t="s">
        <v>1983</v>
      </c>
      <c r="X3429" t="s">
        <v>167</v>
      </c>
      <c r="Y3429">
        <v>1900</v>
      </c>
      <c r="Z3429" t="s">
        <v>2009</v>
      </c>
      <c r="AA3429" t="s">
        <v>2028</v>
      </c>
      <c r="AB3429" t="s">
        <v>2032</v>
      </c>
      <c r="AC3429" t="s">
        <v>2373</v>
      </c>
      <c r="AE3429">
        <v>169</v>
      </c>
      <c r="AF3429" t="s">
        <v>2902</v>
      </c>
      <c r="AG3429" t="s">
        <v>2917</v>
      </c>
      <c r="AH3429" t="s">
        <v>13051</v>
      </c>
      <c r="AI3429">
        <v>2</v>
      </c>
      <c r="AJ3429">
        <v>3</v>
      </c>
      <c r="AK3429">
        <v>0</v>
      </c>
      <c r="AN3429" t="s">
        <v>2926</v>
      </c>
      <c r="AO3429" t="s">
        <v>13051</v>
      </c>
      <c r="AQ3429" t="s">
        <v>2978</v>
      </c>
      <c r="AR3429" t="s">
        <v>2017</v>
      </c>
      <c r="AS3429" t="s">
        <v>2993</v>
      </c>
      <c r="AT3429" t="s">
        <v>18565</v>
      </c>
      <c r="AU3429">
        <v>12.9</v>
      </c>
      <c r="AV3429" t="s">
        <v>307</v>
      </c>
      <c r="AW3429" t="s">
        <v>3074</v>
      </c>
    </row>
    <row r="3430" spans="1:49">
      <c r="A3430" s="1" t="s">
        <v>50</v>
      </c>
      <c r="B3430" t="s">
        <v>64</v>
      </c>
      <c r="C3430" t="s">
        <v>164</v>
      </c>
      <c r="D3430" t="s">
        <v>6732</v>
      </c>
      <c r="E3430" t="s">
        <v>231</v>
      </c>
      <c r="F3430" t="s">
        <v>285</v>
      </c>
      <c r="G3430" t="s">
        <v>7174</v>
      </c>
      <c r="H3430" t="s">
        <v>1031</v>
      </c>
      <c r="I3430" t="s">
        <v>11733</v>
      </c>
      <c r="J3430" t="s">
        <v>11785</v>
      </c>
      <c r="K3430" t="s">
        <v>1643</v>
      </c>
      <c r="L3430">
        <v>10034</v>
      </c>
      <c r="M3430" t="s">
        <v>1670</v>
      </c>
      <c r="Q3430" t="s">
        <v>1941</v>
      </c>
      <c r="R3430" t="s">
        <v>1958</v>
      </c>
      <c r="S3430" t="s">
        <v>1965</v>
      </c>
      <c r="T3430" t="s">
        <v>1671</v>
      </c>
      <c r="V3430" t="s">
        <v>1972</v>
      </c>
      <c r="X3430" t="s">
        <v>231</v>
      </c>
      <c r="Y3430">
        <v>912.6900000000001</v>
      </c>
      <c r="Z3430" t="s">
        <v>2008</v>
      </c>
      <c r="AA3430" t="s">
        <v>2013</v>
      </c>
      <c r="AB3430" t="s">
        <v>2029</v>
      </c>
      <c r="AC3430" t="s">
        <v>15685</v>
      </c>
      <c r="AE3430">
        <v>78</v>
      </c>
      <c r="AF3430" t="s">
        <v>2902</v>
      </c>
      <c r="AG3430" t="s">
        <v>1754</v>
      </c>
      <c r="AH3430">
        <v>20</v>
      </c>
      <c r="AI3430">
        <v>2</v>
      </c>
      <c r="AJ3430">
        <v>3</v>
      </c>
      <c r="AK3430">
        <v>19.39</v>
      </c>
      <c r="AN3430" t="s">
        <v>2926</v>
      </c>
      <c r="AO3430">
        <v>5706</v>
      </c>
      <c r="AU3430">
        <v>4.8</v>
      </c>
      <c r="AV3430" t="s">
        <v>174</v>
      </c>
      <c r="AW3430" t="s">
        <v>3042</v>
      </c>
    </row>
    <row r="3431" spans="1:49">
      <c r="A3431" s="1" t="s">
        <v>50</v>
      </c>
      <c r="B3431" t="s">
        <v>103</v>
      </c>
      <c r="C3431" t="s">
        <v>163</v>
      </c>
      <c r="D3431" t="s">
        <v>6733</v>
      </c>
      <c r="E3431" t="s">
        <v>277</v>
      </c>
      <c r="G3431" t="s">
        <v>493</v>
      </c>
      <c r="H3431" t="s">
        <v>897</v>
      </c>
      <c r="I3431" t="s">
        <v>11734</v>
      </c>
      <c r="J3431" t="s">
        <v>1509</v>
      </c>
      <c r="K3431" t="s">
        <v>1644</v>
      </c>
      <c r="L3431">
        <v>11207</v>
      </c>
      <c r="M3431" t="s">
        <v>1670</v>
      </c>
      <c r="P3431" t="s">
        <v>13018</v>
      </c>
      <c r="R3431" t="s">
        <v>1960</v>
      </c>
      <c r="T3431" t="s">
        <v>1671</v>
      </c>
      <c r="V3431" t="s">
        <v>1972</v>
      </c>
      <c r="X3431" t="s">
        <v>237</v>
      </c>
      <c r="Y3431" t="s">
        <v>13051</v>
      </c>
      <c r="Z3431" t="s">
        <v>2009</v>
      </c>
      <c r="AC3431" t="s">
        <v>15686</v>
      </c>
      <c r="AE3431" t="s">
        <v>13051</v>
      </c>
      <c r="AH3431" t="s">
        <v>13051</v>
      </c>
      <c r="AI3431">
        <v>1</v>
      </c>
      <c r="AJ3431">
        <v>3</v>
      </c>
      <c r="AK3431">
        <v>20.18</v>
      </c>
      <c r="AN3431" t="s">
        <v>2926</v>
      </c>
      <c r="AO3431">
        <v>5196</v>
      </c>
      <c r="AU3431">
        <v>14.25</v>
      </c>
      <c r="AV3431" t="s">
        <v>248</v>
      </c>
      <c r="AW3431" t="s">
        <v>103</v>
      </c>
    </row>
    <row r="3432" spans="1:49">
      <c r="A3432" s="1" t="s">
        <v>50</v>
      </c>
      <c r="B3432" t="s">
        <v>74</v>
      </c>
      <c r="C3432" t="s">
        <v>163</v>
      </c>
      <c r="D3432" t="s">
        <v>6734</v>
      </c>
      <c r="E3432" t="s">
        <v>230</v>
      </c>
      <c r="G3432" t="s">
        <v>9357</v>
      </c>
      <c r="H3432" t="s">
        <v>1003</v>
      </c>
      <c r="I3432" t="s">
        <v>1131</v>
      </c>
      <c r="J3432" t="s">
        <v>1546</v>
      </c>
      <c r="K3432" t="s">
        <v>1641</v>
      </c>
      <c r="L3432">
        <v>10460</v>
      </c>
      <c r="M3432" t="s">
        <v>1670</v>
      </c>
      <c r="Q3432" t="s">
        <v>1675</v>
      </c>
      <c r="R3432" t="s">
        <v>1959</v>
      </c>
      <c r="T3432" t="s">
        <v>1670</v>
      </c>
      <c r="V3432" t="s">
        <v>1972</v>
      </c>
      <c r="X3432" t="s">
        <v>1991</v>
      </c>
      <c r="Y3432">
        <v>129</v>
      </c>
      <c r="Z3432" t="s">
        <v>2006</v>
      </c>
      <c r="AA3432" t="s">
        <v>2015</v>
      </c>
      <c r="AC3432" t="s">
        <v>15392</v>
      </c>
      <c r="AE3432">
        <v>168</v>
      </c>
      <c r="AF3432" t="s">
        <v>2902</v>
      </c>
      <c r="AG3432" t="s">
        <v>2915</v>
      </c>
      <c r="AH3432">
        <v>3</v>
      </c>
      <c r="AI3432">
        <v>1</v>
      </c>
      <c r="AJ3432">
        <v>3</v>
      </c>
      <c r="AK3432">
        <v>25.63</v>
      </c>
      <c r="AN3432" t="s">
        <v>2927</v>
      </c>
      <c r="AO3432">
        <v>6600</v>
      </c>
      <c r="AU3432" t="s">
        <v>13051</v>
      </c>
      <c r="AW3432" t="s">
        <v>3054</v>
      </c>
    </row>
    <row r="3433" spans="1:49">
      <c r="A3433" s="1" t="s">
        <v>50</v>
      </c>
      <c r="B3433" t="s">
        <v>74</v>
      </c>
      <c r="C3433" t="s">
        <v>163</v>
      </c>
      <c r="D3433" t="s">
        <v>6735</v>
      </c>
      <c r="E3433" t="s">
        <v>375</v>
      </c>
      <c r="G3433" t="s">
        <v>9357</v>
      </c>
      <c r="H3433" t="s">
        <v>1003</v>
      </c>
      <c r="I3433" t="s">
        <v>1131</v>
      </c>
      <c r="J3433" t="s">
        <v>1546</v>
      </c>
      <c r="K3433" t="s">
        <v>1641</v>
      </c>
      <c r="L3433">
        <v>10460</v>
      </c>
      <c r="M3433" t="s">
        <v>1670</v>
      </c>
      <c r="P3433" t="s">
        <v>1692</v>
      </c>
      <c r="Q3433" t="s">
        <v>1939</v>
      </c>
      <c r="R3433" t="s">
        <v>1960</v>
      </c>
      <c r="T3433" t="s">
        <v>1670</v>
      </c>
      <c r="V3433" t="s">
        <v>1972</v>
      </c>
      <c r="X3433" t="s">
        <v>283</v>
      </c>
      <c r="Y3433">
        <v>129</v>
      </c>
      <c r="Z3433" t="s">
        <v>2006</v>
      </c>
      <c r="AA3433" t="s">
        <v>2015</v>
      </c>
      <c r="AC3433" t="s">
        <v>15392</v>
      </c>
      <c r="AE3433">
        <v>168</v>
      </c>
      <c r="AG3433" t="s">
        <v>2915</v>
      </c>
      <c r="AH3433">
        <v>3</v>
      </c>
      <c r="AI3433">
        <v>1</v>
      </c>
      <c r="AJ3433">
        <v>3</v>
      </c>
      <c r="AK3433">
        <v>26.29</v>
      </c>
      <c r="AN3433" t="s">
        <v>2927</v>
      </c>
      <c r="AO3433">
        <v>6600</v>
      </c>
      <c r="AU3433" t="s">
        <v>13051</v>
      </c>
      <c r="AW3433" t="s">
        <v>76</v>
      </c>
    </row>
    <row r="3434" spans="1:49">
      <c r="A3434" s="1" t="s">
        <v>50</v>
      </c>
      <c r="B3434" t="s">
        <v>126</v>
      </c>
      <c r="C3434" t="s">
        <v>164</v>
      </c>
      <c r="D3434" t="s">
        <v>6736</v>
      </c>
      <c r="E3434" t="s">
        <v>292</v>
      </c>
      <c r="F3434" t="s">
        <v>292</v>
      </c>
      <c r="G3434" t="s">
        <v>9358</v>
      </c>
      <c r="H3434" t="s">
        <v>10923</v>
      </c>
      <c r="I3434" t="s">
        <v>11735</v>
      </c>
      <c r="J3434" t="s">
        <v>11823</v>
      </c>
      <c r="K3434" t="s">
        <v>1641</v>
      </c>
      <c r="L3434">
        <v>10452</v>
      </c>
      <c r="M3434" t="s">
        <v>1670</v>
      </c>
      <c r="Q3434" t="s">
        <v>1941</v>
      </c>
      <c r="R3434" t="s">
        <v>1962</v>
      </c>
      <c r="S3434" t="s">
        <v>1968</v>
      </c>
      <c r="V3434" t="s">
        <v>1972</v>
      </c>
      <c r="X3434" t="s">
        <v>1991</v>
      </c>
      <c r="Y3434">
        <v>1518.75</v>
      </c>
      <c r="Z3434" t="s">
        <v>2006</v>
      </c>
      <c r="AB3434" t="s">
        <v>2030</v>
      </c>
      <c r="AC3434" t="s">
        <v>15687</v>
      </c>
      <c r="AE3434" t="s">
        <v>13051</v>
      </c>
      <c r="AH3434">
        <v>4</v>
      </c>
      <c r="AI3434">
        <v>1</v>
      </c>
      <c r="AJ3434">
        <v>3</v>
      </c>
      <c r="AK3434">
        <v>38.25</v>
      </c>
      <c r="AN3434" t="s">
        <v>2926</v>
      </c>
      <c r="AO3434">
        <v>9600</v>
      </c>
      <c r="AU3434">
        <v>1.2</v>
      </c>
      <c r="AV3434" t="s">
        <v>292</v>
      </c>
      <c r="AW3434" t="s">
        <v>126</v>
      </c>
    </row>
    <row r="3435" spans="1:49">
      <c r="A3435" s="1" t="s">
        <v>50</v>
      </c>
      <c r="B3435" t="s">
        <v>55</v>
      </c>
      <c r="C3435" t="s">
        <v>164</v>
      </c>
      <c r="D3435" t="s">
        <v>6737</v>
      </c>
      <c r="E3435" t="s">
        <v>318</v>
      </c>
      <c r="F3435" t="s">
        <v>243</v>
      </c>
      <c r="G3435" t="s">
        <v>451</v>
      </c>
      <c r="H3435" t="s">
        <v>10924</v>
      </c>
      <c r="I3435" t="s">
        <v>1255</v>
      </c>
      <c r="J3435" t="s">
        <v>1511</v>
      </c>
      <c r="K3435" t="s">
        <v>1644</v>
      </c>
      <c r="L3435">
        <v>11207</v>
      </c>
      <c r="M3435" t="s">
        <v>1671</v>
      </c>
      <c r="P3435" t="s">
        <v>1675</v>
      </c>
      <c r="Q3435" t="s">
        <v>1938</v>
      </c>
      <c r="R3435" t="s">
        <v>1958</v>
      </c>
      <c r="S3435" t="s">
        <v>1965</v>
      </c>
      <c r="T3435" t="s">
        <v>1670</v>
      </c>
      <c r="V3435" t="s">
        <v>1972</v>
      </c>
      <c r="W3435" t="s">
        <v>1984</v>
      </c>
      <c r="X3435" t="s">
        <v>252</v>
      </c>
      <c r="Y3435" t="s">
        <v>13051</v>
      </c>
      <c r="Z3435" t="s">
        <v>2009</v>
      </c>
      <c r="AA3435" t="s">
        <v>2020</v>
      </c>
      <c r="AB3435" t="s">
        <v>2029</v>
      </c>
      <c r="AC3435" t="s">
        <v>15688</v>
      </c>
      <c r="AE3435">
        <v>6</v>
      </c>
      <c r="AF3435" t="s">
        <v>2902</v>
      </c>
      <c r="AH3435" t="s">
        <v>13051</v>
      </c>
      <c r="AI3435">
        <v>1</v>
      </c>
      <c r="AJ3435">
        <v>3</v>
      </c>
      <c r="AK3435">
        <v>41.43</v>
      </c>
      <c r="AN3435" t="s">
        <v>2926</v>
      </c>
      <c r="AO3435">
        <v>10400</v>
      </c>
      <c r="AU3435">
        <v>0.25</v>
      </c>
      <c r="AV3435" t="s">
        <v>243</v>
      </c>
      <c r="AW3435" t="s">
        <v>3060</v>
      </c>
    </row>
    <row r="3436" spans="1:49">
      <c r="A3436" s="1" t="s">
        <v>50</v>
      </c>
      <c r="B3436" t="s">
        <v>133</v>
      </c>
      <c r="C3436" t="s">
        <v>163</v>
      </c>
      <c r="D3436" t="s">
        <v>6738</v>
      </c>
      <c r="E3436" t="s">
        <v>318</v>
      </c>
      <c r="G3436" t="s">
        <v>451</v>
      </c>
      <c r="H3436" t="s">
        <v>10924</v>
      </c>
      <c r="I3436" t="s">
        <v>1255</v>
      </c>
      <c r="J3436" t="s">
        <v>1511</v>
      </c>
      <c r="K3436" t="s">
        <v>1644</v>
      </c>
      <c r="L3436">
        <v>11207</v>
      </c>
      <c r="M3436" t="s">
        <v>1671</v>
      </c>
      <c r="P3436" t="s">
        <v>1675</v>
      </c>
      <c r="R3436" t="s">
        <v>1962</v>
      </c>
      <c r="T3436" t="s">
        <v>1670</v>
      </c>
      <c r="V3436" t="s">
        <v>1972</v>
      </c>
      <c r="W3436" t="s">
        <v>1984</v>
      </c>
      <c r="X3436" t="s">
        <v>252</v>
      </c>
      <c r="Y3436" t="s">
        <v>13051</v>
      </c>
      <c r="Z3436" t="s">
        <v>2009</v>
      </c>
      <c r="AA3436" t="s">
        <v>2020</v>
      </c>
      <c r="AC3436" t="s">
        <v>15688</v>
      </c>
      <c r="AE3436">
        <v>6</v>
      </c>
      <c r="AF3436" t="s">
        <v>2902</v>
      </c>
      <c r="AH3436" t="s">
        <v>13051</v>
      </c>
      <c r="AI3436">
        <v>1</v>
      </c>
      <c r="AJ3436">
        <v>3</v>
      </c>
      <c r="AK3436">
        <v>41.43</v>
      </c>
      <c r="AN3436" t="s">
        <v>2926</v>
      </c>
      <c r="AO3436">
        <v>10400</v>
      </c>
      <c r="AU3436" t="s">
        <v>13051</v>
      </c>
      <c r="AW3436" t="s">
        <v>3060</v>
      </c>
    </row>
    <row r="3437" spans="1:49">
      <c r="A3437" s="1" t="s">
        <v>50</v>
      </c>
      <c r="B3437" t="s">
        <v>133</v>
      </c>
      <c r="C3437" t="s">
        <v>163</v>
      </c>
      <c r="D3437" t="s">
        <v>6739</v>
      </c>
      <c r="E3437" t="s">
        <v>318</v>
      </c>
      <c r="G3437" t="s">
        <v>451</v>
      </c>
      <c r="H3437" t="s">
        <v>10924</v>
      </c>
      <c r="I3437" t="s">
        <v>1255</v>
      </c>
      <c r="J3437" t="s">
        <v>1511</v>
      </c>
      <c r="K3437" t="s">
        <v>1644</v>
      </c>
      <c r="L3437">
        <v>11207</v>
      </c>
      <c r="M3437" t="s">
        <v>1671</v>
      </c>
      <c r="P3437" t="s">
        <v>1675</v>
      </c>
      <c r="Q3437" t="s">
        <v>1941</v>
      </c>
      <c r="R3437" t="s">
        <v>1959</v>
      </c>
      <c r="T3437" t="s">
        <v>1670</v>
      </c>
      <c r="V3437" t="s">
        <v>1972</v>
      </c>
      <c r="W3437" t="s">
        <v>1984</v>
      </c>
      <c r="X3437" t="s">
        <v>1989</v>
      </c>
      <c r="Y3437" t="s">
        <v>13051</v>
      </c>
      <c r="Z3437" t="s">
        <v>2009</v>
      </c>
      <c r="AA3437" t="s">
        <v>2020</v>
      </c>
      <c r="AC3437" t="s">
        <v>15688</v>
      </c>
      <c r="AE3437">
        <v>6</v>
      </c>
      <c r="AF3437" t="s">
        <v>2902</v>
      </c>
      <c r="AH3437" t="s">
        <v>13051</v>
      </c>
      <c r="AI3437">
        <v>1</v>
      </c>
      <c r="AJ3437">
        <v>3</v>
      </c>
      <c r="AK3437">
        <v>41.43</v>
      </c>
      <c r="AN3437" t="s">
        <v>2926</v>
      </c>
      <c r="AO3437">
        <v>10400</v>
      </c>
      <c r="AU3437" t="s">
        <v>13051</v>
      </c>
      <c r="AW3437" t="s">
        <v>3060</v>
      </c>
    </row>
    <row r="3438" spans="1:49">
      <c r="A3438" s="1" t="s">
        <v>50</v>
      </c>
      <c r="B3438" t="s">
        <v>133</v>
      </c>
      <c r="C3438" t="s">
        <v>163</v>
      </c>
      <c r="D3438" t="s">
        <v>6740</v>
      </c>
      <c r="E3438" t="s">
        <v>318</v>
      </c>
      <c r="G3438" t="s">
        <v>451</v>
      </c>
      <c r="H3438" t="s">
        <v>10924</v>
      </c>
      <c r="I3438" t="s">
        <v>1255</v>
      </c>
      <c r="J3438" t="s">
        <v>1511</v>
      </c>
      <c r="K3438" t="s">
        <v>1644</v>
      </c>
      <c r="L3438">
        <v>11207</v>
      </c>
      <c r="M3438" t="s">
        <v>1671</v>
      </c>
      <c r="Q3438" t="s">
        <v>1938</v>
      </c>
      <c r="R3438" t="s">
        <v>1961</v>
      </c>
      <c r="T3438" t="s">
        <v>1670</v>
      </c>
      <c r="V3438" t="s">
        <v>1972</v>
      </c>
      <c r="W3438" t="s">
        <v>1984</v>
      </c>
      <c r="X3438" t="s">
        <v>1989</v>
      </c>
      <c r="Y3438" t="s">
        <v>13051</v>
      </c>
      <c r="Z3438" t="s">
        <v>2009</v>
      </c>
      <c r="AA3438" t="s">
        <v>2020</v>
      </c>
      <c r="AC3438" t="s">
        <v>15688</v>
      </c>
      <c r="AE3438">
        <v>6</v>
      </c>
      <c r="AF3438" t="s">
        <v>2902</v>
      </c>
      <c r="AH3438" t="s">
        <v>13051</v>
      </c>
      <c r="AI3438">
        <v>1</v>
      </c>
      <c r="AJ3438">
        <v>3</v>
      </c>
      <c r="AK3438">
        <v>41.43</v>
      </c>
      <c r="AN3438" t="s">
        <v>2926</v>
      </c>
      <c r="AO3438">
        <v>10400</v>
      </c>
      <c r="AU3438">
        <v>0.25</v>
      </c>
      <c r="AV3438" t="s">
        <v>243</v>
      </c>
      <c r="AW3438" t="s">
        <v>3060</v>
      </c>
    </row>
    <row r="3439" spans="1:49">
      <c r="A3439" s="1" t="s">
        <v>50</v>
      </c>
      <c r="B3439" t="s">
        <v>133</v>
      </c>
      <c r="C3439" t="s">
        <v>163</v>
      </c>
      <c r="D3439" t="s">
        <v>6741</v>
      </c>
      <c r="E3439" t="s">
        <v>318</v>
      </c>
      <c r="G3439" t="s">
        <v>451</v>
      </c>
      <c r="H3439" t="s">
        <v>10924</v>
      </c>
      <c r="I3439" t="s">
        <v>1255</v>
      </c>
      <c r="J3439" t="s">
        <v>1511</v>
      </c>
      <c r="K3439" t="s">
        <v>1644</v>
      </c>
      <c r="L3439">
        <v>11207</v>
      </c>
      <c r="M3439" t="s">
        <v>1671</v>
      </c>
      <c r="P3439" t="s">
        <v>1675</v>
      </c>
      <c r="Q3439" t="s">
        <v>1951</v>
      </c>
      <c r="R3439" t="s">
        <v>1960</v>
      </c>
      <c r="T3439" t="s">
        <v>1670</v>
      </c>
      <c r="V3439" t="s">
        <v>1972</v>
      </c>
      <c r="W3439" t="s">
        <v>1984</v>
      </c>
      <c r="X3439" t="s">
        <v>252</v>
      </c>
      <c r="Y3439" t="s">
        <v>13051</v>
      </c>
      <c r="Z3439" t="s">
        <v>2009</v>
      </c>
      <c r="AA3439" t="s">
        <v>2020</v>
      </c>
      <c r="AC3439" t="s">
        <v>15688</v>
      </c>
      <c r="AE3439">
        <v>6</v>
      </c>
      <c r="AF3439" t="s">
        <v>2902</v>
      </c>
      <c r="AH3439" t="s">
        <v>13051</v>
      </c>
      <c r="AI3439">
        <v>1</v>
      </c>
      <c r="AJ3439">
        <v>3</v>
      </c>
      <c r="AK3439">
        <v>41.43</v>
      </c>
      <c r="AN3439" t="s">
        <v>2926</v>
      </c>
      <c r="AO3439">
        <v>10400</v>
      </c>
      <c r="AU3439" t="s">
        <v>13051</v>
      </c>
      <c r="AW3439" t="s">
        <v>3060</v>
      </c>
    </row>
    <row r="3440" spans="1:49">
      <c r="A3440" s="1" t="s">
        <v>50</v>
      </c>
      <c r="B3440" t="s">
        <v>133</v>
      </c>
      <c r="C3440" t="s">
        <v>163</v>
      </c>
      <c r="D3440" t="s">
        <v>6742</v>
      </c>
      <c r="E3440" t="s">
        <v>318</v>
      </c>
      <c r="G3440" t="s">
        <v>451</v>
      </c>
      <c r="H3440" t="s">
        <v>10924</v>
      </c>
      <c r="I3440" t="s">
        <v>1255</v>
      </c>
      <c r="J3440" t="s">
        <v>1511</v>
      </c>
      <c r="K3440" t="s">
        <v>1644</v>
      </c>
      <c r="L3440">
        <v>11207</v>
      </c>
      <c r="M3440" t="s">
        <v>1671</v>
      </c>
      <c r="P3440" t="s">
        <v>1675</v>
      </c>
      <c r="Q3440" t="s">
        <v>1952</v>
      </c>
      <c r="R3440" t="s">
        <v>1960</v>
      </c>
      <c r="T3440" t="s">
        <v>1670</v>
      </c>
      <c r="V3440" t="s">
        <v>1972</v>
      </c>
      <c r="W3440" t="s">
        <v>1984</v>
      </c>
      <c r="X3440" t="s">
        <v>261</v>
      </c>
      <c r="Y3440" t="s">
        <v>13051</v>
      </c>
      <c r="Z3440" t="s">
        <v>2009</v>
      </c>
      <c r="AA3440" t="s">
        <v>2020</v>
      </c>
      <c r="AC3440" t="s">
        <v>15688</v>
      </c>
      <c r="AE3440">
        <v>6</v>
      </c>
      <c r="AF3440" t="s">
        <v>2902</v>
      </c>
      <c r="AH3440" t="s">
        <v>13051</v>
      </c>
      <c r="AI3440">
        <v>1</v>
      </c>
      <c r="AJ3440">
        <v>3</v>
      </c>
      <c r="AK3440">
        <v>41.43</v>
      </c>
      <c r="AN3440" t="s">
        <v>2926</v>
      </c>
      <c r="AO3440">
        <v>10400</v>
      </c>
      <c r="AU3440" t="s">
        <v>13051</v>
      </c>
      <c r="AW3440" t="s">
        <v>3060</v>
      </c>
    </row>
    <row r="3441" spans="1:49">
      <c r="A3441" s="1" t="s">
        <v>51</v>
      </c>
      <c r="B3441" t="s">
        <v>151</v>
      </c>
      <c r="C3441" t="s">
        <v>163</v>
      </c>
      <c r="D3441" t="s">
        <v>6743</v>
      </c>
      <c r="E3441" t="s">
        <v>405</v>
      </c>
      <c r="G3441" t="s">
        <v>9359</v>
      </c>
      <c r="H3441" t="s">
        <v>10925</v>
      </c>
      <c r="I3441" t="s">
        <v>11736</v>
      </c>
      <c r="K3441" t="s">
        <v>1650</v>
      </c>
      <c r="L3441">
        <v>11418</v>
      </c>
      <c r="M3441" t="s">
        <v>1670</v>
      </c>
      <c r="P3441" t="s">
        <v>13019</v>
      </c>
      <c r="Q3441" t="s">
        <v>1675</v>
      </c>
      <c r="R3441" t="s">
        <v>1963</v>
      </c>
      <c r="T3441" t="s">
        <v>1671</v>
      </c>
      <c r="V3441" t="s">
        <v>1972</v>
      </c>
      <c r="X3441" t="s">
        <v>354</v>
      </c>
      <c r="Y3441">
        <v>1100</v>
      </c>
      <c r="Z3441" t="s">
        <v>2007</v>
      </c>
      <c r="AA3441" t="s">
        <v>2012</v>
      </c>
      <c r="AC3441" t="s">
        <v>15689</v>
      </c>
      <c r="AE3441">
        <v>4</v>
      </c>
      <c r="AG3441" t="s">
        <v>1754</v>
      </c>
      <c r="AH3441">
        <v>11</v>
      </c>
      <c r="AI3441">
        <v>1</v>
      </c>
      <c r="AJ3441">
        <v>3</v>
      </c>
      <c r="AK3441">
        <v>50.49</v>
      </c>
      <c r="AL3441" t="s">
        <v>2923</v>
      </c>
      <c r="AM3441" t="s">
        <v>2924</v>
      </c>
      <c r="AN3441" t="s">
        <v>2926</v>
      </c>
      <c r="AO3441">
        <v>13000</v>
      </c>
      <c r="AU3441">
        <v>0.75</v>
      </c>
      <c r="AV3441" t="s">
        <v>354</v>
      </c>
      <c r="AW3441" t="s">
        <v>151</v>
      </c>
    </row>
    <row r="3442" spans="1:49">
      <c r="A3442" s="1" t="s">
        <v>50</v>
      </c>
      <c r="B3442" t="s">
        <v>130</v>
      </c>
      <c r="C3442" t="s">
        <v>164</v>
      </c>
      <c r="D3442" t="s">
        <v>6744</v>
      </c>
      <c r="E3442" t="s">
        <v>190</v>
      </c>
      <c r="F3442" t="s">
        <v>240</v>
      </c>
      <c r="G3442" t="s">
        <v>9360</v>
      </c>
      <c r="H3442" t="s">
        <v>856</v>
      </c>
      <c r="I3442" t="s">
        <v>9783</v>
      </c>
      <c r="J3442">
        <v>2</v>
      </c>
      <c r="K3442" t="s">
        <v>1644</v>
      </c>
      <c r="L3442">
        <v>11208</v>
      </c>
      <c r="M3442" t="s">
        <v>1670</v>
      </c>
      <c r="P3442" t="s">
        <v>12082</v>
      </c>
      <c r="Q3442" t="s">
        <v>1939</v>
      </c>
      <c r="R3442" t="s">
        <v>1960</v>
      </c>
      <c r="S3442" t="s">
        <v>1969</v>
      </c>
      <c r="T3442" t="s">
        <v>1670</v>
      </c>
      <c r="V3442" t="s">
        <v>1972</v>
      </c>
      <c r="W3442" t="s">
        <v>1984</v>
      </c>
      <c r="X3442" t="s">
        <v>1992</v>
      </c>
      <c r="Y3442">
        <v>900</v>
      </c>
      <c r="Z3442" t="s">
        <v>2009</v>
      </c>
      <c r="AA3442" t="s">
        <v>2020</v>
      </c>
      <c r="AB3442" t="s">
        <v>2029</v>
      </c>
      <c r="AC3442" t="s">
        <v>15690</v>
      </c>
      <c r="AE3442">
        <v>7</v>
      </c>
      <c r="AF3442" t="s">
        <v>2904</v>
      </c>
      <c r="AG3442" t="s">
        <v>1754</v>
      </c>
      <c r="AH3442" t="s">
        <v>13051</v>
      </c>
      <c r="AI3442">
        <v>2</v>
      </c>
      <c r="AJ3442">
        <v>3</v>
      </c>
      <c r="AK3442">
        <v>59.66</v>
      </c>
      <c r="AN3442" t="s">
        <v>2927</v>
      </c>
      <c r="AO3442">
        <v>18000</v>
      </c>
      <c r="AP3442" t="s">
        <v>18417</v>
      </c>
      <c r="AR3442" t="s">
        <v>18461</v>
      </c>
      <c r="AU3442">
        <v>0.1</v>
      </c>
      <c r="AV3442" t="s">
        <v>240</v>
      </c>
      <c r="AW3442" t="s">
        <v>3060</v>
      </c>
    </row>
    <row r="3443" spans="1:49">
      <c r="A3443" s="1" t="s">
        <v>50</v>
      </c>
      <c r="B3443" t="s">
        <v>130</v>
      </c>
      <c r="C3443" t="s">
        <v>164</v>
      </c>
      <c r="D3443" t="s">
        <v>6745</v>
      </c>
      <c r="E3443" t="s">
        <v>407</v>
      </c>
      <c r="F3443" t="s">
        <v>309</v>
      </c>
      <c r="G3443" t="s">
        <v>9360</v>
      </c>
      <c r="H3443" t="s">
        <v>856</v>
      </c>
      <c r="I3443" t="s">
        <v>9783</v>
      </c>
      <c r="J3443">
        <v>2</v>
      </c>
      <c r="K3443" t="s">
        <v>1644</v>
      </c>
      <c r="L3443">
        <v>11208</v>
      </c>
      <c r="M3443" t="s">
        <v>1670</v>
      </c>
      <c r="Q3443" t="s">
        <v>1937</v>
      </c>
      <c r="R3443" t="s">
        <v>1959</v>
      </c>
      <c r="S3443" t="s">
        <v>1967</v>
      </c>
      <c r="T3443" t="s">
        <v>1670</v>
      </c>
      <c r="V3443" t="s">
        <v>1972</v>
      </c>
      <c r="X3443" t="s">
        <v>352</v>
      </c>
      <c r="Y3443">
        <v>900</v>
      </c>
      <c r="Z3443" t="s">
        <v>2009</v>
      </c>
      <c r="AB3443" t="s">
        <v>2030</v>
      </c>
      <c r="AC3443" t="s">
        <v>15690</v>
      </c>
      <c r="AE3443">
        <v>7</v>
      </c>
      <c r="AF3443" t="s">
        <v>2903</v>
      </c>
      <c r="AH3443" t="s">
        <v>13051</v>
      </c>
      <c r="AI3443">
        <v>2</v>
      </c>
      <c r="AJ3443">
        <v>3</v>
      </c>
      <c r="AK3443">
        <v>62.54</v>
      </c>
      <c r="AN3443" t="s">
        <v>2927</v>
      </c>
      <c r="AO3443">
        <v>18000</v>
      </c>
      <c r="AU3443">
        <v>0.6</v>
      </c>
      <c r="AV3443" t="s">
        <v>309</v>
      </c>
      <c r="AW3443" t="s">
        <v>18684</v>
      </c>
    </row>
    <row r="3444" spans="1:49">
      <c r="A3444" s="1" t="s">
        <v>50</v>
      </c>
      <c r="B3444" t="s">
        <v>133</v>
      </c>
      <c r="C3444" t="s">
        <v>163</v>
      </c>
      <c r="D3444" t="s">
        <v>6746</v>
      </c>
      <c r="E3444" t="s">
        <v>272</v>
      </c>
      <c r="G3444" t="s">
        <v>9361</v>
      </c>
      <c r="H3444" t="s">
        <v>10926</v>
      </c>
      <c r="I3444" t="s">
        <v>1380</v>
      </c>
      <c r="J3444" t="s">
        <v>10967</v>
      </c>
      <c r="K3444" t="s">
        <v>1644</v>
      </c>
      <c r="L3444">
        <v>11213</v>
      </c>
      <c r="M3444" t="s">
        <v>1670</v>
      </c>
      <c r="P3444" t="s">
        <v>1754</v>
      </c>
      <c r="Q3444" t="s">
        <v>1675</v>
      </c>
      <c r="R3444" t="s">
        <v>1959</v>
      </c>
      <c r="T3444" t="s">
        <v>1670</v>
      </c>
      <c r="V3444" t="s">
        <v>1972</v>
      </c>
      <c r="W3444" t="s">
        <v>1984</v>
      </c>
      <c r="X3444" t="s">
        <v>213</v>
      </c>
      <c r="Y3444">
        <v>606</v>
      </c>
      <c r="Z3444" t="s">
        <v>2009</v>
      </c>
      <c r="AA3444" t="s">
        <v>2015</v>
      </c>
      <c r="AC3444" t="s">
        <v>15691</v>
      </c>
      <c r="AE3444">
        <v>35</v>
      </c>
      <c r="AF3444" t="s">
        <v>2902</v>
      </c>
      <c r="AG3444" t="s">
        <v>1754</v>
      </c>
      <c r="AH3444">
        <v>5</v>
      </c>
      <c r="AI3444">
        <v>2</v>
      </c>
      <c r="AJ3444">
        <v>3</v>
      </c>
      <c r="AK3444">
        <v>79.55</v>
      </c>
      <c r="AN3444" t="s">
        <v>2926</v>
      </c>
      <c r="AO3444">
        <v>24000</v>
      </c>
      <c r="AP3444" t="s">
        <v>18418</v>
      </c>
      <c r="AU3444" t="s">
        <v>13051</v>
      </c>
      <c r="AW3444" t="s">
        <v>3060</v>
      </c>
    </row>
    <row r="3445" spans="1:49">
      <c r="A3445" s="1" t="s">
        <v>50</v>
      </c>
      <c r="B3445" t="s">
        <v>133</v>
      </c>
      <c r="C3445" t="s">
        <v>163</v>
      </c>
      <c r="D3445" t="s">
        <v>6747</v>
      </c>
      <c r="E3445" t="s">
        <v>252</v>
      </c>
      <c r="G3445" t="s">
        <v>9361</v>
      </c>
      <c r="H3445" t="s">
        <v>10926</v>
      </c>
      <c r="I3445" t="s">
        <v>1380</v>
      </c>
      <c r="J3445" t="s">
        <v>10967</v>
      </c>
      <c r="K3445" t="s">
        <v>1644</v>
      </c>
      <c r="L3445">
        <v>11213</v>
      </c>
      <c r="M3445" t="s">
        <v>1670</v>
      </c>
      <c r="Q3445" t="s">
        <v>1939</v>
      </c>
      <c r="R3445" t="s">
        <v>1960</v>
      </c>
      <c r="T3445" t="s">
        <v>1670</v>
      </c>
      <c r="V3445" t="s">
        <v>1972</v>
      </c>
      <c r="W3445" t="s">
        <v>1984</v>
      </c>
      <c r="X3445" t="s">
        <v>13041</v>
      </c>
      <c r="Y3445">
        <v>606</v>
      </c>
      <c r="Z3445" t="s">
        <v>2009</v>
      </c>
      <c r="AA3445" t="s">
        <v>2015</v>
      </c>
      <c r="AC3445" t="s">
        <v>15691</v>
      </c>
      <c r="AE3445">
        <v>35</v>
      </c>
      <c r="AF3445" t="s">
        <v>2902</v>
      </c>
      <c r="AG3445" t="s">
        <v>1754</v>
      </c>
      <c r="AH3445">
        <v>5</v>
      </c>
      <c r="AI3445">
        <v>2</v>
      </c>
      <c r="AJ3445">
        <v>3</v>
      </c>
      <c r="AK3445">
        <v>81.58</v>
      </c>
      <c r="AM3445" t="s">
        <v>18032</v>
      </c>
      <c r="AN3445" t="s">
        <v>2926</v>
      </c>
      <c r="AO3445">
        <v>24000</v>
      </c>
      <c r="AU3445">
        <v>0.1</v>
      </c>
      <c r="AV3445" t="s">
        <v>328</v>
      </c>
      <c r="AW3445" t="s">
        <v>3060</v>
      </c>
    </row>
    <row r="3446" spans="1:49">
      <c r="A3446" s="1" t="s">
        <v>50</v>
      </c>
      <c r="B3446" t="s">
        <v>82</v>
      </c>
      <c r="C3446" t="s">
        <v>163</v>
      </c>
      <c r="D3446" t="s">
        <v>6748</v>
      </c>
      <c r="E3446" t="s">
        <v>256</v>
      </c>
      <c r="G3446" t="s">
        <v>510</v>
      </c>
      <c r="H3446" t="s">
        <v>10927</v>
      </c>
      <c r="I3446" t="s">
        <v>9482</v>
      </c>
      <c r="J3446" t="s">
        <v>1593</v>
      </c>
      <c r="K3446" t="s">
        <v>1644</v>
      </c>
      <c r="L3446">
        <v>11233</v>
      </c>
      <c r="M3446" t="s">
        <v>1670</v>
      </c>
      <c r="Q3446" t="s">
        <v>1937</v>
      </c>
      <c r="R3446" t="s">
        <v>1962</v>
      </c>
      <c r="T3446" t="s">
        <v>1670</v>
      </c>
      <c r="V3446" t="s">
        <v>1972</v>
      </c>
      <c r="W3446" t="s">
        <v>1984</v>
      </c>
      <c r="X3446" t="s">
        <v>221</v>
      </c>
      <c r="Y3446">
        <v>1321</v>
      </c>
      <c r="Z3446" t="s">
        <v>2009</v>
      </c>
      <c r="AA3446" t="s">
        <v>2017</v>
      </c>
      <c r="AC3446" t="s">
        <v>13721</v>
      </c>
      <c r="AE3446">
        <v>359</v>
      </c>
      <c r="AF3446" t="s">
        <v>2902</v>
      </c>
      <c r="AH3446">
        <v>34</v>
      </c>
      <c r="AI3446">
        <v>1</v>
      </c>
      <c r="AJ3446">
        <v>3</v>
      </c>
      <c r="AK3446">
        <v>89.8</v>
      </c>
      <c r="AN3446" t="s">
        <v>2926</v>
      </c>
      <c r="AO3446">
        <v>23124</v>
      </c>
      <c r="AP3446" t="s">
        <v>18419</v>
      </c>
      <c r="AU3446" t="s">
        <v>13051</v>
      </c>
      <c r="AW3446" t="s">
        <v>3059</v>
      </c>
    </row>
    <row r="3447" spans="1:49">
      <c r="A3447" s="1" t="s">
        <v>50</v>
      </c>
      <c r="B3447" t="s">
        <v>82</v>
      </c>
      <c r="C3447" t="s">
        <v>163</v>
      </c>
      <c r="D3447" t="s">
        <v>6749</v>
      </c>
      <c r="E3447" t="s">
        <v>256</v>
      </c>
      <c r="G3447" t="s">
        <v>510</v>
      </c>
      <c r="H3447" t="s">
        <v>10927</v>
      </c>
      <c r="I3447" t="s">
        <v>9482</v>
      </c>
      <c r="J3447" t="s">
        <v>1593</v>
      </c>
      <c r="K3447" t="s">
        <v>1644</v>
      </c>
      <c r="L3447">
        <v>11233</v>
      </c>
      <c r="M3447" t="s">
        <v>1670</v>
      </c>
      <c r="Q3447" t="s">
        <v>1938</v>
      </c>
      <c r="R3447" t="s">
        <v>1961</v>
      </c>
      <c r="T3447" t="s">
        <v>1670</v>
      </c>
      <c r="V3447" t="s">
        <v>1972</v>
      </c>
      <c r="W3447" t="s">
        <v>1984</v>
      </c>
      <c r="X3447" t="s">
        <v>248</v>
      </c>
      <c r="Y3447">
        <v>1321</v>
      </c>
      <c r="Z3447" t="s">
        <v>2009</v>
      </c>
      <c r="AA3447" t="s">
        <v>2017</v>
      </c>
      <c r="AC3447" t="s">
        <v>13721</v>
      </c>
      <c r="AE3447">
        <v>359</v>
      </c>
      <c r="AF3447" t="s">
        <v>2902</v>
      </c>
      <c r="AH3447">
        <v>34</v>
      </c>
      <c r="AI3447">
        <v>1</v>
      </c>
      <c r="AJ3447">
        <v>3</v>
      </c>
      <c r="AK3447">
        <v>89.8</v>
      </c>
      <c r="AN3447" t="s">
        <v>2926</v>
      </c>
      <c r="AO3447">
        <v>23124</v>
      </c>
      <c r="AP3447" t="s">
        <v>18139</v>
      </c>
      <c r="AU3447" t="s">
        <v>13051</v>
      </c>
      <c r="AW3447" t="s">
        <v>3059</v>
      </c>
    </row>
    <row r="3448" spans="1:49">
      <c r="A3448" s="1" t="s">
        <v>50</v>
      </c>
      <c r="B3448" t="s">
        <v>62</v>
      </c>
      <c r="C3448" t="s">
        <v>163</v>
      </c>
      <c r="D3448" t="s">
        <v>6750</v>
      </c>
      <c r="E3448" t="s">
        <v>6776</v>
      </c>
      <c r="G3448" t="s">
        <v>9362</v>
      </c>
      <c r="H3448" t="s">
        <v>10928</v>
      </c>
      <c r="I3448" t="s">
        <v>9451</v>
      </c>
      <c r="J3448" t="s">
        <v>11824</v>
      </c>
      <c r="K3448" t="s">
        <v>1644</v>
      </c>
      <c r="L3448">
        <v>11225</v>
      </c>
      <c r="M3448" t="s">
        <v>1670</v>
      </c>
      <c r="P3448" t="s">
        <v>13020</v>
      </c>
      <c r="Q3448" t="s">
        <v>1939</v>
      </c>
      <c r="R3448" t="s">
        <v>1960</v>
      </c>
      <c r="T3448" t="s">
        <v>1670</v>
      </c>
      <c r="V3448" t="s">
        <v>1972</v>
      </c>
      <c r="X3448" t="s">
        <v>1992</v>
      </c>
      <c r="Y3448">
        <v>1322.21</v>
      </c>
      <c r="Z3448" t="s">
        <v>2009</v>
      </c>
      <c r="AA3448" t="s">
        <v>2015</v>
      </c>
      <c r="AC3448" t="s">
        <v>15692</v>
      </c>
      <c r="AE3448">
        <v>47</v>
      </c>
      <c r="AF3448" t="s">
        <v>2902</v>
      </c>
      <c r="AG3448" t="s">
        <v>1754</v>
      </c>
      <c r="AH3448">
        <v>15</v>
      </c>
      <c r="AI3448">
        <v>2</v>
      </c>
      <c r="AJ3448">
        <v>3</v>
      </c>
      <c r="AK3448">
        <v>98.56999999999999</v>
      </c>
      <c r="AN3448" t="s">
        <v>2926</v>
      </c>
      <c r="AO3448">
        <v>29000</v>
      </c>
      <c r="AU3448">
        <v>59.25</v>
      </c>
      <c r="AV3448" t="s">
        <v>317</v>
      </c>
      <c r="AW3448" t="s">
        <v>3079</v>
      </c>
    </row>
    <row r="3449" spans="1:49">
      <c r="A3449" s="1" t="s">
        <v>50</v>
      </c>
      <c r="B3449" t="s">
        <v>97</v>
      </c>
      <c r="C3449" t="s">
        <v>163</v>
      </c>
      <c r="D3449" t="s">
        <v>6751</v>
      </c>
      <c r="E3449" t="s">
        <v>185</v>
      </c>
      <c r="G3449" t="s">
        <v>427</v>
      </c>
      <c r="H3449" t="s">
        <v>10929</v>
      </c>
      <c r="I3449" t="s">
        <v>11737</v>
      </c>
      <c r="J3449">
        <v>5</v>
      </c>
      <c r="K3449" t="s">
        <v>1643</v>
      </c>
      <c r="L3449">
        <v>10034</v>
      </c>
      <c r="M3449" t="s">
        <v>1670</v>
      </c>
      <c r="P3449" t="s">
        <v>13021</v>
      </c>
      <c r="Q3449" t="s">
        <v>1936</v>
      </c>
      <c r="R3449" t="s">
        <v>1960</v>
      </c>
      <c r="T3449" t="s">
        <v>1671</v>
      </c>
      <c r="V3449" t="s">
        <v>1972</v>
      </c>
      <c r="X3449" t="s">
        <v>185</v>
      </c>
      <c r="Y3449">
        <v>1250</v>
      </c>
      <c r="Z3449" t="s">
        <v>2008</v>
      </c>
      <c r="AA3449" t="s">
        <v>2013</v>
      </c>
      <c r="AC3449" t="s">
        <v>15693</v>
      </c>
      <c r="AE3449">
        <v>63</v>
      </c>
      <c r="AF3449" t="s">
        <v>2902</v>
      </c>
      <c r="AG3449" t="s">
        <v>1754</v>
      </c>
      <c r="AH3449">
        <v>3</v>
      </c>
      <c r="AI3449">
        <v>2</v>
      </c>
      <c r="AJ3449">
        <v>3</v>
      </c>
      <c r="AK3449">
        <v>114.89</v>
      </c>
      <c r="AN3449" t="s">
        <v>2927</v>
      </c>
      <c r="AO3449">
        <v>33800</v>
      </c>
      <c r="AU3449">
        <v>45.2</v>
      </c>
      <c r="AV3449" t="s">
        <v>325</v>
      </c>
      <c r="AW3449" t="s">
        <v>3042</v>
      </c>
    </row>
    <row r="3450" spans="1:49">
      <c r="A3450" s="1" t="s">
        <v>50</v>
      </c>
      <c r="B3450" t="s">
        <v>54</v>
      </c>
      <c r="C3450" t="s">
        <v>164</v>
      </c>
      <c r="D3450" t="s">
        <v>6752</v>
      </c>
      <c r="E3450" t="s">
        <v>349</v>
      </c>
      <c r="F3450" t="s">
        <v>273</v>
      </c>
      <c r="G3450" t="s">
        <v>9363</v>
      </c>
      <c r="H3450" t="s">
        <v>8736</v>
      </c>
      <c r="I3450" t="s">
        <v>9675</v>
      </c>
      <c r="J3450" t="s">
        <v>11265</v>
      </c>
      <c r="K3450" t="s">
        <v>1643</v>
      </c>
      <c r="L3450">
        <v>10034</v>
      </c>
      <c r="M3450" t="s">
        <v>1670</v>
      </c>
      <c r="R3450" t="s">
        <v>1962</v>
      </c>
      <c r="S3450" t="s">
        <v>1968</v>
      </c>
      <c r="T3450" t="s">
        <v>1671</v>
      </c>
      <c r="V3450" t="s">
        <v>1972</v>
      </c>
      <c r="X3450" t="s">
        <v>349</v>
      </c>
      <c r="Y3450">
        <v>1140.53</v>
      </c>
      <c r="Z3450" t="s">
        <v>2008</v>
      </c>
      <c r="AA3450" t="s">
        <v>2013</v>
      </c>
      <c r="AB3450" t="s">
        <v>2038</v>
      </c>
      <c r="AC3450" t="s">
        <v>15694</v>
      </c>
      <c r="AE3450">
        <v>101</v>
      </c>
      <c r="AF3450" t="s">
        <v>2902</v>
      </c>
      <c r="AG3450" t="s">
        <v>1754</v>
      </c>
      <c r="AH3450">
        <v>9</v>
      </c>
      <c r="AI3450">
        <v>2</v>
      </c>
      <c r="AJ3450">
        <v>3</v>
      </c>
      <c r="AK3450">
        <v>116.48</v>
      </c>
      <c r="AN3450" t="s">
        <v>2927</v>
      </c>
      <c r="AO3450">
        <v>34268</v>
      </c>
      <c r="AU3450">
        <v>0.6</v>
      </c>
      <c r="AV3450" t="s">
        <v>382</v>
      </c>
      <c r="AW3450" t="s">
        <v>3042</v>
      </c>
    </row>
    <row r="3451" spans="1:49">
      <c r="A3451" s="1" t="s">
        <v>50</v>
      </c>
      <c r="B3451" t="s">
        <v>82</v>
      </c>
      <c r="C3451" t="s">
        <v>163</v>
      </c>
      <c r="D3451" t="s">
        <v>6753</v>
      </c>
      <c r="E3451" t="s">
        <v>269</v>
      </c>
      <c r="G3451" t="s">
        <v>9364</v>
      </c>
      <c r="H3451" t="s">
        <v>10930</v>
      </c>
      <c r="I3451" t="s">
        <v>1144</v>
      </c>
      <c r="J3451" t="s">
        <v>11327</v>
      </c>
      <c r="K3451" t="s">
        <v>1644</v>
      </c>
      <c r="L3451">
        <v>11233</v>
      </c>
      <c r="M3451" t="s">
        <v>1670</v>
      </c>
      <c r="Q3451" t="s">
        <v>1937</v>
      </c>
      <c r="R3451" t="s">
        <v>1962</v>
      </c>
      <c r="T3451" t="s">
        <v>1671</v>
      </c>
      <c r="V3451" t="s">
        <v>1972</v>
      </c>
      <c r="W3451" t="s">
        <v>1984</v>
      </c>
      <c r="X3451" t="s">
        <v>221</v>
      </c>
      <c r="Y3451" t="s">
        <v>13051</v>
      </c>
      <c r="Z3451" t="s">
        <v>2009</v>
      </c>
      <c r="AC3451" t="s">
        <v>15695</v>
      </c>
      <c r="AE3451">
        <v>359</v>
      </c>
      <c r="AF3451" t="s">
        <v>2902</v>
      </c>
      <c r="AH3451" t="s">
        <v>13051</v>
      </c>
      <c r="AI3451">
        <v>2</v>
      </c>
      <c r="AJ3451">
        <v>3</v>
      </c>
      <c r="AK3451">
        <v>142.53</v>
      </c>
      <c r="AN3451" t="s">
        <v>2017</v>
      </c>
      <c r="AO3451">
        <v>43000</v>
      </c>
      <c r="AP3451" t="s">
        <v>18420</v>
      </c>
      <c r="AU3451" t="s">
        <v>13051</v>
      </c>
      <c r="AW3451" t="s">
        <v>3060</v>
      </c>
    </row>
    <row r="3452" spans="1:49">
      <c r="A3452" s="1" t="s">
        <v>50</v>
      </c>
      <c r="B3452" t="s">
        <v>82</v>
      </c>
      <c r="C3452" t="s">
        <v>163</v>
      </c>
      <c r="D3452" t="s">
        <v>6754</v>
      </c>
      <c r="E3452" t="s">
        <v>269</v>
      </c>
      <c r="G3452" t="s">
        <v>9364</v>
      </c>
      <c r="H3452" t="s">
        <v>10930</v>
      </c>
      <c r="I3452" t="s">
        <v>1144</v>
      </c>
      <c r="J3452" t="s">
        <v>11327</v>
      </c>
      <c r="K3452" t="s">
        <v>1644</v>
      </c>
      <c r="L3452">
        <v>11233</v>
      </c>
      <c r="M3452" t="s">
        <v>1670</v>
      </c>
      <c r="Q3452" t="s">
        <v>1938</v>
      </c>
      <c r="R3452" t="s">
        <v>1961</v>
      </c>
      <c r="T3452" t="s">
        <v>1670</v>
      </c>
      <c r="V3452" t="s">
        <v>1972</v>
      </c>
      <c r="W3452" t="s">
        <v>1984</v>
      </c>
      <c r="X3452" t="s">
        <v>248</v>
      </c>
      <c r="Y3452" t="s">
        <v>13051</v>
      </c>
      <c r="Z3452" t="s">
        <v>2009</v>
      </c>
      <c r="AC3452" t="s">
        <v>15695</v>
      </c>
      <c r="AE3452">
        <v>359</v>
      </c>
      <c r="AF3452" t="s">
        <v>2902</v>
      </c>
      <c r="AH3452" t="s">
        <v>13051</v>
      </c>
      <c r="AI3452">
        <v>2</v>
      </c>
      <c r="AJ3452">
        <v>3</v>
      </c>
      <c r="AK3452">
        <v>142.53</v>
      </c>
      <c r="AN3452" t="s">
        <v>2017</v>
      </c>
      <c r="AO3452">
        <v>43000</v>
      </c>
      <c r="AP3452" t="s">
        <v>18094</v>
      </c>
      <c r="AU3452" t="s">
        <v>13051</v>
      </c>
      <c r="AW3452" t="s">
        <v>3060</v>
      </c>
    </row>
    <row r="3453" spans="1:49">
      <c r="A3453" s="1" t="s">
        <v>50</v>
      </c>
      <c r="B3453" t="s">
        <v>73</v>
      </c>
      <c r="C3453" t="s">
        <v>163</v>
      </c>
      <c r="D3453" t="s">
        <v>6755</v>
      </c>
      <c r="E3453" t="s">
        <v>212</v>
      </c>
      <c r="G3453" t="s">
        <v>9169</v>
      </c>
      <c r="H3453" t="s">
        <v>10931</v>
      </c>
      <c r="I3453" t="s">
        <v>11738</v>
      </c>
      <c r="J3453">
        <v>50</v>
      </c>
      <c r="K3453" t="s">
        <v>1666</v>
      </c>
      <c r="L3453">
        <v>11368</v>
      </c>
      <c r="M3453" t="s">
        <v>1670</v>
      </c>
      <c r="P3453" t="s">
        <v>13022</v>
      </c>
      <c r="Q3453" t="s">
        <v>1936</v>
      </c>
      <c r="R3453" t="s">
        <v>1963</v>
      </c>
      <c r="T3453" t="s">
        <v>1671</v>
      </c>
      <c r="V3453" t="s">
        <v>1972</v>
      </c>
      <c r="W3453" t="s">
        <v>1985</v>
      </c>
      <c r="X3453" t="s">
        <v>212</v>
      </c>
      <c r="Y3453">
        <v>1715</v>
      </c>
      <c r="Z3453" t="s">
        <v>2007</v>
      </c>
      <c r="AA3453" t="s">
        <v>2014</v>
      </c>
      <c r="AC3453" t="s">
        <v>15696</v>
      </c>
      <c r="AE3453" t="s">
        <v>13051</v>
      </c>
      <c r="AF3453" t="s">
        <v>2902</v>
      </c>
      <c r="AH3453">
        <v>2</v>
      </c>
      <c r="AI3453">
        <v>2</v>
      </c>
      <c r="AJ3453">
        <v>4</v>
      </c>
      <c r="AK3453">
        <v>0</v>
      </c>
      <c r="AN3453" t="s">
        <v>2927</v>
      </c>
      <c r="AO3453" t="s">
        <v>13051</v>
      </c>
      <c r="AU3453">
        <v>1.15</v>
      </c>
      <c r="AV3453" t="s">
        <v>385</v>
      </c>
      <c r="AW3453" t="s">
        <v>73</v>
      </c>
    </row>
    <row r="3454" spans="1:49">
      <c r="A3454" s="1" t="s">
        <v>50</v>
      </c>
      <c r="B3454" t="s">
        <v>82</v>
      </c>
      <c r="C3454" t="s">
        <v>163</v>
      </c>
      <c r="D3454" t="s">
        <v>6756</v>
      </c>
      <c r="E3454" t="s">
        <v>403</v>
      </c>
      <c r="G3454" t="s">
        <v>7727</v>
      </c>
      <c r="H3454" t="s">
        <v>10932</v>
      </c>
      <c r="I3454" t="s">
        <v>1144</v>
      </c>
      <c r="J3454" t="s">
        <v>11825</v>
      </c>
      <c r="K3454" t="s">
        <v>1644</v>
      </c>
      <c r="L3454">
        <v>11233</v>
      </c>
      <c r="M3454" t="s">
        <v>1670</v>
      </c>
      <c r="P3454" t="s">
        <v>1687</v>
      </c>
      <c r="Q3454" t="s">
        <v>1937</v>
      </c>
      <c r="R3454" t="s">
        <v>1962</v>
      </c>
      <c r="T3454" t="s">
        <v>1670</v>
      </c>
      <c r="V3454" t="s">
        <v>1972</v>
      </c>
      <c r="W3454" t="s">
        <v>1984</v>
      </c>
      <c r="X3454" t="s">
        <v>221</v>
      </c>
      <c r="Y3454">
        <v>1170</v>
      </c>
      <c r="Z3454" t="s">
        <v>2009</v>
      </c>
      <c r="AA3454" t="s">
        <v>2017</v>
      </c>
      <c r="AE3454">
        <v>359</v>
      </c>
      <c r="AF3454" t="s">
        <v>2902</v>
      </c>
      <c r="AH3454">
        <v>29</v>
      </c>
      <c r="AI3454">
        <v>3</v>
      </c>
      <c r="AJ3454">
        <v>4</v>
      </c>
      <c r="AK3454">
        <v>17.94</v>
      </c>
      <c r="AN3454" t="s">
        <v>2926</v>
      </c>
      <c r="AO3454">
        <v>7000</v>
      </c>
      <c r="AP3454" t="s">
        <v>18421</v>
      </c>
      <c r="AU3454" t="s">
        <v>13051</v>
      </c>
      <c r="AW3454" t="s">
        <v>3059</v>
      </c>
    </row>
    <row r="3455" spans="1:49">
      <c r="A3455" s="1" t="s">
        <v>50</v>
      </c>
      <c r="B3455" t="s">
        <v>82</v>
      </c>
      <c r="C3455" t="s">
        <v>163</v>
      </c>
      <c r="D3455" t="s">
        <v>6757</v>
      </c>
      <c r="E3455" t="s">
        <v>403</v>
      </c>
      <c r="G3455" t="s">
        <v>7727</v>
      </c>
      <c r="H3455" t="s">
        <v>10932</v>
      </c>
      <c r="I3455" t="s">
        <v>1144</v>
      </c>
      <c r="J3455" t="s">
        <v>11825</v>
      </c>
      <c r="K3455" t="s">
        <v>1644</v>
      </c>
      <c r="L3455">
        <v>11233</v>
      </c>
      <c r="M3455" t="s">
        <v>1670</v>
      </c>
      <c r="P3455" t="s">
        <v>1754</v>
      </c>
      <c r="Q3455" t="s">
        <v>1938</v>
      </c>
      <c r="R3455" t="s">
        <v>1961</v>
      </c>
      <c r="T3455" t="s">
        <v>1670</v>
      </c>
      <c r="V3455" t="s">
        <v>1972</v>
      </c>
      <c r="W3455" t="s">
        <v>1984</v>
      </c>
      <c r="X3455" t="s">
        <v>248</v>
      </c>
      <c r="Y3455">
        <v>1170</v>
      </c>
      <c r="Z3455" t="s">
        <v>2009</v>
      </c>
      <c r="AA3455" t="s">
        <v>2017</v>
      </c>
      <c r="AE3455">
        <v>359</v>
      </c>
      <c r="AF3455" t="s">
        <v>2902</v>
      </c>
      <c r="AH3455">
        <v>29</v>
      </c>
      <c r="AI3455">
        <v>3</v>
      </c>
      <c r="AJ3455">
        <v>4</v>
      </c>
      <c r="AK3455">
        <v>17.94</v>
      </c>
      <c r="AN3455" t="s">
        <v>2926</v>
      </c>
      <c r="AO3455">
        <v>7000</v>
      </c>
      <c r="AP3455" t="s">
        <v>18071</v>
      </c>
      <c r="AU3455" t="s">
        <v>13051</v>
      </c>
      <c r="AW3455" t="s">
        <v>3059</v>
      </c>
    </row>
    <row r="3456" spans="1:49">
      <c r="A3456" s="1" t="s">
        <v>50</v>
      </c>
      <c r="B3456" t="s">
        <v>123</v>
      </c>
      <c r="C3456" t="s">
        <v>163</v>
      </c>
      <c r="D3456" t="s">
        <v>6758</v>
      </c>
      <c r="E3456" t="s">
        <v>301</v>
      </c>
      <c r="G3456" t="s">
        <v>553</v>
      </c>
      <c r="H3456" t="s">
        <v>870</v>
      </c>
      <c r="I3456" t="s">
        <v>1284</v>
      </c>
      <c r="J3456" t="s">
        <v>1578</v>
      </c>
      <c r="K3456" t="s">
        <v>1641</v>
      </c>
      <c r="L3456">
        <v>10452</v>
      </c>
      <c r="M3456" t="s">
        <v>1670</v>
      </c>
      <c r="P3456" t="s">
        <v>13023</v>
      </c>
      <c r="Q3456" t="s">
        <v>1936</v>
      </c>
      <c r="R3456" t="s">
        <v>1958</v>
      </c>
      <c r="T3456" t="s">
        <v>1671</v>
      </c>
      <c r="V3456" t="s">
        <v>1972</v>
      </c>
      <c r="W3456" t="s">
        <v>1984</v>
      </c>
      <c r="X3456" t="s">
        <v>301</v>
      </c>
      <c r="Y3456">
        <v>1070</v>
      </c>
      <c r="Z3456" t="s">
        <v>2006</v>
      </c>
      <c r="AA3456" t="s">
        <v>2013</v>
      </c>
      <c r="AC3456" t="s">
        <v>15697</v>
      </c>
      <c r="AE3456" t="s">
        <v>13051</v>
      </c>
      <c r="AF3456" t="s">
        <v>2902</v>
      </c>
      <c r="AH3456">
        <v>8</v>
      </c>
      <c r="AI3456">
        <v>1</v>
      </c>
      <c r="AJ3456">
        <v>4</v>
      </c>
      <c r="AK3456">
        <v>86.18000000000001</v>
      </c>
      <c r="AN3456" t="s">
        <v>2927</v>
      </c>
      <c r="AO3456">
        <v>26000</v>
      </c>
      <c r="AU3456">
        <v>0.1</v>
      </c>
      <c r="AV3456" t="s">
        <v>326</v>
      </c>
      <c r="AW3456" t="s">
        <v>123</v>
      </c>
    </row>
    <row r="3457" spans="1:49">
      <c r="A3457" s="1" t="s">
        <v>50</v>
      </c>
      <c r="B3457" t="s">
        <v>95</v>
      </c>
      <c r="C3457" t="s">
        <v>164</v>
      </c>
      <c r="D3457" t="s">
        <v>6759</v>
      </c>
      <c r="E3457" t="s">
        <v>406</v>
      </c>
      <c r="F3457" t="s">
        <v>258</v>
      </c>
      <c r="G3457" t="s">
        <v>9365</v>
      </c>
      <c r="H3457" t="s">
        <v>8687</v>
      </c>
      <c r="I3457" t="s">
        <v>9475</v>
      </c>
      <c r="J3457">
        <v>12</v>
      </c>
      <c r="K3457" t="s">
        <v>1641</v>
      </c>
      <c r="L3457">
        <v>10454</v>
      </c>
      <c r="M3457" t="s">
        <v>1670</v>
      </c>
      <c r="Q3457" t="s">
        <v>1938</v>
      </c>
      <c r="R3457" t="s">
        <v>1958</v>
      </c>
      <c r="S3457" t="s">
        <v>1965</v>
      </c>
      <c r="T3457" t="s">
        <v>1671</v>
      </c>
      <c r="V3457" t="s">
        <v>1972</v>
      </c>
      <c r="X3457" t="s">
        <v>406</v>
      </c>
      <c r="Y3457">
        <v>1700</v>
      </c>
      <c r="Z3457" t="s">
        <v>2006</v>
      </c>
      <c r="AA3457" t="s">
        <v>2015</v>
      </c>
      <c r="AB3457" t="s">
        <v>2029</v>
      </c>
      <c r="AC3457" t="s">
        <v>15698</v>
      </c>
      <c r="AE3457" t="s">
        <v>13051</v>
      </c>
      <c r="AF3457" t="s">
        <v>2902</v>
      </c>
      <c r="AG3457" t="s">
        <v>1754</v>
      </c>
      <c r="AH3457">
        <v>1</v>
      </c>
      <c r="AI3457">
        <v>2</v>
      </c>
      <c r="AJ3457">
        <v>4</v>
      </c>
      <c r="AK3457">
        <v>86.73</v>
      </c>
      <c r="AN3457" t="s">
        <v>2927</v>
      </c>
      <c r="AO3457">
        <v>30000</v>
      </c>
      <c r="AU3457">
        <v>1.25</v>
      </c>
      <c r="AV3457" t="s">
        <v>384</v>
      </c>
      <c r="AW3457" t="s">
        <v>95</v>
      </c>
    </row>
    <row r="3458" spans="1:49">
      <c r="A3458" s="1" t="s">
        <v>50</v>
      </c>
      <c r="B3458" t="s">
        <v>69</v>
      </c>
      <c r="C3458" t="s">
        <v>163</v>
      </c>
      <c r="D3458" t="s">
        <v>6760</v>
      </c>
      <c r="E3458" t="s">
        <v>322</v>
      </c>
      <c r="G3458" t="s">
        <v>9366</v>
      </c>
      <c r="H3458" t="s">
        <v>10933</v>
      </c>
      <c r="I3458" t="s">
        <v>9605</v>
      </c>
      <c r="J3458" t="s">
        <v>1596</v>
      </c>
      <c r="K3458" t="s">
        <v>1644</v>
      </c>
      <c r="L3458">
        <v>11225</v>
      </c>
      <c r="M3458" t="s">
        <v>1672</v>
      </c>
      <c r="R3458" t="s">
        <v>1962</v>
      </c>
      <c r="V3458" t="s">
        <v>1972</v>
      </c>
      <c r="X3458" t="s">
        <v>322</v>
      </c>
      <c r="Y3458" t="s">
        <v>13051</v>
      </c>
      <c r="Z3458" t="s">
        <v>2009</v>
      </c>
      <c r="AC3458" t="s">
        <v>15699</v>
      </c>
      <c r="AE3458" t="s">
        <v>13051</v>
      </c>
      <c r="AH3458" t="s">
        <v>13051</v>
      </c>
      <c r="AI3458">
        <v>3</v>
      </c>
      <c r="AJ3458">
        <v>6</v>
      </c>
      <c r="AK3458">
        <v>30.43</v>
      </c>
      <c r="AN3458" t="s">
        <v>2926</v>
      </c>
      <c r="AO3458">
        <v>14560</v>
      </c>
      <c r="AU3458">
        <v>1.1</v>
      </c>
      <c r="AV3458" t="s">
        <v>328</v>
      </c>
      <c r="AW345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TRC Raw Case Data Report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2019-07-16T14:28:43Z</dcterms:created>
  <dcterms:modified xsi:type="dcterms:W3CDTF">2019-07-16T14:28:43Z</dcterms:modified>
</cp:coreProperties>
</file>